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ELL\Desktop\"/>
    </mc:Choice>
  </mc:AlternateContent>
  <xr:revisionPtr revIDLastSave="0" documentId="8_{8BA441DD-8269-4E5B-B60E-F5E84FB5CBB1}" xr6:coauthVersionLast="41" xr6:coauthVersionMax="41" xr10:uidLastSave="{00000000-0000-0000-0000-000000000000}"/>
  <bookViews>
    <workbookView xWindow="-108" yWindow="-108" windowWidth="23256" windowHeight="12576" activeTab="1" xr2:uid="{00000000-000D-0000-FFFF-FFFF00000000}"/>
  </bookViews>
  <sheets>
    <sheet name="START HERE" sheetId="1" r:id="rId1"/>
    <sheet name="SCHEMATIC AND BoM" sheetId="2" r:id="rId2"/>
    <sheet name="CALCULATIONS" sheetId="3" r:id="rId3"/>
    <sheet name="LOOKUP TABLES AND DROPDOWN LIST" sheetId="4" state="hidden" r:id="rId4"/>
    <sheet name="Sheet1" sheetId="5" r:id="rId5"/>
  </sheets>
  <definedNames>
    <definedName name="C_f1">'LOOKUP TABLES AND DROPDOWN LIST'!$F$35</definedName>
    <definedName name="C_f2">'LOOKUP TABLES AND DROPDOWN LIST'!$F$42</definedName>
    <definedName name="C_s1">'LOOKUP TABLES AND DROPDOWN LIST'!$E$24</definedName>
    <definedName name="C_s2">'LOOKUP TABLES AND DROPDOWN LIST'!$E$37</definedName>
    <definedName name="Cbulk">CALCULATIONS!$C$38</definedName>
    <definedName name="Cbulk_actual">CALCULATIONS!$C$37</definedName>
    <definedName name="Cbulk_initial">'LOOKUP TABLES AND DROPDOWN LIST'!$J$22</definedName>
    <definedName name="Cbulk_rcmd">CALCULATIONS!$C$36</definedName>
    <definedName name="Cbulk_recommended">'LOOKUP TABLES AND DROPDOWN LIST'!$J$22</definedName>
    <definedName name="Cext">CALCULATIONS!$C$236</definedName>
    <definedName name="Cext_actual">CALCULATIONS!$C$235</definedName>
    <definedName name="Cext_rcmd">CALCULATIONS!$C$233</definedName>
    <definedName name="Cfb_actual">CALCULATIONS!$C$238</definedName>
    <definedName name="Cfb_rcmd">CALCULATIONS!$C$237</definedName>
    <definedName name="Copto">CALCULATIONS!$C$231</definedName>
    <definedName name="Coss">CALCULATIONS!$C$119</definedName>
    <definedName name="Cout">CALCULATIONS!$C$154</definedName>
    <definedName name="Cout_actual">CALCULATIONS!$C$153</definedName>
    <definedName name="Cout_no_opto">CALCULATIONS!$C$149</definedName>
    <definedName name="Cout_rcmd">CALCULATIONS!$C$151</definedName>
    <definedName name="CTRmin">CALCULATIONS!$C$226</definedName>
    <definedName name="Cvdd_rcmd">CALCULATIONS!$C$209</definedName>
    <definedName name="Cvdd1">'LOOKUP TABLES AND DROPDOWN LIST'!$Q$23</definedName>
    <definedName name="Cz">CALCULATIONS!$C$252</definedName>
    <definedName name="Cz_actual">CALCULATIONS!$C$251</definedName>
    <definedName name="Cz_rcmd">CALCULATIONS!$C$250</definedName>
    <definedName name="DCR_Lout">CALCULATIONS!$C$146</definedName>
    <definedName name="Ddemag_cc">CALCULATIONS!$C$54</definedName>
    <definedName name="Dmax">CALCULATIONS!$C$98</definedName>
    <definedName name="Dmax_target">CALCULATIONS!$C$60</definedName>
    <definedName name="E_48f">'LOOKUP TABLES AND DROPDOWN LIST'!$B$70</definedName>
    <definedName name="E_48s">'LOOKUP TABLES AND DROPDOWN LIST'!$A$23</definedName>
    <definedName name="eff_xfmr">CALCULATIONS!$C$67</definedName>
    <definedName name="efficiency">CALCULATIONS!$C$29</definedName>
    <definedName name="ESR">CALCULATIONS!$C$158</definedName>
    <definedName name="ESRactual">CALCULATIONS!$C$157</definedName>
    <definedName name="ESRrcmd">CALCULATIONS!$C$156</definedName>
    <definedName name="fc_opto">CALCULATIONS!$C$229</definedName>
    <definedName name="fline_min">CALCULATIONS!$C$8</definedName>
    <definedName name="fmax">CALCULATIONS!$C$95</definedName>
    <definedName name="fmax_target">CALCULATIONS!$C$56</definedName>
    <definedName name="fmin">CALCULATIONS!$C$204</definedName>
    <definedName name="fres">CALCULATIONS!$C$58</definedName>
    <definedName name="fres_actual">CALCULATIONS!$C$124</definedName>
    <definedName name="fswmax">'LOOKUP TABLES AND DROPDOWN LIST'!$E$1</definedName>
    <definedName name="fswmin">'LOOKUP TABLES AND DROPDOWN LIST'!$E$2</definedName>
    <definedName name="G_fb1">CALCULATIONS!$C$243</definedName>
    <definedName name="G_fb2">CALCULATIONS!$C$244</definedName>
    <definedName name="G_p4">CALCULATIONS!$C$246</definedName>
    <definedName name="Ibridge">CALCULATIONS!$C$49</definedName>
    <definedName name="Ibridge_avg">#REF!</definedName>
    <definedName name="Icin">CALCULATIONS!$C$40</definedName>
    <definedName name="Icout_rms">CALCULATIONS!$C$155</definedName>
    <definedName name="Idout">CALCULATIONS!$C$138</definedName>
    <definedName name="Idrain">CALCULATIONS!$C$128</definedName>
    <definedName name="Iin_peak">CALCULATIONS!$C$45</definedName>
    <definedName name="Input_Voltage_type">CALCULATIONS!$C$4</definedName>
    <definedName name="Iocc">CALCULATIONS!$C$84</definedName>
    <definedName name="Iocc_max">CALCULATIONS!$C$88</definedName>
    <definedName name="Iocc_target">CALCULATIONS!$C$18</definedName>
    <definedName name="Iout">CALCULATIONS!$C$17</definedName>
    <definedName name="Ipp_fm">CALCULATIONS!$C$85</definedName>
    <definedName name="Ipp_max">#REF!</definedName>
    <definedName name="Ipp_min">#REF!</definedName>
    <definedName name="Ipp_nom">CALCULATIONS!$C$82</definedName>
    <definedName name="Ipp_wc">CALCULATIONS!$C$86</definedName>
    <definedName name="Ipri_RMS">CALCULATIONS!$C$100</definedName>
    <definedName name="Ipulsed">CALCULATIONS!$C$129</definedName>
    <definedName name="Iref431">CALCULATIONS!$C$213</definedName>
    <definedName name="Irun">CALCULATIONS!$C$201</definedName>
    <definedName name="Isec_rms">CALCULATIONS!$C$102</definedName>
    <definedName name="Isp_max">CALCULATIONS!$C$101</definedName>
    <definedName name="Itran">CALCULATIONS!$C$24</definedName>
    <definedName name="Ivslrun_max">CALCULATIONS!$C$164</definedName>
    <definedName name="Ivslrun_min">CALCULATIONS!$C$162</definedName>
    <definedName name="Ivslrun_nom">CALCULATIONS!$C$163</definedName>
    <definedName name="Ivslstop_max">CALCULATIONS!$C$167</definedName>
    <definedName name="Ivslstop_min">CALCULATIONS!$C$165</definedName>
    <definedName name="Ivslstop_nom">CALCULATIONS!$C$166</definedName>
    <definedName name="K_fm4">CALCULATIONS!$C$245</definedName>
    <definedName name="Kam_nom">CALCULATIONS!$C$55</definedName>
    <definedName name="kHz">'LOOKUP TABLES AND DROPDOWN LIST'!$B$6</definedName>
    <definedName name="Klc">CALCULATIONS!$C$192</definedName>
    <definedName name="kOhms">'LOOKUP TABLES AND DROPDOWN LIST'!$B$17</definedName>
    <definedName name="Lp">CALCULATIONS!$C$94</definedName>
    <definedName name="Lp_actual">CALCULATIONS!$C$93</definedName>
    <definedName name="Lp_est">CALCULATIONS!$C$73</definedName>
    <definedName name="Lp_rcmd">CALCULATIONS!$C$92</definedName>
    <definedName name="mA">'LOOKUP TABLES AND DROPDOWN LIST'!$B$9</definedName>
    <definedName name="MHz">'LOOKUP TABLES AND DROPDOWN LIST'!$B$15</definedName>
    <definedName name="mOhms">'LOOKUP TABLES AND DROPDOWN LIST'!$B$7</definedName>
    <definedName name="ms">'LOOKUP TABLES AND DROPDOWN LIST'!$B$8</definedName>
    <definedName name="mV">'LOOKUP TABLES AND DROPDOWN LIST'!$B$4</definedName>
    <definedName name="mW">'LOOKUP TABLES AND DROPDOWN LIST'!$B$13</definedName>
    <definedName name="Nas">CALCULATIONS!$C$110</definedName>
    <definedName name="Nas_rcmd">CALCULATIONS!$C$105</definedName>
    <definedName name="nC">'LOOKUP TABLES AND DROPDOWN LIST'!$B$18</definedName>
    <definedName name="nF">'LOOKUP TABLES AND DROPDOWN LIST'!$B$19</definedName>
    <definedName name="Npa">CALCULATIONS!$C$108</definedName>
    <definedName name="Npa_actual">CALCULATIONS!$C$107</definedName>
    <definedName name="Npa_rcmd">CALCULATIONS!$C$106</definedName>
    <definedName name="Nps">CALCULATIONS!$C$63</definedName>
    <definedName name="Nps_actual">CALCULATIONS!$C$62</definedName>
    <definedName name="Nps_ideal">CALCULATIONS!$C$61</definedName>
    <definedName name="Nps_rcmd">CALCULATIONS!$I$61</definedName>
    <definedName name="NPSmax">CALCULATIONS!$C$61</definedName>
    <definedName name="ns">'LOOKUP TABLES AND DROPDOWN LIST'!$B$12</definedName>
    <definedName name="P_Rcs">CALCULATIONS!$C$77</definedName>
    <definedName name="Pbridge">CALCULATIONS!$C$51</definedName>
    <definedName name="Pdout">CALCULATIONS!$C$139</definedName>
    <definedName name="pF">'LOOKUP TABLES AND DROPDOWN LIST'!$B$14</definedName>
    <definedName name="Pfet">CALCULATIONS!$C$132</definedName>
    <definedName name="Pfet_cond">CALCULATIONS!$C$130</definedName>
    <definedName name="Pfet_switch">CALCULATIONS!$C$131</definedName>
    <definedName name="Pin">CALCULATIONS!$C$31</definedName>
    <definedName name="Pout">CALCULATIONS!$C$30</definedName>
    <definedName name="Psb_target">CALCULATIONS!$C$28</definedName>
    <definedName name="Qg">CALCULATIONS!$C$123</definedName>
    <definedName name="R_fb1">CALCULATIONS!$C$223</definedName>
    <definedName name="R_fb2">CALCULATIONS!$C$218</definedName>
    <definedName name="R_fb4">CALCULATIONS!$C$242</definedName>
    <definedName name="R_fb4_actual">CALCULATIONS!$C$241</definedName>
    <definedName name="R_fb4_rcmd">CALCULATIONS!$C$240</definedName>
    <definedName name="R_tl">CALCULATIONS!$C$249</definedName>
    <definedName name="R_vs1">CALCULATIONS!$C$172</definedName>
    <definedName name="R_vs2">CALCULATIONS!$C$186</definedName>
    <definedName name="Rcs">CALCULATIONS!$C$76</definedName>
    <definedName name="Rcs_actual">CALCULATIONS!$C$75</definedName>
    <definedName name="Rcs_rcmd">CALCULATIONS!$C$74</definedName>
    <definedName name="Rdson">CALCULATIONS!$C$120</definedName>
    <definedName name="Requ">CALCULATIONS!$C$232</definedName>
    <definedName name="Rfb1_actual">CALCULATIONS!$C$221</definedName>
    <definedName name="Rfb1_rcmd">CALCULATIONS!$C$219</definedName>
    <definedName name="Rfb2_actual">CALCULATIONS!$C$216</definedName>
    <definedName name="Rfb2_rcmd">CALCULATIONS!$C$214</definedName>
    <definedName name="Rinj">CALCULATIONS!$C$224</definedName>
    <definedName name="Rl_opto">CALCULATIONS!$C$228</definedName>
    <definedName name="Rlc">CALCULATIONS!$C$196</definedName>
    <definedName name="Rlc_actual">CALCULATIONS!$C$195</definedName>
    <definedName name="Rlc_rcmd">CALCULATIONS!$C$194</definedName>
    <definedName name="Rtl_actual">CALCULATIONS!$C$248</definedName>
    <definedName name="Rtl_rcmd">CALCULATIONS!$C$247</definedName>
    <definedName name="Rvs1_actual">CALCULATIONS!$C$170</definedName>
    <definedName name="Rvs1_rcmd">CALCULATIONS!$C$168</definedName>
    <definedName name="Rvs2_actual">CALCULATIONS!$C$184</definedName>
    <definedName name="Rvs2_rcmd">CALCULATIONS!$C$182</definedName>
    <definedName name="t_1">'LOOKUP TABLES AND DROPDOWN LIST'!$J$29</definedName>
    <definedName name="t_2">'LOOKUP TABLES AND DROPDOWN LIST'!$J$30</definedName>
    <definedName name="t_charge">'LOOKUP TABLES AND DROPDOWN LIST'!$J$32</definedName>
    <definedName name="t_discharge">'LOOKUP TABLES AND DROPDOWN LIST'!$J$31</definedName>
    <definedName name="t_line">CALCULATIONS!$C$14</definedName>
    <definedName name="t1_1">'LOOKUP TABLES AND DROPDOWN LIST'!$J$35</definedName>
    <definedName name="t1_2">'LOOKUP TABLES AND DROPDOWN LIST'!$J$41</definedName>
    <definedName name="t1_3">'LOOKUP TABLES AND DROPDOWN LIST'!$J$47</definedName>
    <definedName name="t2_1">'LOOKUP TABLES AND DROPDOWN LIST'!$J$36</definedName>
    <definedName name="t2_2">'LOOKUP TABLES AND DROPDOWN LIST'!$J$42</definedName>
    <definedName name="t2_3">'LOOKUP TABLES AND DROPDOWN LIST'!$J$48</definedName>
    <definedName name="tcharge_1">'LOOKUP TABLES AND DROPDOWN LIST'!$J$38</definedName>
    <definedName name="tcharge_2">'LOOKUP TABLES AND DROPDOWN LIST'!$J$44</definedName>
    <definedName name="tcharge_3">'LOOKUP TABLES AND DROPDOWN LIST'!$J$50</definedName>
    <definedName name="tdelay">CALCULATIONS!$C$193</definedName>
    <definedName name="tdemag">CALCULATIONS!$C$99</definedName>
    <definedName name="tdemag_min">CALCULATIONS!$C$113</definedName>
    <definedName name="tdischarge_1">'LOOKUP TABLES AND DROPDOWN LIST'!$J$37</definedName>
    <definedName name="tdischarge_2">'LOOKUP TABLES AND DROPDOWN LIST'!$J$43</definedName>
    <definedName name="tdischarge_3">'LOOKUP TABLES AND DROPDOWN LIST'!$J$49</definedName>
    <definedName name="tdoff">CALCULATIONS!$C$122</definedName>
    <definedName name="tf">CALCULATIONS!$C$121</definedName>
    <definedName name="tf_opto">CALCULATIONS!$C$227</definedName>
    <definedName name="ton_max">CALCULATIONS!$C$97</definedName>
    <definedName name="ton_max_est">CALCULATIONS!$C$66</definedName>
    <definedName name="ton_min">CALCULATIONS!$C$112</definedName>
    <definedName name="tonmin_limit">CALCULATIONS!$C$111</definedName>
    <definedName name="tov">CALCULATIONS!$C$205</definedName>
    <definedName name="tres">CALCULATIONS!$C$59</definedName>
    <definedName name="tres_actual">CALCULATIONS!$C$125</definedName>
    <definedName name="tresp">CALCULATIONS!$C$25</definedName>
    <definedName name="tsw">CALCULATIONS!$C$96</definedName>
    <definedName name="tsw_target">CALCULATIONS!$C$57</definedName>
    <definedName name="uA">'LOOKUP TABLES AND DROPDOWN LIST'!$B$16</definedName>
    <definedName name="uC">'LOOKUP TABLES AND DROPDOWN LIST'!$B$20</definedName>
    <definedName name="uF">'LOOKUP TABLES AND DROPDOWN LIST'!$B$5</definedName>
    <definedName name="uH">'LOOKUP TABLES AND DROPDOWN LIST'!$B$11</definedName>
    <definedName name="us">'LOOKUP TABLES AND DROPDOWN LIST'!$B$10</definedName>
    <definedName name="Vbridge">CALCULATIONS!$C$48</definedName>
    <definedName name="Vbrownout_max">CALCULATIONS!$C$178</definedName>
    <definedName name="Vbrownout_min">CALCULATIONS!$C$176</definedName>
    <definedName name="Vbrownout_nom">CALCULATIONS!$C$177</definedName>
    <definedName name="Vbulk_max">CALCULATIONS!$C$11</definedName>
    <definedName name="Vbulk_min">CALCULATIONS!$C$10</definedName>
    <definedName name="Vbulk_nom">CALCULATIONS!$C$12</definedName>
    <definedName name="Vbulk_run">CALCULATIONS!$C$13</definedName>
    <definedName name="Vbulk_valley">CALCULATIONS!$C$39</definedName>
    <definedName name="Vbulk_valley_rcmd">#REF!</definedName>
    <definedName name="Vbulkvalley">'LOOKUP TABLES AND DROPDOWN LIST'!$J$51</definedName>
    <definedName name="Vbulkvalley_1">'LOOKUP TABLES AND DROPDOWN LIST'!$J$33</definedName>
    <definedName name="Vbulkvalley_2">'LOOKUP TABLES AND DROPDOWN LIST'!$J$39</definedName>
    <definedName name="Vbulkvalley_3">'LOOKUP TABLES AND DROPDOWN LIST'!$J$45</definedName>
    <definedName name="Vbulkvalley_desired">'START HERE'!$C$39</definedName>
    <definedName name="Vccr_max">CALCULATIONS!$C$72</definedName>
    <definedName name="Vccr_min">CALCULATIONS!$C$70</definedName>
    <definedName name="Vccr_nom">CALCULATIONS!$C$71</definedName>
    <definedName name="Vcin_rated">CALCULATIONS!$C$41</definedName>
    <definedName name="Vcstmax_max">CALCULATIONS!$C$80</definedName>
    <definedName name="Vcstmax_min">CALCULATIONS!$C$78</definedName>
    <definedName name="Vcstmax_nom">CALCULATIONS!$C$79</definedName>
    <definedName name="VDbias_blocking">CALCULATIONS!$C$143</definedName>
    <definedName name="VDD">CALCULATIONS!$C$109</definedName>
    <definedName name="VDDoff">CALCULATIONS!$C$203</definedName>
    <definedName name="VDDoff_max">CALCULATIONS!$C$103</definedName>
    <definedName name="VDDoff_min">CALCULATIONS!$C$104</definedName>
    <definedName name="VDDon">CALCULATIONS!$C$202</definedName>
    <definedName name="Vdout_blocking">CALCULATIONS!$C$137</definedName>
    <definedName name="Vdrain_clamp">CALCULATIONS!$C$133</definedName>
    <definedName name="Vds">CALCULATIONS!$C$118</definedName>
    <definedName name="VDS_derating">CALCULATIONS!$C$127</definedName>
    <definedName name="Vds_min_rating">CALCULATIONS!$C$117</definedName>
    <definedName name="Vf">CALCULATIONS!$C$136</definedName>
    <definedName name="Vf_bridge">CALCULATIONS!$C$50</definedName>
    <definedName name="Vf_opto">CALCULATIONS!$C$230</definedName>
    <definedName name="Vfa">CALCULATIONS!$C$142</definedName>
    <definedName name="Vflyback">CALCULATIONS!$C$64</definedName>
    <definedName name="Vflyback_rcmd">#REF!</definedName>
    <definedName name="Vin_type">'START HERE'!$C$16</definedName>
    <definedName name="Vinput_max">CALCULATIONS!$C$6</definedName>
    <definedName name="Vinput_min">CALCULATIONS!$C$5</definedName>
    <definedName name="Vinput_nom">CALCULATIONS!$C$7</definedName>
    <definedName name="Vinput_run">CALCULATIONS!$C$9</definedName>
    <definedName name="Vleakage">CALCULATIONS!$C$65</definedName>
    <definedName name="Vocbc">#REF!</definedName>
    <definedName name="Vout_cc">CALCULATIONS!$C$19</definedName>
    <definedName name="Vout_cc_min">CALCULATIONS!$C$114</definedName>
    <definedName name="Vout_cv">CALCULATIONS!$C$16</definedName>
    <definedName name="Vout_delta">CALCULATIONS!$C$21</definedName>
    <definedName name="Vout_ovp">CALCULATIONS!$C$27</definedName>
    <definedName name="Voutripple">CALCULATIONS!$C$159</definedName>
    <definedName name="Vovp_max">CALCULATIONS!$C$181</definedName>
    <definedName name="Vovp_min">CALCULATIONS!$C$179</definedName>
    <definedName name="Vovp_nom">CALCULATIONS!$C$180</definedName>
    <definedName name="Vref431">CALCULATIONS!$C$212</definedName>
    <definedName name="Vripple_target">CALCULATIONS!$C$23</definedName>
    <definedName name="Vturnon_max">CALCULATIONS!$C$175</definedName>
    <definedName name="Vturnon_min">CALCULATIONS!$C$173</definedName>
    <definedName name="Vturnon_nom">CALCULATIONS!$C$174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9" i="4" l="1"/>
  <c r="B109" i="4"/>
  <c r="B108" i="4"/>
  <c r="C108" i="4" s="1"/>
  <c r="S107" i="4"/>
  <c r="B107" i="4"/>
  <c r="C107" i="4" s="1"/>
  <c r="C106" i="4"/>
  <c r="B106" i="4"/>
  <c r="B105" i="4"/>
  <c r="C105" i="4" s="1"/>
  <c r="B104" i="4"/>
  <c r="C104" i="4" s="1"/>
  <c r="B103" i="4"/>
  <c r="S85" i="4" s="1"/>
  <c r="B102" i="4"/>
  <c r="S86" i="4" s="1"/>
  <c r="B101" i="4"/>
  <c r="C101" i="4" s="1"/>
  <c r="B100" i="4"/>
  <c r="C100" i="4" s="1"/>
  <c r="S99" i="4"/>
  <c r="B99" i="4"/>
  <c r="C99" i="4" s="1"/>
  <c r="S98" i="4"/>
  <c r="C98" i="4"/>
  <c r="B98" i="4"/>
  <c r="S97" i="4"/>
  <c r="C97" i="4"/>
  <c r="B97" i="4"/>
  <c r="C96" i="4"/>
  <c r="B96" i="4"/>
  <c r="B95" i="4"/>
  <c r="S93" i="4" s="1"/>
  <c r="B94" i="4"/>
  <c r="S94" i="4" s="1"/>
  <c r="B93" i="4"/>
  <c r="C93" i="4" s="1"/>
  <c r="S92" i="4"/>
  <c r="B92" i="4"/>
  <c r="C92" i="4" s="1"/>
  <c r="S91" i="4"/>
  <c r="C91" i="4"/>
  <c r="B91" i="4"/>
  <c r="S90" i="4"/>
  <c r="C90" i="4"/>
  <c r="B90" i="4"/>
  <c r="S89" i="4"/>
  <c r="C89" i="4"/>
  <c r="B89" i="4"/>
  <c r="S88" i="4"/>
  <c r="C88" i="4"/>
  <c r="B88" i="4"/>
  <c r="S100" i="4" s="1"/>
  <c r="B87" i="4"/>
  <c r="S101" i="4" s="1"/>
  <c r="B86" i="4"/>
  <c r="S102" i="4" s="1"/>
  <c r="B85" i="4"/>
  <c r="C85" i="4" s="1"/>
  <c r="S84" i="4"/>
  <c r="B84" i="4"/>
  <c r="S104" i="4" s="1"/>
  <c r="B83" i="4"/>
  <c r="S105" i="4" s="1"/>
  <c r="S82" i="4"/>
  <c r="C82" i="4"/>
  <c r="B82" i="4"/>
  <c r="S106" i="4" s="1"/>
  <c r="S81" i="4"/>
  <c r="C81" i="4"/>
  <c r="B81" i="4"/>
  <c r="S80" i="4"/>
  <c r="C80" i="4"/>
  <c r="B80" i="4"/>
  <c r="S108" i="4" s="1"/>
  <c r="S79" i="4"/>
  <c r="C79" i="4"/>
  <c r="B79" i="4"/>
  <c r="S109" i="4" s="1"/>
  <c r="B20" i="4"/>
  <c r="B19" i="4"/>
  <c r="B18" i="4"/>
  <c r="B17" i="4"/>
  <c r="B16" i="4"/>
  <c r="B15" i="4"/>
  <c r="B14" i="4"/>
  <c r="B13" i="4"/>
  <c r="B12" i="4"/>
  <c r="B11" i="4"/>
  <c r="B10" i="4"/>
  <c r="C231" i="3" s="1"/>
  <c r="B9" i="4"/>
  <c r="B8" i="4"/>
  <c r="B7" i="4"/>
  <c r="B6" i="4"/>
  <c r="B5" i="4"/>
  <c r="B4" i="4"/>
  <c r="E1" i="4"/>
  <c r="C252" i="3"/>
  <c r="C251" i="3"/>
  <c r="C248" i="3"/>
  <c r="C249" i="3" s="1"/>
  <c r="D120" i="2" s="1"/>
  <c r="C244" i="3"/>
  <c r="C241" i="3"/>
  <c r="C242" i="3" s="1"/>
  <c r="C239" i="3"/>
  <c r="C238" i="3"/>
  <c r="C235" i="3"/>
  <c r="C236" i="3" s="1"/>
  <c r="D42" i="2" s="1"/>
  <c r="C221" i="3"/>
  <c r="C223" i="3" s="1"/>
  <c r="C218" i="3"/>
  <c r="D102" i="2" s="1"/>
  <c r="C216" i="3"/>
  <c r="C213" i="3"/>
  <c r="C212" i="3"/>
  <c r="H65" i="4" s="1"/>
  <c r="H66" i="4" s="1"/>
  <c r="C214" i="3" s="1"/>
  <c r="C88" i="1" s="1"/>
  <c r="C195" i="3"/>
  <c r="C196" i="3" s="1"/>
  <c r="D114" i="2" s="1"/>
  <c r="C184" i="3"/>
  <c r="C186" i="3" s="1"/>
  <c r="D129" i="2" s="1"/>
  <c r="D178" i="3"/>
  <c r="D177" i="3"/>
  <c r="D176" i="3"/>
  <c r="D175" i="3"/>
  <c r="D174" i="3"/>
  <c r="D173" i="3"/>
  <c r="C170" i="3"/>
  <c r="C172" i="3" s="1"/>
  <c r="C157" i="3"/>
  <c r="C158" i="3" s="1"/>
  <c r="C153" i="3"/>
  <c r="C154" i="3" s="1"/>
  <c r="D50" i="2" s="1"/>
  <c r="C146" i="3"/>
  <c r="C142" i="3"/>
  <c r="C136" i="3"/>
  <c r="C123" i="3"/>
  <c r="C122" i="3"/>
  <c r="C193" i="3" s="1"/>
  <c r="C121" i="3"/>
  <c r="C120" i="3"/>
  <c r="C119" i="3"/>
  <c r="C118" i="3"/>
  <c r="D90" i="2" s="1"/>
  <c r="C107" i="3"/>
  <c r="C108" i="3" s="1"/>
  <c r="C93" i="3"/>
  <c r="C94" i="3" s="1"/>
  <c r="D134" i="2" s="1"/>
  <c r="C76" i="3"/>
  <c r="C82" i="3" s="1"/>
  <c r="C75" i="3"/>
  <c r="C62" i="3"/>
  <c r="C63" i="3" s="1"/>
  <c r="C59" i="3"/>
  <c r="C56" i="3"/>
  <c r="C57" i="3" s="1"/>
  <c r="C50" i="3"/>
  <c r="D44" i="3"/>
  <c r="C38" i="3"/>
  <c r="C37" i="3"/>
  <c r="C29" i="3"/>
  <c r="C28" i="3"/>
  <c r="C27" i="3"/>
  <c r="C25" i="3"/>
  <c r="C24" i="3"/>
  <c r="C23" i="3"/>
  <c r="C21" i="3"/>
  <c r="C19" i="3"/>
  <c r="C18" i="3"/>
  <c r="C17" i="3"/>
  <c r="C16" i="3"/>
  <c r="C13" i="3"/>
  <c r="D9" i="3"/>
  <c r="C9" i="3"/>
  <c r="C8" i="3"/>
  <c r="C14" i="3" s="1"/>
  <c r="D7" i="3"/>
  <c r="C7" i="3"/>
  <c r="C12" i="3" s="1"/>
  <c r="D6" i="3"/>
  <c r="C6" i="3"/>
  <c r="C44" i="3" s="1"/>
  <c r="D85" i="2" s="1"/>
  <c r="D5" i="3"/>
  <c r="C5" i="3"/>
  <c r="C10" i="3" s="1"/>
  <c r="C4" i="3"/>
  <c r="E141" i="2"/>
  <c r="E140" i="2"/>
  <c r="E139" i="2"/>
  <c r="E138" i="2"/>
  <c r="E137" i="2"/>
  <c r="E134" i="2"/>
  <c r="E132" i="2"/>
  <c r="D132" i="2"/>
  <c r="E129" i="2"/>
  <c r="E126" i="2"/>
  <c r="E120" i="2"/>
  <c r="E114" i="2"/>
  <c r="D111" i="2"/>
  <c r="E105" i="2"/>
  <c r="E102" i="2"/>
  <c r="E99" i="2"/>
  <c r="D99" i="2"/>
  <c r="E96" i="2"/>
  <c r="E95" i="2"/>
  <c r="E93" i="2"/>
  <c r="E92" i="2"/>
  <c r="E91" i="2"/>
  <c r="E90" i="2"/>
  <c r="E88" i="2"/>
  <c r="D88" i="2"/>
  <c r="E86" i="2"/>
  <c r="E85" i="2"/>
  <c r="E78" i="2"/>
  <c r="E77" i="2"/>
  <c r="E76" i="2"/>
  <c r="E72" i="2"/>
  <c r="E68" i="2"/>
  <c r="E64" i="2"/>
  <c r="D64" i="2"/>
  <c r="E60" i="2"/>
  <c r="E53" i="2"/>
  <c r="E52" i="2"/>
  <c r="E51" i="2"/>
  <c r="D51" i="2"/>
  <c r="E50" i="2"/>
  <c r="E46" i="2"/>
  <c r="D46" i="2"/>
  <c r="E42" i="2"/>
  <c r="E39" i="2"/>
  <c r="E38" i="2"/>
  <c r="E37" i="2"/>
  <c r="E34" i="2"/>
  <c r="E33" i="2"/>
  <c r="E32" i="2"/>
  <c r="C105" i="1"/>
  <c r="C103" i="1"/>
  <c r="E31" i="1"/>
  <c r="E30" i="1"/>
  <c r="E27" i="1"/>
  <c r="D21" i="1"/>
  <c r="D19" i="1"/>
  <c r="E18" i="1"/>
  <c r="D18" i="1"/>
  <c r="D17" i="1"/>
  <c r="C243" i="3" l="1"/>
  <c r="D108" i="2"/>
  <c r="D81" i="4"/>
  <c r="D105" i="4"/>
  <c r="D99" i="4"/>
  <c r="D80" i="4"/>
  <c r="D106" i="4"/>
  <c r="D85" i="4"/>
  <c r="D82" i="4"/>
  <c r="D88" i="4"/>
  <c r="D96" i="4"/>
  <c r="F96" i="4" s="1"/>
  <c r="D108" i="4"/>
  <c r="C225" i="3"/>
  <c r="B22" i="1"/>
  <c r="C133" i="3"/>
  <c r="D72" i="2" s="1"/>
  <c r="E19" i="1"/>
  <c r="C11" i="3"/>
  <c r="C65" i="3" s="1"/>
  <c r="C85" i="3"/>
  <c r="C204" i="3" s="1"/>
  <c r="Q30" i="4" s="1"/>
  <c r="C101" i="3"/>
  <c r="C156" i="3" s="1"/>
  <c r="C84" i="3"/>
  <c r="G101" i="4" s="1"/>
  <c r="F99" i="4"/>
  <c r="E99" i="4"/>
  <c r="C112" i="3"/>
  <c r="F80" i="4"/>
  <c r="E80" i="4"/>
  <c r="E96" i="4"/>
  <c r="E106" i="4"/>
  <c r="F106" i="4"/>
  <c r="D137" i="2"/>
  <c r="J29" i="4"/>
  <c r="J32" i="4" s="1"/>
  <c r="E26" i="1"/>
  <c r="C60" i="3"/>
  <c r="D109" i="4"/>
  <c r="D91" i="4"/>
  <c r="W22" i="4"/>
  <c r="D100" i="4"/>
  <c r="D107" i="4"/>
  <c r="B35" i="1"/>
  <c r="D135" i="2"/>
  <c r="C110" i="3"/>
  <c r="C64" i="3"/>
  <c r="D89" i="4"/>
  <c r="D92" i="4"/>
  <c r="D97" i="4"/>
  <c r="D101" i="4"/>
  <c r="F82" i="4"/>
  <c r="E82" i="4"/>
  <c r="F105" i="4"/>
  <c r="E105" i="4"/>
  <c r="C73" i="3"/>
  <c r="F88" i="4"/>
  <c r="E88" i="4"/>
  <c r="D37" i="2"/>
  <c r="C174" i="3"/>
  <c r="D136" i="2"/>
  <c r="E81" i="4"/>
  <c r="F81" i="4"/>
  <c r="F85" i="4"/>
  <c r="E85" i="4"/>
  <c r="F108" i="4"/>
  <c r="E108" i="4"/>
  <c r="C117" i="3"/>
  <c r="C41" i="3"/>
  <c r="D38" i="2" s="1"/>
  <c r="C124" i="3"/>
  <c r="C125" i="3" s="1"/>
  <c r="D93" i="4"/>
  <c r="E21" i="1"/>
  <c r="H56" i="4"/>
  <c r="H57" i="4" s="1"/>
  <c r="C168" i="3" s="1"/>
  <c r="C77" i="1" s="1"/>
  <c r="C149" i="3"/>
  <c r="C83" i="3"/>
  <c r="C81" i="3"/>
  <c r="C86" i="3"/>
  <c r="D95" i="2"/>
  <c r="D79" i="4"/>
  <c r="D90" i="4"/>
  <c r="D98" i="4"/>
  <c r="D104" i="4"/>
  <c r="C48" i="3"/>
  <c r="D32" i="2" s="1"/>
  <c r="C83" i="4"/>
  <c r="D83" i="4" s="1"/>
  <c r="C86" i="4"/>
  <c r="D86" i="4" s="1"/>
  <c r="S87" i="4"/>
  <c r="C94" i="4"/>
  <c r="D94" i="4" s="1"/>
  <c r="S95" i="4"/>
  <c r="C102" i="4"/>
  <c r="D102" i="4" s="1"/>
  <c r="S103" i="4"/>
  <c r="C175" i="3"/>
  <c r="H62" i="4"/>
  <c r="H63" i="4" s="1"/>
  <c r="C194" i="3" s="1"/>
  <c r="C83" i="1" s="1"/>
  <c r="C30" i="3"/>
  <c r="C84" i="4"/>
  <c r="D84" i="4" s="1"/>
  <c r="C87" i="4"/>
  <c r="D87" i="4" s="1"/>
  <c r="C95" i="4"/>
  <c r="D95" i="4" s="1"/>
  <c r="S96" i="4"/>
  <c r="C103" i="4"/>
  <c r="D103" i="4" s="1"/>
  <c r="D126" i="2"/>
  <c r="C173" i="3"/>
  <c r="H68" i="4"/>
  <c r="H69" i="4" s="1"/>
  <c r="C219" i="3" s="1"/>
  <c r="C90" i="1" s="1"/>
  <c r="J30" i="4" l="1"/>
  <c r="G100" i="4"/>
  <c r="H100" i="4" s="1"/>
  <c r="G85" i="4"/>
  <c r="I85" i="4" s="1"/>
  <c r="J31" i="4"/>
  <c r="C114" i="3"/>
  <c r="G86" i="4"/>
  <c r="H86" i="4" s="1"/>
  <c r="G107" i="4"/>
  <c r="I107" i="4" s="1"/>
  <c r="G83" i="4"/>
  <c r="I83" i="4" s="1"/>
  <c r="B197" i="3"/>
  <c r="C105" i="3"/>
  <c r="C106" i="3" s="1"/>
  <c r="C56" i="1" s="1"/>
  <c r="G98" i="4"/>
  <c r="I98" i="4" s="1"/>
  <c r="C92" i="3"/>
  <c r="C54" i="1" s="1"/>
  <c r="G89" i="4"/>
  <c r="I89" i="4" s="1"/>
  <c r="G103" i="4"/>
  <c r="I103" i="4" s="1"/>
  <c r="G104" i="4"/>
  <c r="I104" i="4" s="1"/>
  <c r="G80" i="4"/>
  <c r="I80" i="4" s="1"/>
  <c r="G106" i="4"/>
  <c r="I106" i="4" s="1"/>
  <c r="G109" i="4"/>
  <c r="H109" i="4" s="1"/>
  <c r="G92" i="4"/>
  <c r="I92" i="4" s="1"/>
  <c r="C137" i="3"/>
  <c r="D76" i="2" s="1"/>
  <c r="C139" i="3"/>
  <c r="D78" i="2" s="1"/>
  <c r="G96" i="4"/>
  <c r="I96" i="4" s="1"/>
  <c r="G88" i="4"/>
  <c r="H88" i="4" s="1"/>
  <c r="G91" i="4"/>
  <c r="H91" i="4" s="1"/>
  <c r="G108" i="4"/>
  <c r="H108" i="4" s="1"/>
  <c r="G81" i="4"/>
  <c r="H81" i="4" s="1"/>
  <c r="C95" i="3"/>
  <c r="C131" i="3" s="1"/>
  <c r="I101" i="4"/>
  <c r="H101" i="4"/>
  <c r="F95" i="4"/>
  <c r="E95" i="4"/>
  <c r="F86" i="4"/>
  <c r="E86" i="4"/>
  <c r="F87" i="4"/>
  <c r="E87" i="4"/>
  <c r="F84" i="4"/>
  <c r="E84" i="4"/>
  <c r="C31" i="3"/>
  <c r="G84" i="4"/>
  <c r="F79" i="4"/>
  <c r="E79" i="4"/>
  <c r="C129" i="3"/>
  <c r="D92" i="2" s="1"/>
  <c r="C88" i="3"/>
  <c r="F97" i="4"/>
  <c r="E97" i="4"/>
  <c r="C188" i="3"/>
  <c r="I100" i="4"/>
  <c r="G95" i="4"/>
  <c r="F92" i="4"/>
  <c r="E92" i="4"/>
  <c r="F89" i="4"/>
  <c r="E89" i="4"/>
  <c r="F104" i="4"/>
  <c r="E104" i="4"/>
  <c r="F107" i="4"/>
  <c r="E107" i="4"/>
  <c r="F103" i="4"/>
  <c r="E103" i="4"/>
  <c r="G105" i="4"/>
  <c r="F94" i="4"/>
  <c r="E94" i="4"/>
  <c r="F100" i="4"/>
  <c r="E100" i="4"/>
  <c r="C102" i="3"/>
  <c r="D139" i="2"/>
  <c r="F101" i="4"/>
  <c r="E101" i="4"/>
  <c r="F109" i="4"/>
  <c r="E109" i="4"/>
  <c r="E112" i="3"/>
  <c r="E55" i="1"/>
  <c r="C113" i="3"/>
  <c r="F83" i="4"/>
  <c r="E83" i="4"/>
  <c r="Q33" i="4"/>
  <c r="Q31" i="4" s="1"/>
  <c r="C208" i="3" s="1"/>
  <c r="Q32" i="4"/>
  <c r="F102" i="4"/>
  <c r="E102" i="4"/>
  <c r="C189" i="3"/>
  <c r="D53" i="2"/>
  <c r="C70" i="1"/>
  <c r="G87" i="4"/>
  <c r="H59" i="4"/>
  <c r="H60" i="4" s="1"/>
  <c r="C182" i="3" s="1"/>
  <c r="C80" i="1" s="1"/>
  <c r="C127" i="3"/>
  <c r="E60" i="1" s="1"/>
  <c r="C59" i="1"/>
  <c r="C187" i="3"/>
  <c r="G52" i="1"/>
  <c r="G82" i="4"/>
  <c r="G102" i="4"/>
  <c r="E98" i="4"/>
  <c r="F98" i="4"/>
  <c r="G79" i="4"/>
  <c r="G99" i="4"/>
  <c r="G94" i="4"/>
  <c r="G97" i="4"/>
  <c r="C109" i="3"/>
  <c r="C91" i="3"/>
  <c r="G90" i="4"/>
  <c r="G93" i="4"/>
  <c r="E90" i="4"/>
  <c r="F90" i="4"/>
  <c r="W24" i="4"/>
  <c r="W25" i="4"/>
  <c r="W23" i="4" s="1"/>
  <c r="C237" i="3" s="1"/>
  <c r="C101" i="1" s="1"/>
  <c r="F93" i="4"/>
  <c r="E93" i="4"/>
  <c r="F91" i="4"/>
  <c r="E91" i="4"/>
  <c r="C99" i="3"/>
  <c r="I109" i="4" l="1"/>
  <c r="H85" i="4"/>
  <c r="H106" i="4"/>
  <c r="I86" i="4"/>
  <c r="H103" i="4"/>
  <c r="I91" i="4"/>
  <c r="H80" i="4"/>
  <c r="H83" i="4"/>
  <c r="H107" i="4"/>
  <c r="I88" i="4"/>
  <c r="H104" i="4"/>
  <c r="C126" i="3"/>
  <c r="D126" i="3" s="1"/>
  <c r="I108" i="4"/>
  <c r="H92" i="4"/>
  <c r="H98" i="4"/>
  <c r="C96" i="3"/>
  <c r="H89" i="4"/>
  <c r="I81" i="4"/>
  <c r="D141" i="2"/>
  <c r="G61" i="1"/>
  <c r="Q22" i="4"/>
  <c r="Q24" i="4" s="1"/>
  <c r="G55" i="1"/>
  <c r="C246" i="3"/>
  <c r="J79" i="4" s="1"/>
  <c r="E95" i="3"/>
  <c r="H96" i="4"/>
  <c r="I82" i="4"/>
  <c r="H82" i="4"/>
  <c r="I79" i="4"/>
  <c r="H79" i="4"/>
  <c r="D140" i="2"/>
  <c r="C138" i="3"/>
  <c r="D77" i="2" s="1"/>
  <c r="J33" i="4"/>
  <c r="J35" i="4" s="1"/>
  <c r="C36" i="3"/>
  <c r="I90" i="4"/>
  <c r="H90" i="4"/>
  <c r="I87" i="4"/>
  <c r="H87" i="4"/>
  <c r="E109" i="3"/>
  <c r="E57" i="1"/>
  <c r="C143" i="3"/>
  <c r="D68" i="2" s="1"/>
  <c r="Q26" i="4"/>
  <c r="I95" i="4"/>
  <c r="H95" i="4"/>
  <c r="H99" i="4"/>
  <c r="I99" i="4"/>
  <c r="I84" i="4"/>
  <c r="H84" i="4"/>
  <c r="I93" i="4"/>
  <c r="H93" i="4"/>
  <c r="I102" i="4"/>
  <c r="H102" i="4"/>
  <c r="I105" i="4"/>
  <c r="H105" i="4"/>
  <c r="I97" i="4"/>
  <c r="H97" i="4"/>
  <c r="I94" i="4"/>
  <c r="H94" i="4"/>
  <c r="J97" i="4" l="1"/>
  <c r="L97" i="4" s="1"/>
  <c r="R91" i="4" s="1"/>
  <c r="Q25" i="4"/>
  <c r="Q23" i="4" s="1"/>
  <c r="C206" i="3" s="1"/>
  <c r="J87" i="4"/>
  <c r="K87" i="4" s="1"/>
  <c r="J103" i="4"/>
  <c r="K103" i="4" s="1"/>
  <c r="J81" i="4"/>
  <c r="K81" i="4" s="1"/>
  <c r="J94" i="4"/>
  <c r="K94" i="4" s="1"/>
  <c r="J100" i="4"/>
  <c r="L100" i="4" s="1"/>
  <c r="R88" i="4" s="1"/>
  <c r="J91" i="4"/>
  <c r="L91" i="4" s="1"/>
  <c r="R97" i="4" s="1"/>
  <c r="J96" i="4"/>
  <c r="L96" i="4" s="1"/>
  <c r="R92" i="4" s="1"/>
  <c r="J85" i="4"/>
  <c r="K85" i="4" s="1"/>
  <c r="J102" i="4"/>
  <c r="L102" i="4" s="1"/>
  <c r="R86" i="4" s="1"/>
  <c r="J89" i="4"/>
  <c r="L89" i="4" s="1"/>
  <c r="R99" i="4" s="1"/>
  <c r="J80" i="4"/>
  <c r="L80" i="4" s="1"/>
  <c r="R108" i="4" s="1"/>
  <c r="J95" i="4"/>
  <c r="L95" i="4" s="1"/>
  <c r="R93" i="4" s="1"/>
  <c r="J93" i="4"/>
  <c r="L93" i="4" s="1"/>
  <c r="R95" i="4" s="1"/>
  <c r="J109" i="4"/>
  <c r="L109" i="4" s="1"/>
  <c r="R79" i="4" s="1"/>
  <c r="J83" i="4"/>
  <c r="L83" i="4" s="1"/>
  <c r="R105" i="4" s="1"/>
  <c r="J104" i="4"/>
  <c r="L104" i="4" s="1"/>
  <c r="R84" i="4" s="1"/>
  <c r="J88" i="4"/>
  <c r="L88" i="4" s="1"/>
  <c r="R100" i="4" s="1"/>
  <c r="J107" i="4"/>
  <c r="K107" i="4" s="1"/>
  <c r="J82" i="4"/>
  <c r="K82" i="4" s="1"/>
  <c r="J106" i="4"/>
  <c r="L106" i="4" s="1"/>
  <c r="R82" i="4" s="1"/>
  <c r="J90" i="4"/>
  <c r="L90" i="4" s="1"/>
  <c r="R98" i="4" s="1"/>
  <c r="J101" i="4"/>
  <c r="L101" i="4" s="1"/>
  <c r="R87" i="4" s="1"/>
  <c r="J84" i="4"/>
  <c r="L84" i="4" s="1"/>
  <c r="R104" i="4" s="1"/>
  <c r="J105" i="4"/>
  <c r="L105" i="4" s="1"/>
  <c r="R83" i="4" s="1"/>
  <c r="J92" i="4"/>
  <c r="K92" i="4" s="1"/>
  <c r="J98" i="4"/>
  <c r="L98" i="4" s="1"/>
  <c r="R90" i="4" s="1"/>
  <c r="J86" i="4"/>
  <c r="L86" i="4" s="1"/>
  <c r="R102" i="4" s="1"/>
  <c r="J99" i="4"/>
  <c r="L99" i="4" s="1"/>
  <c r="R89" i="4" s="1"/>
  <c r="J108" i="4"/>
  <c r="K108" i="4" s="1"/>
  <c r="Q29" i="4"/>
  <c r="Q27" i="4" s="1"/>
  <c r="C207" i="3" s="1"/>
  <c r="Q28" i="4"/>
  <c r="J38" i="4"/>
  <c r="J36" i="4"/>
  <c r="J37" i="4" s="1"/>
  <c r="J39" i="4" s="1"/>
  <c r="J41" i="4" s="1"/>
  <c r="J22" i="4"/>
  <c r="C40" i="1"/>
  <c r="L81" i="4"/>
  <c r="R107" i="4" s="1"/>
  <c r="L94" i="4"/>
  <c r="R94" i="4" s="1"/>
  <c r="K89" i="4"/>
  <c r="L79" i="4"/>
  <c r="R109" i="4" s="1"/>
  <c r="K79" i="4"/>
  <c r="K97" i="4" l="1"/>
  <c r="C209" i="3"/>
  <c r="D60" i="2" s="1"/>
  <c r="K106" i="4"/>
  <c r="K99" i="4"/>
  <c r="K95" i="4"/>
  <c r="L85" i="4"/>
  <c r="R103" i="4" s="1"/>
  <c r="L87" i="4"/>
  <c r="R101" i="4" s="1"/>
  <c r="L82" i="4"/>
  <c r="R106" i="4" s="1"/>
  <c r="K102" i="4"/>
  <c r="K100" i="4"/>
  <c r="K93" i="4"/>
  <c r="L103" i="4"/>
  <c r="R85" i="4" s="1"/>
  <c r="K109" i="4"/>
  <c r="K91" i="4"/>
  <c r="K80" i="4"/>
  <c r="K101" i="4"/>
  <c r="K96" i="4"/>
  <c r="K86" i="4"/>
  <c r="K83" i="4"/>
  <c r="L107" i="4"/>
  <c r="R81" i="4" s="1"/>
  <c r="K98" i="4"/>
  <c r="L108" i="4"/>
  <c r="R80" i="4" s="1"/>
  <c r="L92" i="4"/>
  <c r="R96" i="4" s="1"/>
  <c r="K90" i="4"/>
  <c r="K88" i="4"/>
  <c r="K105" i="4"/>
  <c r="K104" i="4"/>
  <c r="K84" i="4"/>
  <c r="J42" i="4"/>
  <c r="J43" i="4" s="1"/>
  <c r="J45" i="4" s="1"/>
  <c r="J47" i="4" s="1"/>
  <c r="J44" i="4"/>
  <c r="W78" i="4" l="1"/>
  <c r="W81" i="4" s="1"/>
  <c r="W83" i="4" s="1"/>
  <c r="W82" i="4" s="1"/>
  <c r="C250" i="3" s="1"/>
  <c r="C107" i="1" s="1"/>
  <c r="J50" i="4"/>
  <c r="J48" i="4"/>
  <c r="J49" i="4" s="1"/>
  <c r="J51" i="4" s="1"/>
  <c r="C39" i="3" s="1"/>
  <c r="W84" i="4" l="1"/>
  <c r="C40" i="3"/>
  <c r="C177" i="3"/>
  <c r="C74" i="3"/>
  <c r="C51" i="1" s="1"/>
  <c r="C97" i="3"/>
  <c r="C176" i="3"/>
  <c r="C178" i="3"/>
  <c r="C66" i="3"/>
  <c r="C155" i="3"/>
  <c r="D52" i="2" s="1"/>
  <c r="C61" i="3"/>
  <c r="C49" i="3"/>
  <c r="D33" i="2" s="1"/>
  <c r="C45" i="3"/>
  <c r="D86" i="2" s="1"/>
  <c r="C98" i="3" l="1"/>
  <c r="T22" i="4"/>
  <c r="C100" i="3"/>
  <c r="C128" i="3"/>
  <c r="D91" i="2" s="1"/>
  <c r="C159" i="3"/>
  <c r="E49" i="1"/>
  <c r="C48" i="1"/>
  <c r="D39" i="2"/>
  <c r="C51" i="3"/>
  <c r="D34" i="2" s="1"/>
  <c r="C77" i="3" l="1"/>
  <c r="D96" i="2" s="1"/>
  <c r="C130" i="3"/>
  <c r="C132" i="3" s="1"/>
  <c r="D93" i="2" s="1"/>
  <c r="D138" i="2"/>
  <c r="T24" i="4"/>
  <c r="T25" i="4"/>
  <c r="T23" i="4" s="1"/>
  <c r="C151" i="3" s="1"/>
  <c r="C68" i="1" s="1"/>
</calcChain>
</file>

<file path=xl/sharedStrings.xml><?xml version="1.0" encoding="utf-8"?>
<sst xmlns="http://schemas.openxmlformats.org/spreadsheetml/2006/main" count="1162" uniqueCount="814">
  <si>
    <t>UCC28740 DESIGN CALCULATOR TOOL</t>
  </si>
  <si>
    <t>TI Literature Number:</t>
  </si>
  <si>
    <t>SLUC487B</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</si>
  <si>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</si>
  <si>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</si>
  <si>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RECOMMENDED BILL OF MATERIALS</t>
  </si>
  <si>
    <t>Reference Designator</t>
  </si>
  <si>
    <t>Description/Comments</t>
  </si>
  <si>
    <t>UCC28740 CONSTANT-VOLTAGE, CONSTANT-CURRENT FLYBACK DESIGN CALCULATOR</t>
  </si>
  <si>
    <t>CLEAR ALL USER INPUT CELLS BEFORE STARTING A NEW DESIGN</t>
  </si>
  <si>
    <t>BRIDGE RECTIFIER</t>
  </si>
  <si>
    <r>
      <t xml:space="preserve">ALL </t>
    </r>
    <r>
      <rPr>
        <b/>
        <sz val="14"/>
        <color rgb="FF9BBB59"/>
        <rFont val="Arial"/>
      </rPr>
      <t>GREEN</t>
    </r>
    <r>
      <rPr>
        <b/>
        <sz val="14"/>
        <color rgb="FF000000"/>
        <rFont val="Arial"/>
      </rPr>
      <t xml:space="preserve"> CELLS ARE USER INPUTS</t>
    </r>
  </si>
  <si>
    <t>Minimum DC Blocking Voltage:</t>
  </si>
  <si>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</si>
  <si>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DESIGN REQUIREMENTS</t>
  </si>
  <si>
    <t>Minimum Current Rating:</t>
  </si>
  <si>
    <t>INPUT SPECIFICATIONS</t>
  </si>
  <si>
    <t>Power Dissipation:</t>
  </si>
  <si>
    <t>Input Voltage Type, AC or DC:</t>
  </si>
  <si>
    <t>AC</t>
  </si>
  <si>
    <t>Choose either AC or DC</t>
  </si>
  <si>
    <r>
      <t>C</t>
    </r>
    <r>
      <rPr>
        <b/>
        <vertAlign val="subscript"/>
        <sz val="12"/>
        <color rgb="FFFF0000"/>
        <rFont val="Arial"/>
      </rPr>
      <t>BULKtotal</t>
    </r>
    <r>
      <rPr>
        <b/>
        <sz val="12"/>
        <color rgb="FFFF0000"/>
        <rFont val="Arial"/>
      </rPr>
      <t xml:space="preserve"> = C</t>
    </r>
    <r>
      <rPr>
        <b/>
        <vertAlign val="subscript"/>
        <sz val="12"/>
        <color rgb="FFFF0000"/>
        <rFont val="Arial"/>
      </rPr>
      <t>BULK1</t>
    </r>
    <r>
      <rPr>
        <b/>
        <sz val="12"/>
        <color rgb="FFFF0000"/>
        <rFont val="Arial"/>
      </rPr>
      <t xml:space="preserve"> + C</t>
    </r>
    <r>
      <rPr>
        <b/>
        <vertAlign val="subscript"/>
        <sz val="12"/>
        <color rgb="FFFF0000"/>
        <rFont val="Arial"/>
      </rPr>
      <t>BULK2</t>
    </r>
  </si>
  <si>
    <t>Type:</t>
  </si>
  <si>
    <r>
      <t>Minimum Input Voltage, V</t>
    </r>
    <r>
      <rPr>
        <vertAlign val="subscript"/>
        <sz val="11"/>
        <color rgb="FF000000"/>
        <rFont val="Arial"/>
      </rPr>
      <t>INPUTmin</t>
    </r>
    <r>
      <rPr>
        <sz val="11"/>
        <color rgb="FF000000"/>
        <rFont val="Arial"/>
      </rPr>
      <t xml:space="preserve"> =</t>
    </r>
  </si>
  <si>
    <t>Aluminum Electrolytic</t>
  </si>
  <si>
    <t>Value:</t>
  </si>
  <si>
    <t>Total Capacitance</t>
  </si>
  <si>
    <t>Minimum Voltage Rating:</t>
  </si>
  <si>
    <r>
      <t>Maximum Input Voltage, V</t>
    </r>
    <r>
      <rPr>
        <vertAlign val="subscript"/>
        <sz val="11"/>
        <color rgb="FF000000"/>
        <rFont val="Arial"/>
      </rPr>
      <t>INPUTmax</t>
    </r>
    <r>
      <rPr>
        <sz val="11"/>
        <color rgb="FF000000"/>
        <rFont val="Arial"/>
      </rPr>
      <t xml:space="preserve"> =</t>
    </r>
  </si>
  <si>
    <t>Minimum Ripple Current Rating:</t>
  </si>
  <si>
    <r>
      <t>C</t>
    </r>
    <r>
      <rPr>
        <b/>
        <vertAlign val="subscript"/>
        <sz val="12"/>
        <color rgb="FFFF0000"/>
        <rFont val="Arial"/>
      </rPr>
      <t>EXT</t>
    </r>
  </si>
  <si>
    <t>Ceramic</t>
  </si>
  <si>
    <r>
      <t>Nominal Input Voltage, V</t>
    </r>
    <r>
      <rPr>
        <vertAlign val="subscript"/>
        <sz val="11"/>
        <color rgb="FF000000"/>
        <rFont val="Arial"/>
      </rPr>
      <t>INPUTnom</t>
    </r>
    <r>
      <rPr>
        <sz val="11"/>
        <color rgb="FF000000"/>
        <rFont val="Arial"/>
      </rPr>
      <t xml:space="preserve"> =</t>
    </r>
  </si>
  <si>
    <t>UCC28740 DESIGN CALCULATIONS</t>
  </si>
  <si>
    <t>±10%</t>
  </si>
  <si>
    <t>The Values Entered by the User on the DESIGN INPUT Page are Used in the Design Calculations</t>
  </si>
  <si>
    <t>INPUT</t>
  </si>
  <si>
    <t>V</t>
  </si>
  <si>
    <t>Input Voltage Type</t>
  </si>
  <si>
    <r>
      <t>C</t>
    </r>
    <r>
      <rPr>
        <b/>
        <vertAlign val="subscript"/>
        <sz val="12"/>
        <color rgb="FFFF0000"/>
        <rFont val="Arial"/>
      </rPr>
      <t>FB</t>
    </r>
  </si>
  <si>
    <r>
      <t>Minimum Line Frequency, f</t>
    </r>
    <r>
      <rPr>
        <vertAlign val="subscript"/>
        <sz val="11"/>
        <color rgb="FF000000"/>
        <rFont val="Arial"/>
      </rPr>
      <t>LINEmin</t>
    </r>
    <r>
      <rPr>
        <sz val="11"/>
        <color rgb="FF000000"/>
        <rFont val="Arial"/>
      </rPr>
      <t xml:space="preserve"> =</t>
    </r>
  </si>
  <si>
    <t>Hz</t>
  </si>
  <si>
    <t>For universal line enter 47 Hz</t>
  </si>
  <si>
    <t>AC or DC:</t>
  </si>
  <si>
    <r>
      <t>Minimum Input Voltage for Start-Up, V</t>
    </r>
    <r>
      <rPr>
        <vertAlign val="subscript"/>
        <sz val="11"/>
        <color rgb="FF000000"/>
        <rFont val="Arial"/>
      </rPr>
      <t>INPUTrun</t>
    </r>
    <r>
      <rPr>
        <sz val="11"/>
        <color rgb="FF000000"/>
        <rFont val="Arial"/>
      </rPr>
      <t xml:space="preserve"> =</t>
    </r>
  </si>
  <si>
    <r>
      <t>C</t>
    </r>
    <r>
      <rPr>
        <b/>
        <vertAlign val="subscript"/>
        <sz val="12"/>
        <color rgb="FFFF0000"/>
        <rFont val="Arial"/>
      </rPr>
      <t>OUTtotal</t>
    </r>
    <r>
      <rPr>
        <b/>
        <sz val="12"/>
        <color rgb="FFFF0000"/>
        <rFont val="Arial"/>
      </rPr>
      <t xml:space="preserve"> = C</t>
    </r>
    <r>
      <rPr>
        <b/>
        <vertAlign val="subscript"/>
        <sz val="12"/>
        <color rgb="FFFF0000"/>
        <rFont val="Arial"/>
      </rPr>
      <t>OUT1</t>
    </r>
    <r>
      <rPr>
        <b/>
        <sz val="12"/>
        <color rgb="FFFF0000"/>
        <rFont val="Arial"/>
      </rPr>
      <t xml:space="preserve"> + C</t>
    </r>
    <r>
      <rPr>
        <b/>
        <vertAlign val="subscript"/>
        <sz val="12"/>
        <color rgb="FFFF0000"/>
        <rFont val="Arial"/>
      </rPr>
      <t>OUT2</t>
    </r>
  </si>
  <si>
    <t>User Input Values From Design Input Page</t>
  </si>
  <si>
    <t>Minimum Value:</t>
  </si>
  <si>
    <t>Minimum Input Voltage</t>
  </si>
  <si>
    <r>
      <t xml:space="preserve"> V</t>
    </r>
    <r>
      <rPr>
        <vertAlign val="subscript"/>
        <sz val="11"/>
        <rFont val="Arial"/>
      </rPr>
      <t>INPUTmin</t>
    </r>
    <r>
      <rPr>
        <sz val="11"/>
        <rFont val="Arial"/>
      </rPr>
      <t xml:space="preserve"> =</t>
    </r>
  </si>
  <si>
    <t>Maximum ESR Rating:</t>
  </si>
  <si>
    <t>Maximum Input Voltage</t>
  </si>
  <si>
    <r>
      <t>V</t>
    </r>
    <r>
      <rPr>
        <vertAlign val="subscript"/>
        <sz val="11"/>
        <rFont val="Arial"/>
      </rPr>
      <t>INPUTmax</t>
    </r>
    <r>
      <rPr>
        <sz val="11"/>
        <rFont val="Arial"/>
      </rPr>
      <t xml:space="preserve"> =</t>
    </r>
  </si>
  <si>
    <t xml:space="preserve">Nominal Input Voltage </t>
  </si>
  <si>
    <r>
      <t>V</t>
    </r>
    <r>
      <rPr>
        <vertAlign val="subscript"/>
        <sz val="11"/>
        <rFont val="Arial"/>
      </rPr>
      <t>INPUTnom</t>
    </r>
    <r>
      <rPr>
        <sz val="11"/>
        <rFont val="Arial"/>
      </rPr>
      <t xml:space="preserve"> =</t>
    </r>
  </si>
  <si>
    <t>OUTPUT SPECIFICATIONS</t>
  </si>
  <si>
    <r>
      <t>C</t>
    </r>
    <r>
      <rPr>
        <b/>
        <vertAlign val="subscript"/>
        <sz val="12"/>
        <color rgb="FFFF0000"/>
        <rFont val="Arial"/>
      </rPr>
      <t>SS431</t>
    </r>
  </si>
  <si>
    <t>Minimum Line Frequency</t>
  </si>
  <si>
    <r>
      <t xml:space="preserve"> f</t>
    </r>
    <r>
      <rPr>
        <vertAlign val="subscript"/>
        <sz val="11"/>
        <rFont val="Arial"/>
      </rPr>
      <t>LINEmin</t>
    </r>
    <r>
      <rPr>
        <sz val="11"/>
        <rFont val="Arial"/>
      </rPr>
      <t xml:space="preserve"> =</t>
    </r>
  </si>
  <si>
    <t>µF</t>
  </si>
  <si>
    <t>Minimum Input Voltage for Start-Up</t>
  </si>
  <si>
    <r>
      <t>Regulated Output Voltage, Constant Voltage Mode, V</t>
    </r>
    <r>
      <rPr>
        <vertAlign val="subscript"/>
        <sz val="11"/>
        <color rgb="FF000000"/>
        <rFont val="Arial"/>
      </rPr>
      <t>OUT_CV</t>
    </r>
    <r>
      <rPr>
        <sz val="11"/>
        <color rgb="FF000000"/>
        <rFont val="Arial"/>
      </rPr>
      <t xml:space="preserve"> =</t>
    </r>
  </si>
  <si>
    <r>
      <t>V</t>
    </r>
    <r>
      <rPr>
        <vertAlign val="subscript"/>
        <sz val="11"/>
        <rFont val="Arial"/>
      </rPr>
      <t>INPUTrun</t>
    </r>
    <r>
      <rPr>
        <sz val="11"/>
        <rFont val="Arial"/>
      </rPr>
      <t xml:space="preserve"> =</t>
    </r>
  </si>
  <si>
    <t>VDC</t>
  </si>
  <si>
    <r>
      <t>C</t>
    </r>
    <r>
      <rPr>
        <b/>
        <vertAlign val="subscript"/>
        <sz val="12"/>
        <color rgb="FFFF0000"/>
        <rFont val="Arial"/>
      </rPr>
      <t>VDD</t>
    </r>
  </si>
  <si>
    <r>
      <t>Full Load Rated Output Current, I</t>
    </r>
    <r>
      <rPr>
        <vertAlign val="subscript"/>
        <sz val="11"/>
        <color rgb="FF000000"/>
        <rFont val="Arial"/>
      </rPr>
      <t>OUT</t>
    </r>
    <r>
      <rPr>
        <sz val="11"/>
        <color rgb="FF000000"/>
        <rFont val="Arial"/>
      </rPr>
      <t xml:space="preserve"> =</t>
    </r>
  </si>
  <si>
    <t>A</t>
  </si>
  <si>
    <t xml:space="preserve">Minimum Peak Bulk Input Voltage </t>
  </si>
  <si>
    <r>
      <t>V</t>
    </r>
    <r>
      <rPr>
        <vertAlign val="subscript"/>
        <sz val="11"/>
        <color rgb="FF000000"/>
        <rFont val="Arial"/>
      </rPr>
      <t>BULKmin</t>
    </r>
    <r>
      <rPr>
        <sz val="11"/>
        <color rgb="FF000000"/>
        <rFont val="Arial"/>
      </rPr>
      <t xml:space="preserve"> =</t>
    </r>
  </si>
  <si>
    <t>Voltage Rating:</t>
  </si>
  <si>
    <r>
      <t>Target Constant Current Mode Output Load Threshold, I</t>
    </r>
    <r>
      <rPr>
        <vertAlign val="subscript"/>
        <sz val="11"/>
        <color rgb="FF000000"/>
        <rFont val="Arial"/>
      </rPr>
      <t>OCC</t>
    </r>
    <r>
      <rPr>
        <sz val="11"/>
        <color rgb="FF000000"/>
        <rFont val="Arial"/>
      </rPr>
      <t xml:space="preserve"> =</t>
    </r>
  </si>
  <si>
    <r>
      <t>C</t>
    </r>
    <r>
      <rPr>
        <b/>
        <vertAlign val="subscript"/>
        <sz val="12"/>
        <color rgb="FFFF0000"/>
        <rFont val="Arial"/>
      </rPr>
      <t>Z</t>
    </r>
  </si>
  <si>
    <r>
      <t>Target Minimum Output Voltage During Constant Current Regulation, V</t>
    </r>
    <r>
      <rPr>
        <vertAlign val="subscript"/>
        <sz val="11"/>
        <color rgb="FF000000"/>
        <rFont val="Arial"/>
      </rPr>
      <t>OUT_CC</t>
    </r>
    <r>
      <rPr>
        <sz val="11"/>
        <color rgb="FF000000"/>
        <rFont val="Arial"/>
      </rPr>
      <t xml:space="preserve"> =</t>
    </r>
  </si>
  <si>
    <r>
      <t>D</t>
    </r>
    <r>
      <rPr>
        <b/>
        <vertAlign val="subscript"/>
        <sz val="12"/>
        <color rgb="FFFF0000"/>
        <rFont val="Arial"/>
      </rPr>
      <t>AUX</t>
    </r>
  </si>
  <si>
    <t>Switching</t>
  </si>
  <si>
    <t>Minimum Required Blocking Voltage:</t>
  </si>
  <si>
    <t>Minimum Rated Current:</t>
  </si>
  <si>
    <t>mA</t>
  </si>
  <si>
    <t>Maximum Peak Bulk Input Voltage</t>
  </si>
  <si>
    <r>
      <t>V</t>
    </r>
    <r>
      <rPr>
        <vertAlign val="subscript"/>
        <sz val="11"/>
        <color rgb="FF000000"/>
        <rFont val="Arial"/>
      </rPr>
      <t>BULKmax</t>
    </r>
    <r>
      <rPr>
        <sz val="11"/>
        <color rgb="FF000000"/>
        <rFont val="Arial"/>
      </rPr>
      <t xml:space="preserve"> =</t>
    </r>
  </si>
  <si>
    <r>
      <t>D</t>
    </r>
    <r>
      <rPr>
        <b/>
        <vertAlign val="subscript"/>
        <sz val="12"/>
        <color rgb="FFFF0000"/>
        <rFont val="Arial"/>
      </rPr>
      <t>CLAMP</t>
    </r>
  </si>
  <si>
    <t>Transient Voltage Suppressor</t>
  </si>
  <si>
    <r>
      <t>Allowable Output Voltage Drop During Load-Step Transient in Constant Voltage Mode, V</t>
    </r>
    <r>
      <rPr>
        <vertAlign val="subscript"/>
        <sz val="11"/>
        <color rgb="FF000000"/>
        <rFont val="Arial"/>
      </rPr>
      <t xml:space="preserve">OUTΔ </t>
    </r>
    <r>
      <rPr>
        <sz val="11"/>
        <color rgb="FF000000"/>
        <rFont val="Arial"/>
      </rPr>
      <t>=</t>
    </r>
  </si>
  <si>
    <r>
      <t>Maximum Peak to Peak Output Voltage Ripple, V</t>
    </r>
    <r>
      <rPr>
        <vertAlign val="subscript"/>
        <sz val="11"/>
        <color rgb="FF000000"/>
        <rFont val="Arial"/>
      </rPr>
      <t>RIPPLE</t>
    </r>
    <r>
      <rPr>
        <sz val="11"/>
        <color rgb="FF000000"/>
        <rFont val="Arial"/>
      </rPr>
      <t xml:space="preserve"> =</t>
    </r>
  </si>
  <si>
    <t>mV</t>
  </si>
  <si>
    <r>
      <t>Maximum Desired Switching Frequency, User must input value not greater than 100 kHz,  f</t>
    </r>
    <r>
      <rPr>
        <vertAlign val="subscript"/>
        <sz val="11"/>
        <color rgb="FF000000"/>
        <rFont val="Arial"/>
      </rPr>
      <t>max</t>
    </r>
    <r>
      <rPr>
        <sz val="11"/>
        <color rgb="FF000000"/>
        <rFont val="Arial"/>
      </rPr>
      <t xml:space="preserve"> =</t>
    </r>
  </si>
  <si>
    <t>kHz</t>
  </si>
  <si>
    <r>
      <t>Output Over Voltage Protection, V</t>
    </r>
    <r>
      <rPr>
        <vertAlign val="subscript"/>
        <sz val="11"/>
        <color rgb="FF000000"/>
        <rFont val="Arial"/>
      </rPr>
      <t>OUT_OVP</t>
    </r>
    <r>
      <rPr>
        <sz val="11"/>
        <color rgb="FF000000"/>
        <rFont val="Arial"/>
      </rPr>
      <t xml:space="preserve"> =</t>
    </r>
  </si>
  <si>
    <t>Nominal Peak Bulk Input Voltage</t>
  </si>
  <si>
    <t>Voltage:</t>
  </si>
  <si>
    <r>
      <t>V</t>
    </r>
    <r>
      <rPr>
        <vertAlign val="subscript"/>
        <sz val="11"/>
        <color rgb="FF000000"/>
        <rFont val="Arial"/>
      </rPr>
      <t>BULKnom</t>
    </r>
    <r>
      <rPr>
        <sz val="11"/>
        <color rgb="FF000000"/>
        <rFont val="Arial"/>
      </rPr>
      <t xml:space="preserve"> =</t>
    </r>
  </si>
  <si>
    <r>
      <t>Required Positive Load Step Transient Current, I</t>
    </r>
    <r>
      <rPr>
        <vertAlign val="subscript"/>
        <sz val="11"/>
        <color rgb="FF000000"/>
        <rFont val="Arial"/>
      </rPr>
      <t>TRAN</t>
    </r>
    <r>
      <rPr>
        <sz val="11"/>
        <color rgb="FF000000"/>
        <rFont val="Arial"/>
      </rPr>
      <t xml:space="preserve"> =</t>
    </r>
  </si>
  <si>
    <r>
      <t>Maximum Allowable Response Time to Load Step Transient, t</t>
    </r>
    <r>
      <rPr>
        <vertAlign val="subscript"/>
        <sz val="11"/>
        <color rgb="FF000000"/>
        <rFont val="Arial"/>
      </rPr>
      <t>RESP</t>
    </r>
    <r>
      <rPr>
        <sz val="11"/>
        <color rgb="FF000000"/>
        <rFont val="Arial"/>
      </rPr>
      <t xml:space="preserve"> =</t>
    </r>
  </si>
  <si>
    <t>ms</t>
  </si>
  <si>
    <r>
      <t>Target Maximum Stand By Power Dissipation, P</t>
    </r>
    <r>
      <rPr>
        <vertAlign val="subscript"/>
        <sz val="11"/>
        <color rgb="FF000000"/>
        <rFont val="Arial"/>
      </rPr>
      <t>SBtarget</t>
    </r>
    <r>
      <rPr>
        <sz val="11"/>
        <color rgb="FF000000"/>
        <rFont val="Arial"/>
      </rPr>
      <t xml:space="preserve"> =</t>
    </r>
  </si>
  <si>
    <t>Power Rating:</t>
  </si>
  <si>
    <t>W</t>
  </si>
  <si>
    <t>Turn-On Peak Bulk Input Voltage</t>
  </si>
  <si>
    <t>mW</t>
  </si>
  <si>
    <r>
      <t>V</t>
    </r>
    <r>
      <rPr>
        <vertAlign val="subscript"/>
        <sz val="11"/>
        <color rgb="FF000000"/>
        <rFont val="Arial"/>
      </rPr>
      <t>BULKstartup</t>
    </r>
    <r>
      <rPr>
        <sz val="11"/>
        <color rgb="FF000000"/>
        <rFont val="Arial"/>
      </rPr>
      <t xml:space="preserve"> =</t>
    </r>
  </si>
  <si>
    <r>
      <t>D</t>
    </r>
    <r>
      <rPr>
        <b/>
        <vertAlign val="subscript"/>
        <sz val="12"/>
        <color rgb="FFFF0000"/>
        <rFont val="Arial"/>
      </rPr>
      <t>OUT</t>
    </r>
  </si>
  <si>
    <t>Schottky</t>
  </si>
  <si>
    <t xml:space="preserve">Line Cycle Period </t>
  </si>
  <si>
    <r>
      <t>t</t>
    </r>
    <r>
      <rPr>
        <vertAlign val="subscript"/>
        <sz val="11"/>
        <color rgb="FF000000"/>
        <rFont val="Arial"/>
      </rPr>
      <t>LINE</t>
    </r>
    <r>
      <rPr>
        <sz val="11"/>
        <color rgb="FF000000"/>
        <rFont val="Arial"/>
      </rPr>
      <t xml:space="preserve"> = </t>
    </r>
  </si>
  <si>
    <t>Minimum Blocking Voltage Rating:</t>
  </si>
  <si>
    <t>COMPONENT SELECTION USER INPUTS</t>
  </si>
  <si>
    <t>Minimum Average Current Rating:</t>
  </si>
  <si>
    <t>COMPONENT</t>
  </si>
  <si>
    <t>PARAMETER</t>
  </si>
  <si>
    <r>
      <t>D</t>
    </r>
    <r>
      <rPr>
        <b/>
        <vertAlign val="subscript"/>
        <sz val="12"/>
        <color rgb="FFFF0000"/>
        <rFont val="Arial"/>
      </rPr>
      <t>1</t>
    </r>
  </si>
  <si>
    <t>OUTPUT</t>
  </si>
  <si>
    <t>Ultra Fast</t>
  </si>
  <si>
    <t xml:space="preserve">Regulated Output Voltage, Constant Voltage Mode </t>
  </si>
  <si>
    <t>COMMENT</t>
  </si>
  <si>
    <r>
      <t>V</t>
    </r>
    <r>
      <rPr>
        <vertAlign val="subscript"/>
        <sz val="11"/>
        <rFont val="Arial"/>
      </rPr>
      <t>OUT_CV</t>
    </r>
    <r>
      <rPr>
        <sz val="11"/>
        <rFont val="Arial"/>
      </rPr>
      <t xml:space="preserve"> =</t>
    </r>
  </si>
  <si>
    <t>Current Rating:</t>
  </si>
  <si>
    <r>
      <t>Input Capacitor, C</t>
    </r>
    <r>
      <rPr>
        <b/>
        <vertAlign val="subscript"/>
        <sz val="11"/>
        <color rgb="FFFFFFFF"/>
        <rFont val="Arial"/>
      </rPr>
      <t>BULK</t>
    </r>
  </si>
  <si>
    <t>Full Load Rated Output Current</t>
  </si>
  <si>
    <t>FUSE</t>
  </si>
  <si>
    <r>
      <t>I</t>
    </r>
    <r>
      <rPr>
        <vertAlign val="subscript"/>
        <sz val="11"/>
        <rFont val="Arial"/>
      </rPr>
      <t>OUT</t>
    </r>
    <r>
      <rPr>
        <sz val="11"/>
        <rFont val="Arial"/>
      </rPr>
      <t xml:space="preserve"> =</t>
    </r>
  </si>
  <si>
    <t>Slow Blow</t>
  </si>
  <si>
    <r>
      <t xml:space="preserve">Desired </t>
    </r>
    <r>
      <rPr>
        <sz val="11"/>
        <rFont val="Arial"/>
      </rPr>
      <t>Minimum Valley Voltage, V</t>
    </r>
    <r>
      <rPr>
        <vertAlign val="subscript"/>
        <sz val="11"/>
        <rFont val="Arial"/>
      </rPr>
      <t>BULKvalley_desired</t>
    </r>
    <r>
      <rPr>
        <sz val="11"/>
        <rFont val="Arial"/>
      </rPr>
      <t xml:space="preserve"> =</t>
    </r>
  </si>
  <si>
    <t>Target Constant Current Mode Output Load Threshold</t>
  </si>
  <si>
    <r>
      <t>I</t>
    </r>
    <r>
      <rPr>
        <vertAlign val="subscript"/>
        <sz val="11"/>
        <rFont val="Arial"/>
      </rPr>
      <t>OCC_target</t>
    </r>
    <r>
      <rPr>
        <sz val="11"/>
        <rFont val="Arial"/>
      </rPr>
      <t xml:space="preserve"> =</t>
    </r>
  </si>
  <si>
    <t>Target Minimum Output Voltage During Constant Current Regulation</t>
  </si>
  <si>
    <r>
      <t>Used to determine the required input bulk capacitor at minimum line, full load. For DC input, use V</t>
    </r>
    <r>
      <rPr>
        <vertAlign val="subscript"/>
        <sz val="11"/>
        <rFont val="Arial"/>
      </rPr>
      <t>INPUTrun</t>
    </r>
  </si>
  <si>
    <r>
      <t>V</t>
    </r>
    <r>
      <rPr>
        <vertAlign val="subscript"/>
        <sz val="11"/>
        <rFont val="Arial"/>
      </rPr>
      <t>OUT_CC</t>
    </r>
    <r>
      <rPr>
        <sz val="11"/>
        <rFont val="Arial"/>
      </rPr>
      <t xml:space="preserve"> =</t>
    </r>
  </si>
  <si>
    <t>Minimum Peak Current Rating:</t>
  </si>
  <si>
    <r>
      <rPr>
        <b/>
        <sz val="11"/>
        <color rgb="FF000000"/>
        <rFont val="Arial"/>
      </rPr>
      <t>Recommended</t>
    </r>
    <r>
      <rPr>
        <sz val="11"/>
        <color rgb="FF000000"/>
        <rFont val="Arial"/>
      </rPr>
      <t xml:space="preserve"> Input Bulk Capacitance, C</t>
    </r>
    <r>
      <rPr>
        <vertAlign val="subscript"/>
        <sz val="11"/>
        <color rgb="FF000000"/>
        <rFont val="Arial"/>
      </rPr>
      <t>BULK</t>
    </r>
    <r>
      <rPr>
        <sz val="11"/>
        <color rgb="FF000000"/>
        <rFont val="Arial"/>
      </rPr>
      <t xml:space="preserve"> =</t>
    </r>
  </si>
  <si>
    <t>Using a value less than recommended will result in a minimum valley voltage less than desired, requiring a larger power stage to accommodate the higher currents due to the lower input rail.  Using a value larger than recommended will result in a higher input rail and lower currents on the power stage but higher peak current in the input capacitor itself.</t>
  </si>
  <si>
    <t>OPTO-COUPLER</t>
  </si>
  <si>
    <r>
      <t>CTR</t>
    </r>
    <r>
      <rPr>
        <vertAlign val="subscript"/>
        <sz val="12"/>
        <color rgb="FF000000"/>
        <rFont val="Arial"/>
      </rPr>
      <t>min</t>
    </r>
    <r>
      <rPr>
        <sz val="12"/>
        <color rgb="FF000000"/>
        <rFont val="Arial"/>
      </rPr>
      <t>:</t>
    </r>
  </si>
  <si>
    <r>
      <rPr>
        <b/>
        <sz val="11"/>
        <color rgb="FF000000"/>
        <rFont val="Arial"/>
      </rPr>
      <t>Actual</t>
    </r>
    <r>
      <rPr>
        <sz val="11"/>
        <color rgb="FF000000"/>
        <rFont val="Arial"/>
      </rPr>
      <t xml:space="preserve"> Input Bulk Capacitance, C</t>
    </r>
    <r>
      <rPr>
        <vertAlign val="subscript"/>
        <sz val="11"/>
        <color rgb="FF000000"/>
        <rFont val="Arial"/>
      </rPr>
      <t>BULK</t>
    </r>
    <r>
      <rPr>
        <sz val="11"/>
        <color rgb="FF000000"/>
        <rFont val="Arial"/>
      </rPr>
      <t>, Used =</t>
    </r>
  </si>
  <si>
    <t>Enter actual input bulk capacitor used</t>
  </si>
  <si>
    <t>Allowable Output Voltage Drop During Load-Step Transient in Constant Voltage Mode</t>
  </si>
  <si>
    <r>
      <t>Output Rectifier, D</t>
    </r>
    <r>
      <rPr>
        <b/>
        <vertAlign val="subscript"/>
        <sz val="11"/>
        <color rgb="FFFFFFFF"/>
        <rFont val="Arial"/>
      </rPr>
      <t>OUT</t>
    </r>
  </si>
  <si>
    <r>
      <t>V</t>
    </r>
    <r>
      <rPr>
        <vertAlign val="subscript"/>
        <sz val="11"/>
        <rFont val="Arial"/>
      </rPr>
      <t>OUTΔ</t>
    </r>
    <r>
      <rPr>
        <sz val="11"/>
        <rFont val="Arial"/>
      </rPr>
      <t xml:space="preserve"> =</t>
    </r>
  </si>
  <si>
    <r>
      <t>Forward Voltage Drop of Output Rectifier, V</t>
    </r>
    <r>
      <rPr>
        <vertAlign val="subscript"/>
        <sz val="11"/>
        <color rgb="FF000000"/>
        <rFont val="Arial"/>
      </rPr>
      <t>F</t>
    </r>
    <r>
      <rPr>
        <sz val="11"/>
        <color rgb="FF000000"/>
        <rFont val="Arial"/>
      </rPr>
      <t xml:space="preserve"> =</t>
    </r>
  </si>
  <si>
    <r>
      <t>Enter V</t>
    </r>
    <r>
      <rPr>
        <vertAlign val="subscript"/>
        <sz val="11"/>
        <color rgb="FF000000"/>
        <rFont val="Arial"/>
      </rPr>
      <t>F</t>
    </r>
    <r>
      <rPr>
        <sz val="11"/>
        <color rgb="FF000000"/>
        <rFont val="Arial"/>
      </rPr>
      <t xml:space="preserve"> at full load</t>
    </r>
  </si>
  <si>
    <r>
      <t>Output Inductor, L</t>
    </r>
    <r>
      <rPr>
        <b/>
        <vertAlign val="subscript"/>
        <sz val="11"/>
        <color rgb="FFFFFFFF"/>
        <rFont val="Arial"/>
      </rPr>
      <t>OUT</t>
    </r>
  </si>
  <si>
    <r>
      <t>DCR of Output Inductor, DCR</t>
    </r>
    <r>
      <rPr>
        <vertAlign val="subscript"/>
        <sz val="11"/>
        <color rgb="FF000000"/>
        <rFont val="Arial"/>
      </rPr>
      <t>Lout</t>
    </r>
    <r>
      <rPr>
        <sz val="11"/>
        <color rgb="FF000000"/>
        <rFont val="Arial"/>
      </rPr>
      <t>, if used =</t>
    </r>
  </si>
  <si>
    <t>mΩ</t>
  </si>
  <si>
    <t>Enter 0 if no secondary LC filter used</t>
  </si>
  <si>
    <t>Flyback Transformer, Primary to Secondary Turns Ratio</t>
  </si>
  <si>
    <t>Maximum Peak to Peak Output Voltage Ripple</t>
  </si>
  <si>
    <r>
      <t>V</t>
    </r>
    <r>
      <rPr>
        <vertAlign val="subscript"/>
        <sz val="11"/>
        <rFont val="Arial"/>
      </rPr>
      <t>RIPPLE</t>
    </r>
    <r>
      <rPr>
        <sz val="11"/>
        <rFont val="Arial"/>
      </rPr>
      <t xml:space="preserve"> =</t>
    </r>
  </si>
  <si>
    <t>Required Positive Load Step Transient Current</t>
  </si>
  <si>
    <r>
      <t>I</t>
    </r>
    <r>
      <rPr>
        <vertAlign val="subscript"/>
        <sz val="11"/>
        <rFont val="Arial"/>
      </rPr>
      <t>TRAN</t>
    </r>
    <r>
      <rPr>
        <sz val="11"/>
        <rFont val="Arial"/>
      </rPr>
      <t xml:space="preserve"> =</t>
    </r>
  </si>
  <si>
    <t>Q</t>
  </si>
  <si>
    <t>Maximum Allowable Response Time to Load Step Transient</t>
  </si>
  <si>
    <r>
      <t>Minimum V</t>
    </r>
    <r>
      <rPr>
        <vertAlign val="subscript"/>
        <sz val="12"/>
        <color rgb="FF000000"/>
        <rFont val="Arial"/>
      </rPr>
      <t>DS</t>
    </r>
    <r>
      <rPr>
        <sz val="12"/>
        <color rgb="FF000000"/>
        <rFont val="Arial"/>
      </rPr>
      <t xml:space="preserve"> Voltage Rating:</t>
    </r>
  </si>
  <si>
    <r>
      <t>t</t>
    </r>
    <r>
      <rPr>
        <vertAlign val="subscript"/>
        <sz val="11"/>
        <rFont val="Arial"/>
      </rPr>
      <t>RESP</t>
    </r>
    <r>
      <rPr>
        <sz val="11"/>
        <rFont val="Arial"/>
      </rPr>
      <t xml:space="preserve"> =</t>
    </r>
  </si>
  <si>
    <t>Minimum Continuous Current Rating:</t>
  </si>
  <si>
    <r>
      <rPr>
        <b/>
        <sz val="11"/>
        <color rgb="FF000000"/>
        <rFont val="Arial"/>
      </rPr>
      <t>Ideal</t>
    </r>
    <r>
      <rPr>
        <sz val="11"/>
        <color rgb="FF000000"/>
        <rFont val="Arial"/>
      </rPr>
      <t xml:space="preserve"> Primary to Secondary Turns Ratio, N</t>
    </r>
    <r>
      <rPr>
        <vertAlign val="subscript"/>
        <sz val="11"/>
        <color rgb="FF000000"/>
        <rFont val="Arial"/>
      </rPr>
      <t>PSideal</t>
    </r>
    <r>
      <rPr>
        <sz val="11"/>
        <color rgb="FF000000"/>
        <rFont val="Arial"/>
      </rPr>
      <t xml:space="preserve"> =</t>
    </r>
  </si>
  <si>
    <t>Minimum Repetitive Peak Current Rating:</t>
  </si>
  <si>
    <r>
      <t>Recommended N</t>
    </r>
    <r>
      <rPr>
        <vertAlign val="subscript"/>
        <sz val="11"/>
        <color rgb="FF000000"/>
        <rFont val="Arial"/>
      </rPr>
      <t>PS</t>
    </r>
  </si>
  <si>
    <t>Output Over Voltage Protection</t>
  </si>
  <si>
    <r>
      <rPr>
        <b/>
        <sz val="11"/>
        <color rgb="FF000000"/>
        <rFont val="Arial"/>
      </rPr>
      <t>Actual</t>
    </r>
    <r>
      <rPr>
        <sz val="11"/>
        <color rgb="FF000000"/>
        <rFont val="Arial"/>
      </rPr>
      <t xml:space="preserve"> Primary to Secondary Turns Ratio Used, N</t>
    </r>
    <r>
      <rPr>
        <vertAlign val="subscript"/>
        <sz val="11"/>
        <color rgb="FF000000"/>
        <rFont val="Arial"/>
      </rPr>
      <t>PS</t>
    </r>
    <r>
      <rPr>
        <sz val="11"/>
        <color rgb="FF000000"/>
        <rFont val="Arial"/>
      </rPr>
      <t xml:space="preserve">  =</t>
    </r>
  </si>
  <si>
    <r>
      <t>V</t>
    </r>
    <r>
      <rPr>
        <vertAlign val="subscript"/>
        <sz val="11"/>
        <rFont val="Arial"/>
      </rPr>
      <t>OUT_OVP</t>
    </r>
    <r>
      <rPr>
        <sz val="11"/>
        <rFont val="Arial"/>
      </rPr>
      <t xml:space="preserve"> =</t>
    </r>
  </si>
  <si>
    <r>
      <t>R</t>
    </r>
    <r>
      <rPr>
        <b/>
        <vertAlign val="subscript"/>
        <sz val="12"/>
        <color rgb="FFFF0000"/>
        <rFont val="Arial"/>
      </rPr>
      <t>CS</t>
    </r>
  </si>
  <si>
    <r>
      <t>Enter Actual N</t>
    </r>
    <r>
      <rPr>
        <vertAlign val="subscript"/>
        <sz val="11"/>
        <color rgb="FF000000"/>
        <rFont val="Arial"/>
      </rPr>
      <t>PS</t>
    </r>
    <r>
      <rPr>
        <sz val="11"/>
        <color rgb="FF000000"/>
        <rFont val="Arial"/>
      </rPr>
      <t xml:space="preserve"> of Transformer Used</t>
    </r>
  </si>
  <si>
    <t>±1%</t>
  </si>
  <si>
    <r>
      <t>Current Sense Resistor, R</t>
    </r>
    <r>
      <rPr>
        <b/>
        <vertAlign val="subscript"/>
        <sz val="11"/>
        <color rgb="FFFFFFFF"/>
        <rFont val="Arial"/>
      </rPr>
      <t>CS</t>
    </r>
  </si>
  <si>
    <t>Maximum Stand By Power Dissipation</t>
  </si>
  <si>
    <r>
      <t>P</t>
    </r>
    <r>
      <rPr>
        <vertAlign val="subscript"/>
        <sz val="11"/>
        <rFont val="Arial"/>
      </rPr>
      <t>SBtarget</t>
    </r>
    <r>
      <rPr>
        <sz val="11"/>
        <rFont val="Arial"/>
      </rPr>
      <t xml:space="preserve"> =</t>
    </r>
  </si>
  <si>
    <r>
      <rPr>
        <b/>
        <sz val="11"/>
        <color rgb="FF000000"/>
        <rFont val="Arial"/>
      </rPr>
      <t xml:space="preserve">Recommended </t>
    </r>
    <r>
      <rPr>
        <sz val="11"/>
        <color rgb="FF000000"/>
        <rFont val="Arial"/>
      </rPr>
      <t>Current Sense Resistor, R</t>
    </r>
    <r>
      <rPr>
        <vertAlign val="subscript"/>
        <sz val="11"/>
        <color rgb="FF000000"/>
        <rFont val="Arial"/>
      </rPr>
      <t>CS</t>
    </r>
    <r>
      <rPr>
        <sz val="11"/>
        <color rgb="FF000000"/>
        <rFont val="Arial"/>
      </rPr>
      <t xml:space="preserve"> =</t>
    </r>
  </si>
  <si>
    <t>Estimated Efficiency</t>
  </si>
  <si>
    <t>η  =</t>
  </si>
  <si>
    <t>Ω</t>
  </si>
  <si>
    <r>
      <t>Recommended R</t>
    </r>
    <r>
      <rPr>
        <vertAlign val="subscript"/>
        <sz val="11"/>
        <color rgb="FF000000"/>
        <rFont val="Arial"/>
      </rPr>
      <t>CS</t>
    </r>
  </si>
  <si>
    <t>Low Inductance</t>
  </si>
  <si>
    <t>Output Power</t>
  </si>
  <si>
    <r>
      <t>P</t>
    </r>
    <r>
      <rPr>
        <vertAlign val="subscript"/>
        <sz val="11"/>
        <color rgb="FF000000"/>
        <rFont val="Arial"/>
      </rPr>
      <t>OUT</t>
    </r>
    <r>
      <rPr>
        <sz val="11"/>
        <color rgb="FF000000"/>
        <rFont val="Arial"/>
      </rPr>
      <t xml:space="preserve"> =</t>
    </r>
  </si>
  <si>
    <r>
      <rPr>
        <b/>
        <sz val="11"/>
        <color rgb="FF000000"/>
        <rFont val="Arial"/>
      </rPr>
      <t>Actual</t>
    </r>
    <r>
      <rPr>
        <sz val="11"/>
        <color rgb="FF000000"/>
        <rFont val="Arial"/>
      </rPr>
      <t xml:space="preserve"> Current Sense Resistor Used, R</t>
    </r>
    <r>
      <rPr>
        <vertAlign val="subscript"/>
        <sz val="11"/>
        <color rgb="FF000000"/>
        <rFont val="Arial"/>
      </rPr>
      <t>CS</t>
    </r>
    <r>
      <rPr>
        <sz val="11"/>
        <color rgb="FF000000"/>
        <rFont val="Arial"/>
      </rPr>
      <t xml:space="preserve"> =</t>
    </r>
  </si>
  <si>
    <t>Estimated Input Power</t>
  </si>
  <si>
    <r>
      <t>P</t>
    </r>
    <r>
      <rPr>
        <vertAlign val="subscript"/>
        <sz val="11"/>
        <color rgb="FF000000"/>
        <rFont val="Arial"/>
      </rPr>
      <t>IN</t>
    </r>
    <r>
      <rPr>
        <sz val="11"/>
        <color rgb="FF000000"/>
        <rFont val="Arial"/>
      </rPr>
      <t xml:space="preserve"> =</t>
    </r>
  </si>
  <si>
    <r>
      <t>Enter Actual R</t>
    </r>
    <r>
      <rPr>
        <vertAlign val="subscript"/>
        <sz val="11"/>
        <color rgb="FF000000"/>
        <rFont val="Arial"/>
      </rPr>
      <t>CS</t>
    </r>
    <r>
      <rPr>
        <sz val="11"/>
        <color rgb="FF000000"/>
        <rFont val="Arial"/>
      </rPr>
      <t xml:space="preserve"> Used</t>
    </r>
  </si>
  <si>
    <r>
      <t>R</t>
    </r>
    <r>
      <rPr>
        <b/>
        <vertAlign val="subscript"/>
        <sz val="12"/>
        <color rgb="FFFF0000"/>
        <rFont val="Arial"/>
      </rPr>
      <t>FB1</t>
    </r>
  </si>
  <si>
    <t>Flyback Transformer, T</t>
  </si>
  <si>
    <r>
      <rPr>
        <b/>
        <sz val="11"/>
        <color rgb="FF000000"/>
        <rFont val="Arial"/>
      </rPr>
      <t>Recommended</t>
    </r>
    <r>
      <rPr>
        <sz val="11"/>
        <color rgb="FF000000"/>
        <rFont val="Arial"/>
      </rPr>
      <t xml:space="preserve"> Primary Inductance Value, L</t>
    </r>
    <r>
      <rPr>
        <vertAlign val="subscript"/>
        <sz val="11"/>
        <color rgb="FF000000"/>
        <rFont val="Arial"/>
      </rPr>
      <t>P</t>
    </r>
    <r>
      <rPr>
        <sz val="11"/>
        <color rgb="FF000000"/>
        <rFont val="Arial"/>
      </rPr>
      <t xml:space="preserve"> =</t>
    </r>
  </si>
  <si>
    <t>µH</t>
  </si>
  <si>
    <t>COMPONENT PARAMETER CALCULATIONS</t>
  </si>
  <si>
    <r>
      <t>R</t>
    </r>
    <r>
      <rPr>
        <b/>
        <vertAlign val="subscript"/>
        <sz val="12"/>
        <color rgb="FFFF0000"/>
        <rFont val="Arial"/>
      </rPr>
      <t>FB2</t>
    </r>
  </si>
  <si>
    <r>
      <rPr>
        <b/>
        <sz val="11"/>
        <color rgb="FF000000"/>
        <rFont val="Arial"/>
      </rPr>
      <t xml:space="preserve">Actual </t>
    </r>
    <r>
      <rPr>
        <sz val="11"/>
        <color rgb="FF000000"/>
        <rFont val="Arial"/>
      </rPr>
      <t>Primary Inductance Used, L</t>
    </r>
    <r>
      <rPr>
        <vertAlign val="subscript"/>
        <sz val="11"/>
        <color rgb="FF000000"/>
        <rFont val="Arial"/>
      </rPr>
      <t xml:space="preserve">P </t>
    </r>
    <r>
      <rPr>
        <sz val="11"/>
        <color rgb="FF000000"/>
        <rFont val="Arial"/>
      </rPr>
      <t>=</t>
    </r>
  </si>
  <si>
    <r>
      <t>R</t>
    </r>
    <r>
      <rPr>
        <b/>
        <vertAlign val="subscript"/>
        <sz val="12"/>
        <color rgb="FFFF0000"/>
        <rFont val="Arial"/>
      </rPr>
      <t>FB3</t>
    </r>
  </si>
  <si>
    <r>
      <t>INPUT CAPACITOR, C</t>
    </r>
    <r>
      <rPr>
        <b/>
        <i/>
        <vertAlign val="subscript"/>
        <sz val="11"/>
        <color rgb="FFFFFFFF"/>
        <rFont val="Arial"/>
      </rPr>
      <t>BULK</t>
    </r>
  </si>
  <si>
    <r>
      <rPr>
        <b/>
        <sz val="11"/>
        <color rgb="FF000000"/>
        <rFont val="Arial"/>
      </rPr>
      <t>Recommended</t>
    </r>
    <r>
      <rPr>
        <sz val="11"/>
        <color rgb="FF000000"/>
        <rFont val="Arial"/>
      </rPr>
      <t xml:space="preserve"> Primary to Auxillary Turns Ratio, N</t>
    </r>
    <r>
      <rPr>
        <vertAlign val="subscript"/>
        <sz val="11"/>
        <color rgb="FF000000"/>
        <rFont val="Arial"/>
      </rPr>
      <t>PA</t>
    </r>
    <r>
      <rPr>
        <sz val="11"/>
        <color rgb="FF000000"/>
        <rFont val="Arial"/>
      </rPr>
      <t xml:space="preserve"> =</t>
    </r>
  </si>
  <si>
    <r>
      <t>Suggested N</t>
    </r>
    <r>
      <rPr>
        <vertAlign val="subscript"/>
        <sz val="11"/>
        <color rgb="FF000000"/>
        <rFont val="Arial"/>
      </rPr>
      <t>PA</t>
    </r>
  </si>
  <si>
    <r>
      <t>R</t>
    </r>
    <r>
      <rPr>
        <b/>
        <vertAlign val="subscript"/>
        <sz val="12"/>
        <color rgb="FFFF0000"/>
        <rFont val="Arial"/>
      </rPr>
      <t>FB4</t>
    </r>
  </si>
  <si>
    <r>
      <t>k</t>
    </r>
    <r>
      <rPr>
        <sz val="12"/>
        <color rgb="FF000000"/>
        <rFont val="Calibri"/>
      </rPr>
      <t>Ω</t>
    </r>
  </si>
  <si>
    <r>
      <rPr>
        <b/>
        <sz val="11"/>
        <color rgb="FF000000"/>
        <rFont val="Arial"/>
      </rPr>
      <t>Recommended</t>
    </r>
    <r>
      <rPr>
        <sz val="11"/>
        <color rgb="FF000000"/>
        <rFont val="Arial"/>
      </rPr>
      <t xml:space="preserve"> Input Bulk Capacitance</t>
    </r>
  </si>
  <si>
    <r>
      <rPr>
        <b/>
        <sz val="11"/>
        <color rgb="FF000000"/>
        <rFont val="Arial"/>
      </rPr>
      <t>Actual</t>
    </r>
    <r>
      <rPr>
        <sz val="11"/>
        <color rgb="FF000000"/>
        <rFont val="Arial"/>
      </rPr>
      <t xml:space="preserve"> Primary to Auxiliary Turns Ratio, N</t>
    </r>
    <r>
      <rPr>
        <vertAlign val="subscript"/>
        <sz val="11"/>
        <color rgb="FF000000"/>
        <rFont val="Arial"/>
      </rPr>
      <t>PA</t>
    </r>
    <r>
      <rPr>
        <sz val="11"/>
        <color rgb="FF000000"/>
        <rFont val="Arial"/>
      </rPr>
      <t xml:space="preserve"> =</t>
    </r>
  </si>
  <si>
    <r>
      <t>Enter Actual N</t>
    </r>
    <r>
      <rPr>
        <vertAlign val="subscript"/>
        <sz val="11"/>
        <color rgb="FF000000"/>
        <rFont val="Arial"/>
      </rPr>
      <t>PA</t>
    </r>
    <r>
      <rPr>
        <sz val="11"/>
        <color rgb="FF000000"/>
        <rFont val="Arial"/>
      </rPr>
      <t xml:space="preserve"> of Transformer Used</t>
    </r>
  </si>
  <si>
    <r>
      <t>C</t>
    </r>
    <r>
      <rPr>
        <vertAlign val="subscript"/>
        <sz val="11"/>
        <color rgb="FF000000"/>
        <rFont val="Arial"/>
      </rPr>
      <t>BULKrecommended</t>
    </r>
    <r>
      <rPr>
        <sz val="11"/>
        <color rgb="FF000000"/>
        <rFont val="Arial"/>
      </rPr>
      <t xml:space="preserve"> =</t>
    </r>
  </si>
  <si>
    <r>
      <t>R</t>
    </r>
    <r>
      <rPr>
        <b/>
        <vertAlign val="subscript"/>
        <sz val="12"/>
        <color rgb="FFFF0000"/>
        <rFont val="Arial"/>
      </rPr>
      <t>INJ</t>
    </r>
  </si>
  <si>
    <t>MOSFET Switch, Q</t>
  </si>
  <si>
    <r>
      <t>Required Drain to Soure Voltage Rating , V</t>
    </r>
    <r>
      <rPr>
        <vertAlign val="subscript"/>
        <sz val="11"/>
        <rFont val="Arial"/>
      </rPr>
      <t>DSrated</t>
    </r>
    <r>
      <rPr>
        <sz val="11"/>
        <rFont val="Arial"/>
      </rPr>
      <t xml:space="preserve"> =</t>
    </r>
  </si>
  <si>
    <r>
      <t>R</t>
    </r>
    <r>
      <rPr>
        <b/>
        <vertAlign val="subscript"/>
        <sz val="12"/>
        <color rgb="FFFF0000"/>
        <rFont val="Arial"/>
      </rPr>
      <t>LC</t>
    </r>
  </si>
  <si>
    <r>
      <rPr>
        <b/>
        <sz val="11"/>
        <color rgb="FF000000"/>
        <rFont val="Arial"/>
      </rPr>
      <t>Actual</t>
    </r>
    <r>
      <rPr>
        <sz val="11"/>
        <color rgb="FF000000"/>
        <rFont val="Arial"/>
      </rPr>
      <t xml:space="preserve"> Input Bulk Capacitance</t>
    </r>
  </si>
  <si>
    <r>
      <t>C</t>
    </r>
    <r>
      <rPr>
        <vertAlign val="subscript"/>
        <sz val="11"/>
        <color rgb="FF000000"/>
        <rFont val="Arial"/>
      </rPr>
      <t>BULKactual</t>
    </r>
    <r>
      <rPr>
        <sz val="11"/>
        <color rgb="FF000000"/>
        <rFont val="Arial"/>
      </rPr>
      <t xml:space="preserve"> =</t>
    </r>
  </si>
  <si>
    <r>
      <t>R</t>
    </r>
    <r>
      <rPr>
        <b/>
        <vertAlign val="subscript"/>
        <sz val="12"/>
        <color rgb="FFFF0000"/>
        <rFont val="Arial"/>
      </rPr>
      <t>OPT</t>
    </r>
  </si>
  <si>
    <r>
      <t>k</t>
    </r>
    <r>
      <rPr>
        <sz val="12"/>
        <color rgb="FF000000"/>
        <rFont val="Calibri"/>
      </rPr>
      <t>Ω</t>
    </r>
  </si>
  <si>
    <r>
      <t>R</t>
    </r>
    <r>
      <rPr>
        <b/>
        <vertAlign val="subscript"/>
        <sz val="12"/>
        <color rgb="FFFF0000"/>
        <rFont val="Arial"/>
      </rPr>
      <t>TL</t>
    </r>
  </si>
  <si>
    <t>User Input</t>
  </si>
  <si>
    <r>
      <t>R</t>
    </r>
    <r>
      <rPr>
        <b/>
        <vertAlign val="subscript"/>
        <sz val="12"/>
        <color rgb="FFFF0000"/>
        <rFont val="Arial"/>
      </rPr>
      <t>VDD</t>
    </r>
  </si>
  <si>
    <t>Input Capacitor Value Used in Calculations</t>
  </si>
  <si>
    <t>2 to 50</t>
  </si>
  <si>
    <r>
      <t>C</t>
    </r>
    <r>
      <rPr>
        <vertAlign val="subscript"/>
        <sz val="11"/>
        <color rgb="FF000000"/>
        <rFont val="Arial"/>
      </rPr>
      <t xml:space="preserve">BULK </t>
    </r>
    <r>
      <rPr>
        <sz val="11"/>
        <color rgb="FF000000"/>
        <rFont val="Arial"/>
      </rPr>
      <t>=</t>
    </r>
  </si>
  <si>
    <r>
      <t>MOSFET Rated Drain to Source Voltage, V</t>
    </r>
    <r>
      <rPr>
        <vertAlign val="subscript"/>
        <sz val="11"/>
        <color rgb="FF000000"/>
        <rFont val="Arial"/>
      </rPr>
      <t>DS</t>
    </r>
    <r>
      <rPr>
        <sz val="11"/>
        <color rgb="FF000000"/>
        <rFont val="Arial"/>
      </rPr>
      <t xml:space="preserve"> =</t>
    </r>
  </si>
  <si>
    <t>Minimum Valley Voltage on Input Bulk Capacitors</t>
  </si>
  <si>
    <t>As Needed for Voltage Spike Smoothing</t>
  </si>
  <si>
    <r>
      <t>V</t>
    </r>
    <r>
      <rPr>
        <vertAlign val="subscript"/>
        <sz val="11"/>
        <color rgb="FF000000"/>
        <rFont val="Arial"/>
      </rPr>
      <t>BULKvalley</t>
    </r>
    <r>
      <rPr>
        <sz val="11"/>
        <color rgb="FF000000"/>
        <rFont val="Arial"/>
      </rPr>
      <t xml:space="preserve"> =</t>
    </r>
  </si>
  <si>
    <r>
      <t>Output Capacitance of Selected MOSFET, C</t>
    </r>
    <r>
      <rPr>
        <vertAlign val="subscript"/>
        <sz val="11"/>
        <color rgb="FF000000"/>
        <rFont val="Arial"/>
      </rPr>
      <t>OSS</t>
    </r>
    <r>
      <rPr>
        <sz val="11"/>
        <color rgb="FF000000"/>
        <rFont val="Arial"/>
      </rPr>
      <t xml:space="preserve"> =</t>
    </r>
  </si>
  <si>
    <t>pF</t>
  </si>
  <si>
    <t>1/10 to 1/2</t>
  </si>
  <si>
    <t>Minimum Input Capacitor Ripple Current Rating</t>
  </si>
  <si>
    <r>
      <t>I</t>
    </r>
    <r>
      <rPr>
        <vertAlign val="subscript"/>
        <sz val="11"/>
        <color rgb="FF000000"/>
        <rFont val="Arial"/>
      </rPr>
      <t>CINripple</t>
    </r>
    <r>
      <rPr>
        <sz val="11"/>
        <color rgb="FF000000"/>
        <rFont val="Arial"/>
      </rPr>
      <t xml:space="preserve"> = </t>
    </r>
  </si>
  <si>
    <r>
      <t>Drain to Source On-Resistance of Selected MOSFET, R</t>
    </r>
    <r>
      <rPr>
        <vertAlign val="subscript"/>
        <sz val="11"/>
        <color rgb="FF000000"/>
        <rFont val="Arial"/>
      </rPr>
      <t>DSon</t>
    </r>
    <r>
      <rPr>
        <sz val="11"/>
        <color rgb="FF000000"/>
        <rFont val="Arial"/>
      </rPr>
      <t xml:space="preserve"> =</t>
    </r>
  </si>
  <si>
    <r>
      <t>MOSFET Fall Time, t</t>
    </r>
    <r>
      <rPr>
        <vertAlign val="subscript"/>
        <sz val="11"/>
        <color rgb="FF000000"/>
        <rFont val="Arial"/>
      </rPr>
      <t>f</t>
    </r>
    <r>
      <rPr>
        <sz val="11"/>
        <color rgb="FF000000"/>
        <rFont val="Arial"/>
      </rPr>
      <t xml:space="preserve"> =</t>
    </r>
  </si>
  <si>
    <t>ns</t>
  </si>
  <si>
    <t>Minimum Input Capacitor Voltage Rating</t>
  </si>
  <si>
    <r>
      <t>V</t>
    </r>
    <r>
      <rPr>
        <vertAlign val="subscript"/>
        <sz val="11"/>
        <color rgb="FF000000"/>
        <rFont val="Arial"/>
      </rPr>
      <t>Cin</t>
    </r>
    <r>
      <rPr>
        <sz val="11"/>
        <color rgb="FF000000"/>
        <rFont val="Arial"/>
      </rPr>
      <t xml:space="preserve"> =</t>
    </r>
  </si>
  <si>
    <r>
      <t>R</t>
    </r>
    <r>
      <rPr>
        <b/>
        <vertAlign val="subscript"/>
        <sz val="12"/>
        <color rgb="FFFF0000"/>
        <rFont val="Arial"/>
      </rPr>
      <t>VS1</t>
    </r>
  </si>
  <si>
    <r>
      <t>MOSFET Turn Off Delay Time, t</t>
    </r>
    <r>
      <rPr>
        <vertAlign val="subscript"/>
        <sz val="11"/>
        <color rgb="FF000000"/>
        <rFont val="Arial"/>
      </rPr>
      <t>Doff</t>
    </r>
    <r>
      <rPr>
        <sz val="11"/>
        <color rgb="FF000000"/>
        <rFont val="Arial"/>
      </rPr>
      <t xml:space="preserve"> =</t>
    </r>
  </si>
  <si>
    <r>
      <t>MOSFET Total Gate Charge, Q</t>
    </r>
    <r>
      <rPr>
        <vertAlign val="subscript"/>
        <sz val="11"/>
        <color rgb="FF000000"/>
        <rFont val="Arial"/>
      </rPr>
      <t>g</t>
    </r>
    <r>
      <rPr>
        <sz val="11"/>
        <color rgb="FF000000"/>
        <rFont val="Arial"/>
      </rPr>
      <t xml:space="preserve"> =</t>
    </r>
  </si>
  <si>
    <t>nC</t>
  </si>
  <si>
    <r>
      <t>R</t>
    </r>
    <r>
      <rPr>
        <b/>
        <vertAlign val="subscript"/>
        <sz val="12"/>
        <color rgb="FFFF0000"/>
        <rFont val="Arial"/>
      </rPr>
      <t>VS2</t>
    </r>
  </si>
  <si>
    <t>SHUNT REGULATOR</t>
  </si>
  <si>
    <t>INPUT FUSE</t>
  </si>
  <si>
    <t>Voltage Reference:</t>
  </si>
  <si>
    <t>Voltage Rating</t>
  </si>
  <si>
    <r>
      <t>Output Capacitor, C</t>
    </r>
    <r>
      <rPr>
        <b/>
        <vertAlign val="subscript"/>
        <sz val="11"/>
        <color rgb="FFFFFFFF"/>
        <rFont val="Arial"/>
      </rPr>
      <t>OUT</t>
    </r>
  </si>
  <si>
    <t>TRANSFORMER</t>
  </si>
  <si>
    <t>Primary Inductance:</t>
  </si>
  <si>
    <r>
      <t>V</t>
    </r>
    <r>
      <rPr>
        <vertAlign val="subscript"/>
        <sz val="11"/>
        <rFont val="Arial"/>
      </rPr>
      <t>FUSE</t>
    </r>
    <r>
      <rPr>
        <sz val="11"/>
        <rFont val="Arial"/>
      </rPr>
      <t xml:space="preserve"> =</t>
    </r>
  </si>
  <si>
    <r>
      <rPr>
        <b/>
        <sz val="11"/>
        <color rgb="FF000000"/>
        <rFont val="Arial"/>
      </rPr>
      <t>Recommended</t>
    </r>
    <r>
      <rPr>
        <sz val="11"/>
        <color rgb="FF000000"/>
        <rFont val="Arial"/>
      </rPr>
      <t xml:space="preserve"> Minimum Output Capacitance, C</t>
    </r>
    <r>
      <rPr>
        <vertAlign val="subscript"/>
        <sz val="11"/>
        <color rgb="FF000000"/>
        <rFont val="Arial"/>
      </rPr>
      <t>OUT</t>
    </r>
    <r>
      <rPr>
        <sz val="11"/>
        <color rgb="FF000000"/>
        <rFont val="Arial"/>
      </rPr>
      <t xml:space="preserve"> =</t>
    </r>
  </si>
  <si>
    <r>
      <t>Recommended C</t>
    </r>
    <r>
      <rPr>
        <vertAlign val="subscript"/>
        <sz val="11"/>
        <color rgb="FF000000"/>
        <rFont val="Arial"/>
      </rPr>
      <t>OUT</t>
    </r>
  </si>
  <si>
    <t>Primary to Secondary Turns Ratio:</t>
  </si>
  <si>
    <r>
      <rPr>
        <b/>
        <sz val="11"/>
        <color rgb="FF000000"/>
        <rFont val="Arial"/>
      </rPr>
      <t>Actual</t>
    </r>
    <r>
      <rPr>
        <sz val="11"/>
        <color rgb="FF000000"/>
        <rFont val="Arial"/>
      </rPr>
      <t xml:space="preserve"> Minimum Output Capacitance, C</t>
    </r>
    <r>
      <rPr>
        <vertAlign val="subscript"/>
        <sz val="11"/>
        <color rgb="FF000000"/>
        <rFont val="Arial"/>
      </rPr>
      <t>OUT</t>
    </r>
    <r>
      <rPr>
        <sz val="11"/>
        <color rgb="FF000000"/>
        <rFont val="Arial"/>
      </rPr>
      <t xml:space="preserve"> =</t>
    </r>
  </si>
  <si>
    <r>
      <t>Enter Actual C</t>
    </r>
    <r>
      <rPr>
        <vertAlign val="subscript"/>
        <sz val="11"/>
        <color rgb="FF000000"/>
        <rFont val="Arial"/>
      </rPr>
      <t>OUT</t>
    </r>
    <r>
      <rPr>
        <sz val="11"/>
        <color rgb="FF000000"/>
        <rFont val="Arial"/>
      </rPr>
      <t xml:space="preserve"> Used</t>
    </r>
  </si>
  <si>
    <r>
      <t>N</t>
    </r>
    <r>
      <rPr>
        <vertAlign val="subscript"/>
        <sz val="12"/>
        <color rgb="FF000000"/>
        <rFont val="Arial"/>
      </rPr>
      <t>PS</t>
    </r>
  </si>
  <si>
    <t>Primary to Auxiliary Turns Ratio:</t>
  </si>
  <si>
    <r>
      <rPr>
        <b/>
        <sz val="11"/>
        <color rgb="FF000000"/>
        <rFont val="Arial"/>
      </rPr>
      <t>Recommended</t>
    </r>
    <r>
      <rPr>
        <sz val="11"/>
        <color rgb="FF000000"/>
        <rFont val="Arial"/>
      </rPr>
      <t xml:space="preserve"> Maximum ESR, ESR</t>
    </r>
    <r>
      <rPr>
        <vertAlign val="subscript"/>
        <sz val="11"/>
        <color rgb="FF000000"/>
        <rFont val="Arial"/>
      </rPr>
      <t>Cout</t>
    </r>
    <r>
      <rPr>
        <sz val="11"/>
        <color rgb="FF000000"/>
        <rFont val="Arial"/>
      </rPr>
      <t xml:space="preserve"> =</t>
    </r>
  </si>
  <si>
    <r>
      <t>N</t>
    </r>
    <r>
      <rPr>
        <vertAlign val="subscript"/>
        <sz val="12"/>
        <color rgb="FF000000"/>
        <rFont val="Arial"/>
      </rPr>
      <t>PA</t>
    </r>
  </si>
  <si>
    <t>Peak Primary Current:</t>
  </si>
  <si>
    <t>Recommended ESR</t>
  </si>
  <si>
    <t>Peak Input Current</t>
  </si>
  <si>
    <r>
      <rPr>
        <b/>
        <sz val="11"/>
        <color rgb="FF000000"/>
        <rFont val="Arial"/>
      </rPr>
      <t>Actual</t>
    </r>
    <r>
      <rPr>
        <sz val="11"/>
        <color rgb="FF000000"/>
        <rFont val="Arial"/>
      </rPr>
      <t xml:space="preserve"> ESR of C</t>
    </r>
    <r>
      <rPr>
        <vertAlign val="subscript"/>
        <sz val="11"/>
        <color rgb="FF000000"/>
        <rFont val="Arial"/>
      </rPr>
      <t>OUT</t>
    </r>
    <r>
      <rPr>
        <sz val="11"/>
        <color rgb="FF000000"/>
        <rFont val="Arial"/>
      </rPr>
      <t xml:space="preserve"> Used, ESR</t>
    </r>
    <r>
      <rPr>
        <vertAlign val="subscript"/>
        <sz val="11"/>
        <color rgb="FF000000"/>
        <rFont val="Arial"/>
      </rPr>
      <t>Cout</t>
    </r>
    <r>
      <rPr>
        <sz val="11"/>
        <color rgb="FF000000"/>
        <rFont val="Arial"/>
      </rPr>
      <t xml:space="preserve"> =</t>
    </r>
  </si>
  <si>
    <r>
      <t>I</t>
    </r>
    <r>
      <rPr>
        <vertAlign val="subscript"/>
        <sz val="11"/>
        <color rgb="FF000000"/>
        <rFont val="Arial"/>
      </rPr>
      <t>INpeak</t>
    </r>
    <r>
      <rPr>
        <sz val="11"/>
        <color rgb="FF000000"/>
        <rFont val="Arial"/>
      </rPr>
      <t xml:space="preserve"> =</t>
    </r>
  </si>
  <si>
    <r>
      <t>Enter Actual ESR of C</t>
    </r>
    <r>
      <rPr>
        <vertAlign val="subscript"/>
        <sz val="11"/>
        <color rgb="FF000000"/>
        <rFont val="Arial"/>
      </rPr>
      <t>OUT</t>
    </r>
    <r>
      <rPr>
        <sz val="11"/>
        <color rgb="FF000000"/>
        <rFont val="Arial"/>
      </rPr>
      <t xml:space="preserve"> Used</t>
    </r>
  </si>
  <si>
    <t>Primary RMS Current:</t>
  </si>
  <si>
    <r>
      <t>Bridge Rectifier, D</t>
    </r>
    <r>
      <rPr>
        <b/>
        <vertAlign val="subscript"/>
        <sz val="11"/>
        <color rgb="FFFFFFFF"/>
        <rFont val="Arial"/>
      </rPr>
      <t>BRIDGE</t>
    </r>
  </si>
  <si>
    <r>
      <t>Forward Voltage Drop, V</t>
    </r>
    <r>
      <rPr>
        <vertAlign val="subscript"/>
        <sz val="11"/>
        <color rgb="FF000000"/>
        <rFont val="Arial"/>
      </rPr>
      <t>F_BRIDGE</t>
    </r>
    <r>
      <rPr>
        <sz val="11"/>
        <color rgb="FF000000"/>
        <rFont val="Arial"/>
      </rPr>
      <t xml:space="preserve"> =</t>
    </r>
  </si>
  <si>
    <r>
      <t>At I</t>
    </r>
    <r>
      <rPr>
        <vertAlign val="subscript"/>
        <sz val="11"/>
        <color rgb="FF000000"/>
        <rFont val="Arial"/>
      </rPr>
      <t>INPEAK</t>
    </r>
  </si>
  <si>
    <t>Not Applicable for DC input</t>
  </si>
  <si>
    <t>Peak Secondary Current:</t>
  </si>
  <si>
    <r>
      <t>Auxiliary Winding Rectifier, D</t>
    </r>
    <r>
      <rPr>
        <b/>
        <vertAlign val="subscript"/>
        <sz val="11"/>
        <color rgb="FFFFFFFF"/>
        <rFont val="Arial"/>
      </rPr>
      <t>AUX</t>
    </r>
  </si>
  <si>
    <t>Secondary RMS Current:</t>
  </si>
  <si>
    <t>Maximum Switching Frequency:</t>
  </si>
  <si>
    <r>
      <t>Auxiliary Rectifier Forward Voltage Drop, V</t>
    </r>
    <r>
      <rPr>
        <vertAlign val="subscript"/>
        <sz val="11"/>
        <color rgb="FF000000"/>
        <rFont val="Arial"/>
      </rPr>
      <t>FA</t>
    </r>
    <r>
      <rPr>
        <sz val="11"/>
        <color rgb="FF000000"/>
        <rFont val="Arial"/>
      </rPr>
      <t xml:space="preserve"> =</t>
    </r>
  </si>
  <si>
    <r>
      <t>V</t>
    </r>
    <r>
      <rPr>
        <vertAlign val="subscript"/>
        <sz val="11"/>
        <color rgb="FF000000"/>
        <rFont val="Arial"/>
      </rPr>
      <t>BRIDGE_minrating</t>
    </r>
    <r>
      <rPr>
        <sz val="11"/>
        <color rgb="FF000000"/>
        <rFont val="Arial"/>
      </rPr>
      <t xml:space="preserve"> =</t>
    </r>
  </si>
  <si>
    <r>
      <t>Input Line Voltage Turn On Resistor, R</t>
    </r>
    <r>
      <rPr>
        <b/>
        <vertAlign val="subscript"/>
        <sz val="11"/>
        <color rgb="FFFFFFFF"/>
        <rFont val="Arial"/>
      </rPr>
      <t>VS1</t>
    </r>
  </si>
  <si>
    <r>
      <rPr>
        <b/>
        <sz val="11"/>
        <color rgb="FF000000"/>
        <rFont val="Arial"/>
      </rPr>
      <t>Recommended</t>
    </r>
    <r>
      <rPr>
        <sz val="11"/>
        <color rgb="FF000000"/>
        <rFont val="Arial"/>
      </rPr>
      <t xml:space="preserve"> Value for R</t>
    </r>
    <r>
      <rPr>
        <vertAlign val="subscript"/>
        <sz val="11"/>
        <color rgb="FF000000"/>
        <rFont val="Arial"/>
      </rPr>
      <t>VS1</t>
    </r>
    <r>
      <rPr>
        <sz val="11"/>
        <color rgb="FF000000"/>
        <rFont val="Arial"/>
      </rPr>
      <t>, R</t>
    </r>
    <r>
      <rPr>
        <vertAlign val="subscript"/>
        <sz val="11"/>
        <color rgb="FF000000"/>
        <rFont val="Arial"/>
      </rPr>
      <t>VS1</t>
    </r>
    <r>
      <rPr>
        <sz val="11"/>
        <color rgb="FF000000"/>
        <rFont val="Arial"/>
      </rPr>
      <t xml:space="preserve"> =</t>
    </r>
  </si>
  <si>
    <t>kΩ</t>
  </si>
  <si>
    <r>
      <t>Recommended R</t>
    </r>
    <r>
      <rPr>
        <vertAlign val="subscript"/>
        <sz val="11"/>
        <color rgb="FF000000"/>
        <rFont val="Arial"/>
      </rPr>
      <t>VS1</t>
    </r>
  </si>
  <si>
    <t>Current Rating</t>
  </si>
  <si>
    <r>
      <rPr>
        <b/>
        <sz val="11"/>
        <color rgb="FF000000"/>
        <rFont val="Arial"/>
      </rPr>
      <t>Actual</t>
    </r>
    <r>
      <rPr>
        <sz val="11"/>
        <color rgb="FF000000"/>
        <rFont val="Arial"/>
      </rPr>
      <t xml:space="preserve"> Value for R</t>
    </r>
    <r>
      <rPr>
        <vertAlign val="subscript"/>
        <sz val="11"/>
        <color rgb="FF000000"/>
        <rFont val="Arial"/>
      </rPr>
      <t>VS1</t>
    </r>
    <r>
      <rPr>
        <sz val="11"/>
        <color rgb="FF000000"/>
        <rFont val="Arial"/>
      </rPr>
      <t>, R</t>
    </r>
    <r>
      <rPr>
        <vertAlign val="subscript"/>
        <sz val="11"/>
        <color rgb="FF000000"/>
        <rFont val="Arial"/>
      </rPr>
      <t>VS1</t>
    </r>
    <r>
      <rPr>
        <sz val="11"/>
        <color rgb="FF000000"/>
        <rFont val="Arial"/>
      </rPr>
      <t xml:space="preserve"> =</t>
    </r>
  </si>
  <si>
    <r>
      <t>I</t>
    </r>
    <r>
      <rPr>
        <vertAlign val="subscript"/>
        <sz val="11"/>
        <color rgb="FF000000"/>
        <rFont val="Arial"/>
      </rPr>
      <t>BRIDGE_minrating</t>
    </r>
    <r>
      <rPr>
        <sz val="11"/>
        <color rgb="FF000000"/>
        <rFont val="Arial"/>
      </rPr>
      <t xml:space="preserve"> =</t>
    </r>
  </si>
  <si>
    <r>
      <t>Enter Actual R</t>
    </r>
    <r>
      <rPr>
        <vertAlign val="subscript"/>
        <sz val="11"/>
        <color rgb="FF000000"/>
        <rFont val="Arial"/>
      </rPr>
      <t>VS1</t>
    </r>
    <r>
      <rPr>
        <sz val="11"/>
        <color rgb="FF000000"/>
        <rFont val="Arial"/>
      </rPr>
      <t xml:space="preserve"> Used</t>
    </r>
  </si>
  <si>
    <r>
      <t>Output Over Voltage Resistor, R</t>
    </r>
    <r>
      <rPr>
        <b/>
        <vertAlign val="subscript"/>
        <sz val="11"/>
        <color rgb="FFFFFFFF"/>
        <rFont val="Arial"/>
      </rPr>
      <t>VS2</t>
    </r>
  </si>
  <si>
    <t>Forward Voltage Drop</t>
  </si>
  <si>
    <r>
      <t>V</t>
    </r>
    <r>
      <rPr>
        <vertAlign val="subscript"/>
        <sz val="11"/>
        <color rgb="FF000000"/>
        <rFont val="Arial"/>
      </rPr>
      <t>F_BRIDGE</t>
    </r>
    <r>
      <rPr>
        <sz val="11"/>
        <color rgb="FF000000"/>
        <rFont val="Arial"/>
      </rPr>
      <t xml:space="preserve"> =</t>
    </r>
  </si>
  <si>
    <r>
      <rPr>
        <b/>
        <sz val="11"/>
        <color rgb="FF000000"/>
        <rFont val="Arial"/>
      </rPr>
      <t>Recommended</t>
    </r>
    <r>
      <rPr>
        <sz val="11"/>
        <color rgb="FF000000"/>
        <rFont val="Arial"/>
      </rPr>
      <t xml:space="preserve"> Value for R</t>
    </r>
    <r>
      <rPr>
        <vertAlign val="subscript"/>
        <sz val="11"/>
        <color rgb="FF000000"/>
        <rFont val="Arial"/>
      </rPr>
      <t>VS2</t>
    </r>
    <r>
      <rPr>
        <sz val="11"/>
        <color rgb="FF000000"/>
        <rFont val="Arial"/>
      </rPr>
      <t>, R</t>
    </r>
    <r>
      <rPr>
        <vertAlign val="subscript"/>
        <sz val="11"/>
        <color rgb="FF000000"/>
        <rFont val="Arial"/>
      </rPr>
      <t>VS2</t>
    </r>
    <r>
      <rPr>
        <sz val="11"/>
        <color rgb="FF000000"/>
        <rFont val="Arial"/>
      </rPr>
      <t xml:space="preserve"> =</t>
    </r>
  </si>
  <si>
    <r>
      <t>Recommended R</t>
    </r>
    <r>
      <rPr>
        <vertAlign val="subscript"/>
        <sz val="11"/>
        <color rgb="FF000000"/>
        <rFont val="Arial"/>
      </rPr>
      <t>VS2</t>
    </r>
  </si>
  <si>
    <r>
      <rPr>
        <b/>
        <sz val="11"/>
        <color rgb="FF000000"/>
        <rFont val="Arial"/>
      </rPr>
      <t>Actual</t>
    </r>
    <r>
      <rPr>
        <sz val="11"/>
        <color rgb="FF000000"/>
        <rFont val="Arial"/>
      </rPr>
      <t xml:space="preserve"> Value for R</t>
    </r>
    <r>
      <rPr>
        <vertAlign val="subscript"/>
        <sz val="11"/>
        <color rgb="FF000000"/>
        <rFont val="Arial"/>
      </rPr>
      <t>VS2</t>
    </r>
    <r>
      <rPr>
        <sz val="11"/>
        <color rgb="FF000000"/>
        <rFont val="Arial"/>
      </rPr>
      <t>, R</t>
    </r>
    <r>
      <rPr>
        <vertAlign val="subscript"/>
        <sz val="11"/>
        <color rgb="FF000000"/>
        <rFont val="Arial"/>
      </rPr>
      <t>VS2</t>
    </r>
    <r>
      <rPr>
        <sz val="11"/>
        <color rgb="FF000000"/>
        <rFont val="Arial"/>
      </rPr>
      <t xml:space="preserve"> =</t>
    </r>
  </si>
  <si>
    <t>Full Load Power Dissipation of Bridge Rectifier</t>
  </si>
  <si>
    <r>
      <t>P</t>
    </r>
    <r>
      <rPr>
        <vertAlign val="subscript"/>
        <sz val="11"/>
        <color rgb="FF000000"/>
        <rFont val="Arial"/>
      </rPr>
      <t>BRIDGE</t>
    </r>
    <r>
      <rPr>
        <sz val="11"/>
        <color rgb="FF000000"/>
        <rFont val="Arial"/>
      </rPr>
      <t xml:space="preserve"> = </t>
    </r>
  </si>
  <si>
    <r>
      <t>Enter Actual R</t>
    </r>
    <r>
      <rPr>
        <vertAlign val="subscript"/>
        <sz val="11"/>
        <color rgb="FF000000"/>
        <rFont val="Arial"/>
      </rPr>
      <t>VS2</t>
    </r>
    <r>
      <rPr>
        <sz val="11"/>
        <color rgb="FF000000"/>
        <rFont val="Arial"/>
      </rPr>
      <t xml:space="preserve"> Used</t>
    </r>
  </si>
  <si>
    <r>
      <t>Line Compensation Resistor, R</t>
    </r>
    <r>
      <rPr>
        <b/>
        <vertAlign val="subscript"/>
        <sz val="11"/>
        <color rgb="FFFFFFFF"/>
        <rFont val="Arial"/>
      </rPr>
      <t>LC</t>
    </r>
  </si>
  <si>
    <r>
      <rPr>
        <b/>
        <sz val="11"/>
        <color rgb="FF000000"/>
        <rFont val="Arial"/>
      </rPr>
      <t>Recommended</t>
    </r>
    <r>
      <rPr>
        <sz val="11"/>
        <color rgb="FF000000"/>
        <rFont val="Arial"/>
      </rPr>
      <t xml:space="preserve"> Value for R</t>
    </r>
    <r>
      <rPr>
        <vertAlign val="subscript"/>
        <sz val="11"/>
        <color rgb="FF000000"/>
        <rFont val="Arial"/>
      </rPr>
      <t>LC</t>
    </r>
    <r>
      <rPr>
        <sz val="11"/>
        <color rgb="FF000000"/>
        <rFont val="Arial"/>
      </rPr>
      <t>, R</t>
    </r>
    <r>
      <rPr>
        <vertAlign val="subscript"/>
        <sz val="11"/>
        <color rgb="FF000000"/>
        <rFont val="Arial"/>
      </rPr>
      <t>LC</t>
    </r>
    <r>
      <rPr>
        <sz val="11"/>
        <color rgb="FF000000"/>
        <rFont val="Arial"/>
      </rPr>
      <t xml:space="preserve"> =</t>
    </r>
  </si>
  <si>
    <r>
      <t>TRANSFORMER TURNS-RATIO, N</t>
    </r>
    <r>
      <rPr>
        <b/>
        <i/>
        <vertAlign val="subscript"/>
        <sz val="12"/>
        <color rgb="FFFFFFFF"/>
        <rFont val="Arial"/>
      </rPr>
      <t>PS</t>
    </r>
  </si>
  <si>
    <r>
      <t>Recommeded R</t>
    </r>
    <r>
      <rPr>
        <vertAlign val="subscript"/>
        <sz val="11"/>
        <color rgb="FF000000"/>
        <rFont val="Arial"/>
      </rPr>
      <t>LC</t>
    </r>
  </si>
  <si>
    <r>
      <rPr>
        <b/>
        <sz val="11"/>
        <color rgb="FF000000"/>
        <rFont val="Arial"/>
      </rPr>
      <t>Actual</t>
    </r>
    <r>
      <rPr>
        <sz val="11"/>
        <color rgb="FF000000"/>
        <rFont val="Arial"/>
      </rPr>
      <t xml:space="preserve"> Value for R</t>
    </r>
    <r>
      <rPr>
        <vertAlign val="subscript"/>
        <sz val="11"/>
        <color rgb="FF000000"/>
        <rFont val="Arial"/>
      </rPr>
      <t>LC</t>
    </r>
    <r>
      <rPr>
        <sz val="11"/>
        <color rgb="FF000000"/>
        <rFont val="Arial"/>
      </rPr>
      <t>, R</t>
    </r>
    <r>
      <rPr>
        <vertAlign val="subscript"/>
        <sz val="11"/>
        <color rgb="FF000000"/>
        <rFont val="Arial"/>
      </rPr>
      <t>LC</t>
    </r>
    <r>
      <rPr>
        <sz val="11"/>
        <color rgb="FF000000"/>
        <rFont val="Arial"/>
      </rPr>
      <t xml:space="preserve"> =</t>
    </r>
  </si>
  <si>
    <t>Demagnetizing Duty Cycle</t>
  </si>
  <si>
    <r>
      <t>D</t>
    </r>
    <r>
      <rPr>
        <vertAlign val="subscript"/>
        <sz val="11"/>
        <color rgb="FF000000"/>
        <rFont val="Arial"/>
      </rPr>
      <t>DEMAG_CC</t>
    </r>
    <r>
      <rPr>
        <sz val="11"/>
        <color rgb="FF000000"/>
        <rFont val="Arial"/>
      </rPr>
      <t xml:space="preserve"> =</t>
    </r>
  </si>
  <si>
    <r>
      <t>Enter Actual R</t>
    </r>
    <r>
      <rPr>
        <vertAlign val="subscript"/>
        <sz val="11"/>
        <rFont val="Arial"/>
      </rPr>
      <t>LC</t>
    </r>
    <r>
      <rPr>
        <sz val="11"/>
        <rFont val="Arial"/>
      </rPr>
      <t xml:space="preserve"> Used</t>
    </r>
  </si>
  <si>
    <t>Device Parameter</t>
  </si>
  <si>
    <t>Amplitude Modulation Control Ratio</t>
  </si>
  <si>
    <r>
      <t>K</t>
    </r>
    <r>
      <rPr>
        <vertAlign val="subscript"/>
        <sz val="11"/>
        <color rgb="FF000000"/>
        <rFont val="Arial"/>
      </rPr>
      <t>AMnom</t>
    </r>
    <r>
      <rPr>
        <sz val="11"/>
        <color rgb="FF000000"/>
        <rFont val="Arial"/>
      </rPr>
      <t xml:space="preserve"> =</t>
    </r>
  </si>
  <si>
    <t>Maximum Desired Switching Frequency</t>
  </si>
  <si>
    <r>
      <t>Loop Compensation Components, R</t>
    </r>
    <r>
      <rPr>
        <b/>
        <vertAlign val="subscript"/>
        <sz val="11"/>
        <color rgb="FFFFFFFF"/>
        <rFont val="Arial"/>
      </rPr>
      <t>FB1</t>
    </r>
    <r>
      <rPr>
        <b/>
        <sz val="11"/>
        <color rgb="FFFFFFFF"/>
        <rFont val="Arial"/>
      </rPr>
      <t>, R</t>
    </r>
    <r>
      <rPr>
        <b/>
        <vertAlign val="subscript"/>
        <sz val="11"/>
        <color rgb="FFFFFFFF"/>
        <rFont val="Arial"/>
      </rPr>
      <t>FB2</t>
    </r>
    <r>
      <rPr>
        <b/>
        <sz val="11"/>
        <color rgb="FFFFFFFF"/>
        <rFont val="Arial"/>
      </rPr>
      <t>, R</t>
    </r>
    <r>
      <rPr>
        <b/>
        <vertAlign val="subscript"/>
        <sz val="11"/>
        <color rgb="FFFFFFFF"/>
        <rFont val="Arial"/>
      </rPr>
      <t>TL</t>
    </r>
    <r>
      <rPr>
        <b/>
        <sz val="11"/>
        <color rgb="FFFFFFFF"/>
        <rFont val="Arial"/>
      </rPr>
      <t>, R</t>
    </r>
    <r>
      <rPr>
        <b/>
        <vertAlign val="subscript"/>
        <sz val="11"/>
        <color rgb="FFFFFFFF"/>
        <rFont val="Arial"/>
      </rPr>
      <t>OPT</t>
    </r>
    <r>
      <rPr>
        <b/>
        <sz val="11"/>
        <color rgb="FFFFFFFF"/>
        <rFont val="Arial"/>
      </rPr>
      <t>, C</t>
    </r>
    <r>
      <rPr>
        <b/>
        <vertAlign val="subscript"/>
        <sz val="11"/>
        <color rgb="FFFFFFFF"/>
        <rFont val="Arial"/>
      </rPr>
      <t>FB</t>
    </r>
    <r>
      <rPr>
        <b/>
        <sz val="11"/>
        <color rgb="FFFFFFFF"/>
        <rFont val="Arial"/>
      </rPr>
      <t>, C</t>
    </r>
    <r>
      <rPr>
        <b/>
        <vertAlign val="subscript"/>
        <sz val="11"/>
        <color rgb="FFFFFFFF"/>
        <rFont val="Arial"/>
      </rPr>
      <t>EXT</t>
    </r>
    <r>
      <rPr>
        <b/>
        <sz val="11"/>
        <color rgb="FFFFFFFF"/>
        <rFont val="Arial"/>
      </rPr>
      <t>, R</t>
    </r>
    <r>
      <rPr>
        <b/>
        <vertAlign val="subscript"/>
        <sz val="11"/>
        <color rgb="FFFFFFFF"/>
        <rFont val="Arial"/>
      </rPr>
      <t>FB3</t>
    </r>
    <r>
      <rPr>
        <b/>
        <sz val="11"/>
        <color rgb="FFFFFFFF"/>
        <rFont val="Arial"/>
      </rPr>
      <t>, R</t>
    </r>
    <r>
      <rPr>
        <b/>
        <vertAlign val="subscript"/>
        <sz val="11"/>
        <color rgb="FFFFFFFF"/>
        <rFont val="Arial"/>
      </rPr>
      <t xml:space="preserve">FB4, </t>
    </r>
    <r>
      <rPr>
        <b/>
        <sz val="11"/>
        <color rgb="FFFFFFFF"/>
        <rFont val="Arial"/>
      </rPr>
      <t>C</t>
    </r>
    <r>
      <rPr>
        <b/>
        <vertAlign val="subscript"/>
        <sz val="11"/>
        <color rgb="FFFFFFFF"/>
        <rFont val="Arial"/>
      </rPr>
      <t>Z</t>
    </r>
  </si>
  <si>
    <r>
      <t>f</t>
    </r>
    <r>
      <rPr>
        <vertAlign val="subscript"/>
        <sz val="11"/>
        <color rgb="FF000000"/>
        <rFont val="Arial"/>
      </rPr>
      <t>max_target</t>
    </r>
    <r>
      <rPr>
        <sz val="11"/>
        <color rgb="FF000000"/>
        <rFont val="Arial"/>
      </rPr>
      <t xml:space="preserve"> =</t>
    </r>
  </si>
  <si>
    <r>
      <t>Reference Voltage of Shunt Regulator, i.e. TL431, V</t>
    </r>
    <r>
      <rPr>
        <vertAlign val="subscript"/>
        <sz val="11"/>
        <rFont val="Arial"/>
      </rPr>
      <t>REF431</t>
    </r>
    <r>
      <rPr>
        <sz val="11"/>
        <rFont val="Arial"/>
      </rPr>
      <t xml:space="preserve"> =</t>
    </r>
  </si>
  <si>
    <r>
      <t>Enter Nominal V</t>
    </r>
    <r>
      <rPr>
        <vertAlign val="subscript"/>
        <sz val="11"/>
        <rFont val="Arial"/>
      </rPr>
      <t>REF</t>
    </r>
    <r>
      <rPr>
        <sz val="11"/>
        <rFont val="Arial"/>
      </rPr>
      <t xml:space="preserve"> Used</t>
    </r>
  </si>
  <si>
    <r>
      <t>Maximum Reference Input Current of Shunt Regulator, I</t>
    </r>
    <r>
      <rPr>
        <vertAlign val="subscript"/>
        <sz val="11"/>
        <rFont val="Arial"/>
      </rPr>
      <t>REF431</t>
    </r>
    <r>
      <rPr>
        <sz val="11"/>
        <rFont val="Arial"/>
      </rPr>
      <t xml:space="preserve"> =</t>
    </r>
  </si>
  <si>
    <r>
      <rPr>
        <sz val="11"/>
        <rFont val="Calibri"/>
      </rPr>
      <t>µ</t>
    </r>
    <r>
      <rPr>
        <sz val="11"/>
        <rFont val="Arial"/>
      </rPr>
      <t>A</t>
    </r>
  </si>
  <si>
    <t>Enter Reference Pin Input Current</t>
  </si>
  <si>
    <t>Desired Switching Period</t>
  </si>
  <si>
    <r>
      <t>t</t>
    </r>
    <r>
      <rPr>
        <vertAlign val="subscript"/>
        <sz val="11"/>
        <color rgb="FF000000"/>
        <rFont val="Arial"/>
      </rPr>
      <t>SW_target</t>
    </r>
    <r>
      <rPr>
        <sz val="11"/>
        <color rgb="FF000000"/>
        <rFont val="Arial"/>
      </rPr>
      <t xml:space="preserve"> =</t>
    </r>
  </si>
  <si>
    <r>
      <rPr>
        <b/>
        <sz val="11"/>
        <color rgb="FF000000"/>
        <rFont val="Arial"/>
      </rPr>
      <t>Recommended</t>
    </r>
    <r>
      <rPr>
        <sz val="11"/>
        <color rgb="FF000000"/>
        <rFont val="Arial"/>
      </rPr>
      <t xml:space="preserve"> Value for R</t>
    </r>
    <r>
      <rPr>
        <vertAlign val="subscript"/>
        <sz val="11"/>
        <color rgb="FF000000"/>
        <rFont val="Arial"/>
      </rPr>
      <t>FB2</t>
    </r>
    <r>
      <rPr>
        <sz val="11"/>
        <color rgb="FF000000"/>
        <rFont val="Arial"/>
      </rPr>
      <t>, R</t>
    </r>
    <r>
      <rPr>
        <vertAlign val="subscript"/>
        <sz val="11"/>
        <color rgb="FF000000"/>
        <rFont val="Arial"/>
      </rPr>
      <t>FB2</t>
    </r>
    <r>
      <rPr>
        <sz val="11"/>
        <color rgb="FF000000"/>
        <rFont val="Arial"/>
      </rPr>
      <t xml:space="preserve"> =</t>
    </r>
  </si>
  <si>
    <r>
      <t>k</t>
    </r>
    <r>
      <rPr>
        <sz val="11"/>
        <color rgb="FF000000"/>
        <rFont val="Calibri"/>
      </rPr>
      <t>Ω</t>
    </r>
  </si>
  <si>
    <r>
      <t>Recommended R</t>
    </r>
    <r>
      <rPr>
        <vertAlign val="subscript"/>
        <sz val="11"/>
        <color rgb="FF000000"/>
        <rFont val="Arial"/>
      </rPr>
      <t>FB2</t>
    </r>
  </si>
  <si>
    <r>
      <rPr>
        <b/>
        <sz val="11"/>
        <color rgb="FF000000"/>
        <rFont val="Arial"/>
      </rPr>
      <t>Actual</t>
    </r>
    <r>
      <rPr>
        <sz val="11"/>
        <color rgb="FF000000"/>
        <rFont val="Arial"/>
      </rPr>
      <t xml:space="preserve"> Value for R</t>
    </r>
    <r>
      <rPr>
        <vertAlign val="subscript"/>
        <sz val="11"/>
        <color rgb="FF000000"/>
        <rFont val="Arial"/>
      </rPr>
      <t>FB2</t>
    </r>
    <r>
      <rPr>
        <sz val="11"/>
        <color rgb="FF000000"/>
        <rFont val="Arial"/>
      </rPr>
      <t>, R</t>
    </r>
    <r>
      <rPr>
        <vertAlign val="subscript"/>
        <sz val="11"/>
        <color rgb="FF000000"/>
        <rFont val="Arial"/>
      </rPr>
      <t>FB2</t>
    </r>
    <r>
      <rPr>
        <sz val="11"/>
        <color rgb="FF000000"/>
        <rFont val="Arial"/>
      </rPr>
      <t xml:space="preserve"> =</t>
    </r>
  </si>
  <si>
    <t>µs</t>
  </si>
  <si>
    <r>
      <t>k</t>
    </r>
    <r>
      <rPr>
        <sz val="11"/>
        <color rgb="FF000000"/>
        <rFont val="Calibri"/>
      </rPr>
      <t>Ω</t>
    </r>
  </si>
  <si>
    <r>
      <t>Enter Actual R</t>
    </r>
    <r>
      <rPr>
        <vertAlign val="subscript"/>
        <sz val="11"/>
        <color rgb="FF000000"/>
        <rFont val="Arial"/>
      </rPr>
      <t>FB2</t>
    </r>
    <r>
      <rPr>
        <sz val="11"/>
        <color rgb="FF000000"/>
        <rFont val="Arial"/>
      </rPr>
      <t xml:space="preserve"> Used</t>
    </r>
  </si>
  <si>
    <t>Resonant Frequency During DCM Dead Time</t>
  </si>
  <si>
    <r>
      <rPr>
        <b/>
        <sz val="11"/>
        <color rgb="FF000000"/>
        <rFont val="Arial"/>
      </rPr>
      <t>Recommended</t>
    </r>
    <r>
      <rPr>
        <sz val="11"/>
        <color rgb="FF000000"/>
        <rFont val="Arial"/>
      </rPr>
      <t xml:space="preserve"> Value for R</t>
    </r>
    <r>
      <rPr>
        <vertAlign val="subscript"/>
        <sz val="11"/>
        <color rgb="FF000000"/>
        <rFont val="Arial"/>
      </rPr>
      <t>FB1</t>
    </r>
    <r>
      <rPr>
        <sz val="11"/>
        <color rgb="FF000000"/>
        <rFont val="Arial"/>
      </rPr>
      <t>, R</t>
    </r>
    <r>
      <rPr>
        <vertAlign val="subscript"/>
        <sz val="11"/>
        <color rgb="FF000000"/>
        <rFont val="Arial"/>
      </rPr>
      <t>FB1</t>
    </r>
    <r>
      <rPr>
        <sz val="11"/>
        <color rgb="FF000000"/>
        <rFont val="Arial"/>
      </rPr>
      <t xml:space="preserve"> =</t>
    </r>
  </si>
  <si>
    <r>
      <t>f</t>
    </r>
    <r>
      <rPr>
        <vertAlign val="subscript"/>
        <sz val="11"/>
        <color rgb="FF000000"/>
        <rFont val="Arial"/>
      </rPr>
      <t>RES</t>
    </r>
    <r>
      <rPr>
        <sz val="11"/>
        <color rgb="FF000000"/>
        <rFont val="Arial"/>
      </rPr>
      <t xml:space="preserve"> =</t>
    </r>
  </si>
  <si>
    <t>MHz</t>
  </si>
  <si>
    <r>
      <t>k</t>
    </r>
    <r>
      <rPr>
        <sz val="11"/>
        <color rgb="FF000000"/>
        <rFont val="Calibri"/>
      </rPr>
      <t>Ω</t>
    </r>
  </si>
  <si>
    <r>
      <t>Recommended R</t>
    </r>
    <r>
      <rPr>
        <vertAlign val="subscript"/>
        <sz val="11"/>
        <color rgb="FF000000"/>
        <rFont val="Arial"/>
      </rPr>
      <t>FB1</t>
    </r>
  </si>
  <si>
    <r>
      <rPr>
        <b/>
        <sz val="11"/>
        <color rgb="FF000000"/>
        <rFont val="Arial"/>
      </rPr>
      <t>Actual</t>
    </r>
    <r>
      <rPr>
        <sz val="11"/>
        <color rgb="FF000000"/>
        <rFont val="Arial"/>
      </rPr>
      <t xml:space="preserve"> Value for R</t>
    </r>
    <r>
      <rPr>
        <vertAlign val="subscript"/>
        <sz val="11"/>
        <color rgb="FF000000"/>
        <rFont val="Arial"/>
      </rPr>
      <t>FB1</t>
    </r>
    <r>
      <rPr>
        <sz val="11"/>
        <color rgb="FF000000"/>
        <rFont val="Arial"/>
      </rPr>
      <t>, R</t>
    </r>
    <r>
      <rPr>
        <vertAlign val="subscript"/>
        <sz val="11"/>
        <color rgb="FF000000"/>
        <rFont val="Arial"/>
      </rPr>
      <t>FB1</t>
    </r>
    <r>
      <rPr>
        <sz val="11"/>
        <color rgb="FF000000"/>
        <rFont val="Arial"/>
      </rPr>
      <t xml:space="preserve"> =</t>
    </r>
  </si>
  <si>
    <r>
      <t>k</t>
    </r>
    <r>
      <rPr>
        <sz val="11"/>
        <color rgb="FF000000"/>
        <rFont val="Calibri"/>
      </rPr>
      <t>Ω</t>
    </r>
  </si>
  <si>
    <r>
      <t>Enter Actual R</t>
    </r>
    <r>
      <rPr>
        <vertAlign val="subscript"/>
        <sz val="11"/>
        <color rgb="FF000000"/>
        <rFont val="Arial"/>
      </rPr>
      <t>FB1</t>
    </r>
    <r>
      <rPr>
        <sz val="11"/>
        <color rgb="FF000000"/>
        <rFont val="Arial"/>
      </rPr>
      <t xml:space="preserve"> Used</t>
    </r>
  </si>
  <si>
    <t>Time to First Resonant Valley</t>
  </si>
  <si>
    <r>
      <t>t</t>
    </r>
    <r>
      <rPr>
        <vertAlign val="subscript"/>
        <sz val="11"/>
        <color rgb="FF000000"/>
        <rFont val="Arial"/>
      </rPr>
      <t>RES</t>
    </r>
    <r>
      <rPr>
        <sz val="11"/>
        <color rgb="FF000000"/>
        <rFont val="Arial"/>
      </rPr>
      <t xml:space="preserve"> =</t>
    </r>
  </si>
  <si>
    <r>
      <t>Minimum Current Transfer  Ratio of Selected Opto-Coupler, CTR</t>
    </r>
    <r>
      <rPr>
        <vertAlign val="subscript"/>
        <sz val="11"/>
        <color rgb="FF000000"/>
        <rFont val="Arial"/>
      </rPr>
      <t>min</t>
    </r>
    <r>
      <rPr>
        <sz val="11"/>
        <color rgb="FF000000"/>
        <rFont val="Arial"/>
      </rPr>
      <t xml:space="preserve"> =</t>
    </r>
  </si>
  <si>
    <t>%</t>
  </si>
  <si>
    <t>Estimated Maximum Duty Cycle</t>
  </si>
  <si>
    <r>
      <t>D</t>
    </r>
    <r>
      <rPr>
        <vertAlign val="subscript"/>
        <sz val="11"/>
        <color rgb="FF000000"/>
        <rFont val="Arial"/>
      </rPr>
      <t>max_target</t>
    </r>
    <r>
      <rPr>
        <sz val="11"/>
        <color rgb="FF000000"/>
        <rFont val="Arial"/>
      </rPr>
      <t xml:space="preserve"> = </t>
    </r>
  </si>
  <si>
    <r>
      <t>Enter CTR</t>
    </r>
    <r>
      <rPr>
        <vertAlign val="subscript"/>
        <sz val="11"/>
        <color rgb="FF000000"/>
        <rFont val="Arial"/>
      </rPr>
      <t>min</t>
    </r>
  </si>
  <si>
    <r>
      <rPr>
        <b/>
        <sz val="11"/>
        <color rgb="FF000000"/>
        <rFont val="Arial"/>
      </rPr>
      <t>Ideal</t>
    </r>
    <r>
      <rPr>
        <sz val="11"/>
        <color rgb="FF000000"/>
        <rFont val="Arial"/>
      </rPr>
      <t xml:space="preserve"> Primary to Secondary Turns Ratio</t>
    </r>
  </si>
  <si>
    <r>
      <t>N</t>
    </r>
    <r>
      <rPr>
        <vertAlign val="subscript"/>
        <sz val="11"/>
        <color rgb="FF000000"/>
        <rFont val="Arial"/>
      </rPr>
      <t>PSideal</t>
    </r>
    <r>
      <rPr>
        <sz val="11"/>
        <color rgb="FF000000"/>
        <rFont val="Arial"/>
      </rPr>
      <t xml:space="preserve"> =</t>
    </r>
  </si>
  <si>
    <r>
      <t>Response Fall Time of Opto-Coupler, t</t>
    </r>
    <r>
      <rPr>
        <vertAlign val="subscript"/>
        <sz val="11"/>
        <color rgb="FF000000"/>
        <rFont val="Arial"/>
      </rPr>
      <t>f_opto</t>
    </r>
    <r>
      <rPr>
        <sz val="11"/>
        <color rgb="FF000000"/>
        <rFont val="Arial"/>
      </rPr>
      <t xml:space="preserve"> =</t>
    </r>
  </si>
  <si>
    <r>
      <rPr>
        <sz val="11"/>
        <color rgb="FF000000"/>
        <rFont val="Calibri"/>
      </rPr>
      <t>µ</t>
    </r>
    <r>
      <rPr>
        <sz val="11"/>
        <color rgb="FF000000"/>
        <rFont val="Arial"/>
      </rPr>
      <t>s</t>
    </r>
  </si>
  <si>
    <r>
      <t>Enter Opto-Coupler t</t>
    </r>
    <r>
      <rPr>
        <vertAlign val="subscript"/>
        <sz val="11"/>
        <color rgb="FF000000"/>
        <rFont val="Arial"/>
      </rPr>
      <t>f</t>
    </r>
  </si>
  <si>
    <r>
      <t>R</t>
    </r>
    <r>
      <rPr>
        <vertAlign val="subscript"/>
        <sz val="11"/>
        <color rgb="FF000000"/>
        <rFont val="Arial"/>
      </rPr>
      <t>L</t>
    </r>
    <r>
      <rPr>
        <sz val="11"/>
        <color rgb="FF000000"/>
        <rFont val="Arial"/>
      </rPr>
      <t xml:space="preserve"> of Specified Opto-Coupler Fall Time, R</t>
    </r>
    <r>
      <rPr>
        <vertAlign val="subscript"/>
        <sz val="11"/>
        <color rgb="FF000000"/>
        <rFont val="Arial"/>
      </rPr>
      <t>L_opto</t>
    </r>
    <r>
      <rPr>
        <sz val="11"/>
        <color rgb="FF000000"/>
        <rFont val="Arial"/>
      </rPr>
      <t xml:space="preserve"> =</t>
    </r>
  </si>
  <si>
    <r>
      <t>Ideal N</t>
    </r>
    <r>
      <rPr>
        <vertAlign val="subscript"/>
        <sz val="11"/>
        <color rgb="FF000000"/>
        <rFont val="Arial"/>
      </rPr>
      <t>PS</t>
    </r>
  </si>
  <si>
    <r>
      <t>Enter R</t>
    </r>
    <r>
      <rPr>
        <vertAlign val="subscript"/>
        <sz val="11"/>
        <color rgb="FF000000"/>
        <rFont val="Arial"/>
      </rPr>
      <t>L</t>
    </r>
    <r>
      <rPr>
        <sz val="11"/>
        <color rgb="FF000000"/>
        <rFont val="Arial"/>
      </rPr>
      <t xml:space="preserve"> from Opto-Coupler t</t>
    </r>
    <r>
      <rPr>
        <vertAlign val="subscript"/>
        <sz val="11"/>
        <color rgb="FF000000"/>
        <rFont val="Arial"/>
      </rPr>
      <t>f</t>
    </r>
    <r>
      <rPr>
        <sz val="11"/>
        <color rgb="FF000000"/>
        <rFont val="Arial"/>
      </rPr>
      <t xml:space="preserve"> spec</t>
    </r>
  </si>
  <si>
    <r>
      <t>Cut-Off Frequency of Opto-Coupler, f</t>
    </r>
    <r>
      <rPr>
        <vertAlign val="subscript"/>
        <sz val="11"/>
        <color rgb="FF000000"/>
        <rFont val="Arial"/>
      </rPr>
      <t>c_opto</t>
    </r>
    <r>
      <rPr>
        <sz val="11"/>
        <color rgb="FF000000"/>
        <rFont val="Arial"/>
      </rPr>
      <t xml:space="preserve"> =</t>
    </r>
  </si>
  <si>
    <t>Enter Opto-Coupler Cut-Off Frequency</t>
  </si>
  <si>
    <r>
      <t>Input Forward Voltage of Opto-Coupler, V</t>
    </r>
    <r>
      <rPr>
        <vertAlign val="subscript"/>
        <sz val="11"/>
        <color rgb="FF000000"/>
        <rFont val="Arial"/>
      </rPr>
      <t>F_opto</t>
    </r>
    <r>
      <rPr>
        <sz val="11"/>
        <color rgb="FF000000"/>
        <rFont val="Arial"/>
      </rPr>
      <t xml:space="preserve"> =</t>
    </r>
  </si>
  <si>
    <r>
      <t>Enter Maximum V</t>
    </r>
    <r>
      <rPr>
        <vertAlign val="subscript"/>
        <sz val="11"/>
        <color rgb="FF000000"/>
        <rFont val="Arial"/>
      </rPr>
      <t>F</t>
    </r>
    <r>
      <rPr>
        <sz val="11"/>
        <color rgb="FF000000"/>
        <rFont val="Arial"/>
      </rPr>
      <t xml:space="preserve"> of Opto-Coupler</t>
    </r>
  </si>
  <si>
    <r>
      <rPr>
        <b/>
        <sz val="11"/>
        <color rgb="FF000000"/>
        <rFont val="Arial"/>
      </rPr>
      <t>Actual</t>
    </r>
    <r>
      <rPr>
        <sz val="11"/>
        <color rgb="FF000000"/>
        <rFont val="Arial"/>
      </rPr>
      <t xml:space="preserve"> Primary to Secondary Turns Ratio</t>
    </r>
  </si>
  <si>
    <r>
      <t>N</t>
    </r>
    <r>
      <rPr>
        <vertAlign val="subscript"/>
        <sz val="11"/>
        <color rgb="FF000000"/>
        <rFont val="Arial"/>
      </rPr>
      <t>PSactual</t>
    </r>
    <r>
      <rPr>
        <sz val="11"/>
        <color rgb="FF000000"/>
        <rFont val="Arial"/>
      </rPr>
      <t xml:space="preserve"> =</t>
    </r>
  </si>
  <si>
    <r>
      <rPr>
        <b/>
        <sz val="11"/>
        <color rgb="FF000000"/>
        <rFont val="Arial"/>
      </rPr>
      <t>Recommended</t>
    </r>
    <r>
      <rPr>
        <sz val="11"/>
        <color rgb="FF000000"/>
        <rFont val="Arial"/>
      </rPr>
      <t xml:space="preserve"> External Capacitor Across Opto-Coupler Output, C</t>
    </r>
    <r>
      <rPr>
        <vertAlign val="subscript"/>
        <sz val="11"/>
        <color rgb="FF000000"/>
        <rFont val="Arial"/>
      </rPr>
      <t>EXT</t>
    </r>
    <r>
      <rPr>
        <sz val="11"/>
        <color rgb="FF000000"/>
        <rFont val="Arial"/>
      </rPr>
      <t xml:space="preserve"> =</t>
    </r>
  </si>
  <si>
    <t>Primary to Secondary Turns Ratio Used in Calculations</t>
  </si>
  <si>
    <r>
      <t>Recommended C</t>
    </r>
    <r>
      <rPr>
        <vertAlign val="subscript"/>
        <sz val="11"/>
        <color rgb="FF000000"/>
        <rFont val="Arial"/>
      </rPr>
      <t>EXT</t>
    </r>
  </si>
  <si>
    <r>
      <t>N</t>
    </r>
    <r>
      <rPr>
        <vertAlign val="subscript"/>
        <sz val="11"/>
        <color rgb="FF000000"/>
        <rFont val="Arial"/>
      </rPr>
      <t>PS</t>
    </r>
    <r>
      <rPr>
        <sz val="11"/>
        <color rgb="FF000000"/>
        <rFont val="Arial"/>
      </rPr>
      <t xml:space="preserve"> =</t>
    </r>
  </si>
  <si>
    <r>
      <rPr>
        <b/>
        <sz val="11"/>
        <color rgb="FF000000"/>
        <rFont val="Arial"/>
      </rPr>
      <t>Actual</t>
    </r>
    <r>
      <rPr>
        <sz val="11"/>
        <color rgb="FF000000"/>
        <rFont val="Arial"/>
      </rPr>
      <t xml:space="preserve"> Value for C</t>
    </r>
    <r>
      <rPr>
        <vertAlign val="subscript"/>
        <sz val="11"/>
        <color rgb="FF000000"/>
        <rFont val="Arial"/>
      </rPr>
      <t>EXT</t>
    </r>
    <r>
      <rPr>
        <sz val="11"/>
        <color rgb="FF000000"/>
        <rFont val="Arial"/>
      </rPr>
      <t xml:space="preserve"> Used , C</t>
    </r>
    <r>
      <rPr>
        <vertAlign val="subscript"/>
        <sz val="11"/>
        <color rgb="FF000000"/>
        <rFont val="Arial"/>
      </rPr>
      <t>EXT</t>
    </r>
    <r>
      <rPr>
        <sz val="11"/>
        <color rgb="FF000000"/>
        <rFont val="Arial"/>
      </rPr>
      <t xml:space="preserve"> =</t>
    </r>
  </si>
  <si>
    <r>
      <rPr>
        <sz val="11"/>
        <color rgb="FF000000"/>
        <rFont val="Calibri"/>
      </rPr>
      <t>µ</t>
    </r>
    <r>
      <rPr>
        <sz val="11"/>
        <color rgb="FF000000"/>
        <rFont val="Arial"/>
      </rPr>
      <t>F</t>
    </r>
  </si>
  <si>
    <r>
      <t>Enter Actual C</t>
    </r>
    <r>
      <rPr>
        <vertAlign val="subscript"/>
        <sz val="11"/>
        <color rgb="FF000000"/>
        <rFont val="Arial"/>
      </rPr>
      <t>EXT</t>
    </r>
    <r>
      <rPr>
        <sz val="11"/>
        <color rgb="FF000000"/>
        <rFont val="Arial"/>
      </rPr>
      <t xml:space="preserve"> Used</t>
    </r>
  </si>
  <si>
    <r>
      <rPr>
        <b/>
        <sz val="11"/>
        <color rgb="FF000000"/>
        <rFont val="Arial"/>
      </rPr>
      <t>Recommended</t>
    </r>
    <r>
      <rPr>
        <sz val="11"/>
        <color rgb="FF000000"/>
        <rFont val="Arial"/>
      </rPr>
      <t xml:space="preserve"> Capacitor on Opto_Coupler Emitter, C</t>
    </r>
    <r>
      <rPr>
        <vertAlign val="subscript"/>
        <sz val="11"/>
        <color rgb="FF000000"/>
        <rFont val="Arial"/>
      </rPr>
      <t>FB</t>
    </r>
    <r>
      <rPr>
        <sz val="11"/>
        <color rgb="FF000000"/>
        <rFont val="Arial"/>
      </rPr>
      <t xml:space="preserve"> =</t>
    </r>
  </si>
  <si>
    <t>Actual Flyback Voltage</t>
  </si>
  <si>
    <r>
      <rPr>
        <sz val="11"/>
        <color rgb="FF000000"/>
        <rFont val="Calibri"/>
      </rPr>
      <t>µ</t>
    </r>
    <r>
      <rPr>
        <sz val="11"/>
        <color rgb="FF000000"/>
        <rFont val="Arial"/>
      </rPr>
      <t>F</t>
    </r>
  </si>
  <si>
    <r>
      <t>V</t>
    </r>
    <r>
      <rPr>
        <vertAlign val="subscript"/>
        <sz val="11"/>
        <color rgb="FF000000"/>
        <rFont val="Arial"/>
      </rPr>
      <t>FLYBACK</t>
    </r>
    <r>
      <rPr>
        <sz val="11"/>
        <color rgb="FF000000"/>
        <rFont val="Arial"/>
      </rPr>
      <t xml:space="preserve"> =</t>
    </r>
  </si>
  <si>
    <r>
      <t>Recommended C</t>
    </r>
    <r>
      <rPr>
        <vertAlign val="subscript"/>
        <sz val="11"/>
        <color rgb="FF000000"/>
        <rFont val="Arial"/>
      </rPr>
      <t>FB</t>
    </r>
  </si>
  <si>
    <r>
      <rPr>
        <b/>
        <sz val="11"/>
        <color rgb="FF000000"/>
        <rFont val="Arial"/>
      </rPr>
      <t xml:space="preserve">Actual </t>
    </r>
    <r>
      <rPr>
        <sz val="11"/>
        <color rgb="FF000000"/>
        <rFont val="Arial"/>
      </rPr>
      <t>Value for C</t>
    </r>
    <r>
      <rPr>
        <vertAlign val="subscript"/>
        <sz val="11"/>
        <color rgb="FF000000"/>
        <rFont val="Arial"/>
      </rPr>
      <t>FB</t>
    </r>
    <r>
      <rPr>
        <sz val="11"/>
        <color rgb="FF000000"/>
        <rFont val="Arial"/>
      </rPr>
      <t xml:space="preserve"> Used, C</t>
    </r>
    <r>
      <rPr>
        <vertAlign val="subscript"/>
        <sz val="11"/>
        <color rgb="FF000000"/>
        <rFont val="Arial"/>
      </rPr>
      <t>FB</t>
    </r>
    <r>
      <rPr>
        <sz val="11"/>
        <color rgb="FF000000"/>
        <rFont val="Arial"/>
      </rPr>
      <t xml:space="preserve"> =</t>
    </r>
  </si>
  <si>
    <r>
      <rPr>
        <sz val="11"/>
        <color rgb="FF000000"/>
        <rFont val="Calibri"/>
      </rPr>
      <t>µ</t>
    </r>
    <r>
      <rPr>
        <sz val="11"/>
        <color rgb="FF000000"/>
        <rFont val="Arial"/>
      </rPr>
      <t>F</t>
    </r>
  </si>
  <si>
    <r>
      <t>Enter Actual C</t>
    </r>
    <r>
      <rPr>
        <vertAlign val="subscript"/>
        <sz val="11"/>
        <color rgb="FF000000"/>
        <rFont val="Arial"/>
      </rPr>
      <t>FB</t>
    </r>
    <r>
      <rPr>
        <sz val="11"/>
        <color rgb="FF000000"/>
        <rFont val="Arial"/>
      </rPr>
      <t xml:space="preserve"> Used</t>
    </r>
  </si>
  <si>
    <r>
      <rPr>
        <b/>
        <sz val="11"/>
        <color rgb="FF000000"/>
        <rFont val="Arial"/>
      </rPr>
      <t>Recommended</t>
    </r>
    <r>
      <rPr>
        <sz val="11"/>
        <color rgb="FF000000"/>
        <rFont val="Arial"/>
      </rPr>
      <t xml:space="preserve"> Value For R</t>
    </r>
    <r>
      <rPr>
        <vertAlign val="subscript"/>
        <sz val="11"/>
        <color rgb="FF000000"/>
        <rFont val="Arial"/>
      </rPr>
      <t>FB4,</t>
    </r>
    <r>
      <rPr>
        <sz val="11"/>
        <color rgb="FF000000"/>
        <rFont val="Arial"/>
      </rPr>
      <t xml:space="preserve"> R</t>
    </r>
    <r>
      <rPr>
        <vertAlign val="subscript"/>
        <sz val="11"/>
        <color rgb="FF000000"/>
        <rFont val="Arial"/>
      </rPr>
      <t>FB4 =</t>
    </r>
  </si>
  <si>
    <t>Allowable Leakage Inductance Voltage Spike</t>
  </si>
  <si>
    <r>
      <t>V</t>
    </r>
    <r>
      <rPr>
        <vertAlign val="subscript"/>
        <sz val="11"/>
        <color rgb="FF000000"/>
        <rFont val="Arial"/>
      </rPr>
      <t>LEAKAGE</t>
    </r>
    <r>
      <rPr>
        <sz val="11"/>
        <color rgb="FF000000"/>
        <rFont val="Arial"/>
      </rPr>
      <t xml:space="preserve"> =</t>
    </r>
  </si>
  <si>
    <r>
      <t>k</t>
    </r>
    <r>
      <rPr>
        <sz val="11"/>
        <color rgb="FF000000"/>
        <rFont val="Calibri"/>
      </rPr>
      <t>Ω</t>
    </r>
  </si>
  <si>
    <r>
      <t>Recommended R</t>
    </r>
    <r>
      <rPr>
        <vertAlign val="subscript"/>
        <sz val="11"/>
        <color rgb="FF000000"/>
        <rFont val="Arial"/>
      </rPr>
      <t>FB4</t>
    </r>
  </si>
  <si>
    <r>
      <rPr>
        <b/>
        <sz val="11"/>
        <color rgb="FF000000"/>
        <rFont val="Arial"/>
      </rPr>
      <t>Actual</t>
    </r>
    <r>
      <rPr>
        <sz val="11"/>
        <color rgb="FF000000"/>
        <rFont val="Arial"/>
      </rPr>
      <t xml:space="preserve"> Value for R</t>
    </r>
    <r>
      <rPr>
        <vertAlign val="subscript"/>
        <sz val="11"/>
        <color rgb="FF000000"/>
        <rFont val="Arial"/>
      </rPr>
      <t>FB4</t>
    </r>
    <r>
      <rPr>
        <sz val="11"/>
        <color rgb="FF000000"/>
        <rFont val="Arial"/>
      </rPr>
      <t xml:space="preserve"> Used </t>
    </r>
  </si>
  <si>
    <r>
      <t>k</t>
    </r>
    <r>
      <rPr>
        <sz val="11"/>
        <color rgb="FF000000"/>
        <rFont val="Calibri"/>
      </rPr>
      <t>Ω</t>
    </r>
  </si>
  <si>
    <r>
      <t>Enter Actual R</t>
    </r>
    <r>
      <rPr>
        <vertAlign val="subscript"/>
        <sz val="11"/>
        <color rgb="FF000000"/>
        <rFont val="Arial"/>
      </rPr>
      <t>FB4</t>
    </r>
    <r>
      <rPr>
        <sz val="11"/>
        <color rgb="FF000000"/>
        <rFont val="Arial"/>
      </rPr>
      <t xml:space="preserve"> Used </t>
    </r>
  </si>
  <si>
    <r>
      <rPr>
        <b/>
        <sz val="11"/>
        <color rgb="FF000000"/>
        <rFont val="Arial"/>
      </rPr>
      <t>Recommended</t>
    </r>
    <r>
      <rPr>
        <sz val="11"/>
        <color rgb="FF000000"/>
        <rFont val="Arial"/>
      </rPr>
      <t xml:space="preserve"> Value for Shunt Regulator Bias Resistor, R</t>
    </r>
    <r>
      <rPr>
        <vertAlign val="subscript"/>
        <sz val="11"/>
        <color rgb="FF000000"/>
        <rFont val="Arial"/>
      </rPr>
      <t>TL</t>
    </r>
    <r>
      <rPr>
        <sz val="11"/>
        <color rgb="FF000000"/>
        <rFont val="Arial"/>
      </rPr>
      <t xml:space="preserve"> =</t>
    </r>
  </si>
  <si>
    <r>
      <t>k</t>
    </r>
    <r>
      <rPr>
        <sz val="11"/>
        <color rgb="FF000000"/>
        <rFont val="Calibri"/>
      </rPr>
      <t>Ω</t>
    </r>
  </si>
  <si>
    <r>
      <t>Recommended R</t>
    </r>
    <r>
      <rPr>
        <vertAlign val="subscript"/>
        <sz val="11"/>
        <color rgb="FF000000"/>
        <rFont val="Arial"/>
      </rPr>
      <t>TL</t>
    </r>
  </si>
  <si>
    <t>Estimated Maximum On-Time</t>
  </si>
  <si>
    <r>
      <rPr>
        <b/>
        <sz val="11"/>
        <color rgb="FF000000"/>
        <rFont val="Arial"/>
      </rPr>
      <t>Actual</t>
    </r>
    <r>
      <rPr>
        <sz val="11"/>
        <color rgb="FF000000"/>
        <rFont val="Arial"/>
      </rPr>
      <t xml:space="preserve"> Value of Shunt Regulator Bias Resistor Used, R</t>
    </r>
    <r>
      <rPr>
        <vertAlign val="subscript"/>
        <sz val="11"/>
        <color rgb="FF000000"/>
        <rFont val="Arial"/>
      </rPr>
      <t>TL</t>
    </r>
    <r>
      <rPr>
        <sz val="11"/>
        <color rgb="FF000000"/>
        <rFont val="Arial"/>
      </rPr>
      <t xml:space="preserve"> =</t>
    </r>
  </si>
  <si>
    <r>
      <t>t</t>
    </r>
    <r>
      <rPr>
        <vertAlign val="subscript"/>
        <sz val="11"/>
        <color rgb="FF000000"/>
        <rFont val="Arial"/>
      </rPr>
      <t>ONestimated</t>
    </r>
    <r>
      <rPr>
        <sz val="11"/>
        <color rgb="FF000000"/>
        <rFont val="Arial"/>
      </rPr>
      <t xml:space="preserve"> =</t>
    </r>
  </si>
  <si>
    <r>
      <t>k</t>
    </r>
    <r>
      <rPr>
        <sz val="11"/>
        <color rgb="FF000000"/>
        <rFont val="Calibri"/>
      </rPr>
      <t>Ω</t>
    </r>
  </si>
  <si>
    <r>
      <t>Enter Actual R</t>
    </r>
    <r>
      <rPr>
        <vertAlign val="subscript"/>
        <sz val="11"/>
        <color rgb="FF000000"/>
        <rFont val="Arial"/>
      </rPr>
      <t>TL</t>
    </r>
    <r>
      <rPr>
        <sz val="11"/>
        <color rgb="FF000000"/>
        <rFont val="Arial"/>
      </rPr>
      <t xml:space="preserve"> Used</t>
    </r>
  </si>
  <si>
    <r>
      <rPr>
        <b/>
        <sz val="11"/>
        <color rgb="FF000000"/>
        <rFont val="Arial"/>
      </rPr>
      <t>Recommended</t>
    </r>
    <r>
      <rPr>
        <sz val="11"/>
        <color rgb="FF000000"/>
        <rFont val="Arial"/>
      </rPr>
      <t xml:space="preserve"> Value for Compensation Capacitor, C</t>
    </r>
    <r>
      <rPr>
        <vertAlign val="subscript"/>
        <sz val="11"/>
        <color rgb="FF000000"/>
        <rFont val="Arial"/>
      </rPr>
      <t>Z</t>
    </r>
    <r>
      <rPr>
        <sz val="11"/>
        <color rgb="FF000000"/>
        <rFont val="Arial"/>
      </rPr>
      <t xml:space="preserve"> =</t>
    </r>
  </si>
  <si>
    <r>
      <t>Recommended C</t>
    </r>
    <r>
      <rPr>
        <vertAlign val="subscript"/>
        <sz val="11"/>
        <color rgb="FF000000"/>
        <rFont val="Arial"/>
      </rPr>
      <t>Z</t>
    </r>
  </si>
  <si>
    <r>
      <rPr>
        <b/>
        <sz val="11"/>
        <color rgb="FF000000"/>
        <rFont val="Arial"/>
      </rPr>
      <t>Actual</t>
    </r>
    <r>
      <rPr>
        <sz val="11"/>
        <color rgb="FF000000"/>
        <rFont val="Arial"/>
      </rPr>
      <t xml:space="preserve"> Value of Compensation Capacitor Used, C</t>
    </r>
    <r>
      <rPr>
        <vertAlign val="subscript"/>
        <sz val="11"/>
        <color rgb="FF000000"/>
        <rFont val="Arial"/>
      </rPr>
      <t>Z</t>
    </r>
    <r>
      <rPr>
        <sz val="11"/>
        <color rgb="FF000000"/>
        <rFont val="Arial"/>
      </rPr>
      <t xml:space="preserve"> =</t>
    </r>
  </si>
  <si>
    <r>
      <t>Enter Actual C</t>
    </r>
    <r>
      <rPr>
        <vertAlign val="subscript"/>
        <sz val="11"/>
        <color rgb="FF000000"/>
        <rFont val="Arial"/>
      </rPr>
      <t>Z</t>
    </r>
    <r>
      <rPr>
        <sz val="11"/>
        <color rgb="FF000000"/>
        <rFont val="Arial"/>
      </rPr>
      <t xml:space="preserve"> Used</t>
    </r>
  </si>
  <si>
    <t>Estimated Transformer Efficiency</t>
  </si>
  <si>
    <r>
      <t>η</t>
    </r>
    <r>
      <rPr>
        <vertAlign val="subscript"/>
        <sz val="11"/>
        <color rgb="FF000000"/>
        <rFont val="Arial"/>
      </rPr>
      <t>XFMR</t>
    </r>
    <r>
      <rPr>
        <sz val="11"/>
        <color rgb="FF000000"/>
        <rFont val="Arial"/>
      </rPr>
      <t xml:space="preserve"> =</t>
    </r>
  </si>
  <si>
    <r>
      <t>CURRENT SENSE RESISTOR, R</t>
    </r>
    <r>
      <rPr>
        <b/>
        <i/>
        <vertAlign val="subscript"/>
        <sz val="12"/>
        <color rgb="FFFFFFFF"/>
        <rFont val="Arial"/>
      </rPr>
      <t>CS</t>
    </r>
    <r>
      <rPr>
        <b/>
        <i/>
        <sz val="12"/>
        <color rgb="FFFFFFFF"/>
        <rFont val="Arial"/>
      </rPr>
      <t>, PEAK PRIMARY CURRENT, I</t>
    </r>
    <r>
      <rPr>
        <b/>
        <i/>
        <vertAlign val="subscript"/>
        <sz val="12"/>
        <color rgb="FFFFFFFF"/>
        <rFont val="Arial"/>
      </rPr>
      <t>PP</t>
    </r>
  </si>
  <si>
    <t>Constant Current Regulation Factor, Minimum</t>
  </si>
  <si>
    <r>
      <t>V</t>
    </r>
    <r>
      <rPr>
        <vertAlign val="subscript"/>
        <sz val="11"/>
        <rFont val="Arial"/>
      </rPr>
      <t>CCR_min</t>
    </r>
    <r>
      <rPr>
        <sz val="11"/>
        <rFont val="Arial"/>
      </rPr>
      <t xml:space="preserve"> =</t>
    </r>
  </si>
  <si>
    <t>Constant Current Regulation Factor, Nominal</t>
  </si>
  <si>
    <r>
      <t>V</t>
    </r>
    <r>
      <rPr>
        <vertAlign val="subscript"/>
        <sz val="11"/>
        <rFont val="Arial"/>
      </rPr>
      <t>CCR_nom</t>
    </r>
    <r>
      <rPr>
        <sz val="11"/>
        <rFont val="Arial"/>
      </rPr>
      <t xml:space="preserve"> =</t>
    </r>
  </si>
  <si>
    <r>
      <t>V</t>
    </r>
    <r>
      <rPr>
        <vertAlign val="subscript"/>
        <sz val="11"/>
        <rFont val="Arial"/>
      </rPr>
      <t>CCR_min</t>
    </r>
    <r>
      <rPr>
        <sz val="11"/>
        <rFont val="Arial"/>
      </rPr>
      <t xml:space="preserve"> =</t>
    </r>
  </si>
  <si>
    <r>
      <t>Initial estimate for L</t>
    </r>
    <r>
      <rPr>
        <vertAlign val="subscript"/>
        <sz val="11"/>
        <rFont val="Arial"/>
      </rPr>
      <t>P</t>
    </r>
  </si>
  <si>
    <r>
      <t>L</t>
    </r>
    <r>
      <rPr>
        <vertAlign val="subscript"/>
        <sz val="11"/>
        <rFont val="Arial"/>
      </rPr>
      <t>P_estimate</t>
    </r>
    <r>
      <rPr>
        <sz val="11"/>
        <rFont val="Arial"/>
      </rPr>
      <t xml:space="preserve"> =</t>
    </r>
  </si>
  <si>
    <r>
      <rPr>
        <b/>
        <sz val="11"/>
        <color rgb="FF000000"/>
        <rFont val="Arial"/>
      </rPr>
      <t>Recommended</t>
    </r>
    <r>
      <rPr>
        <sz val="11"/>
        <color rgb="FF000000"/>
        <rFont val="Arial"/>
      </rPr>
      <t xml:space="preserve"> Current Sense Resistor Value</t>
    </r>
  </si>
  <si>
    <r>
      <t>R</t>
    </r>
    <r>
      <rPr>
        <vertAlign val="subscript"/>
        <sz val="11"/>
        <color rgb="FF000000"/>
        <rFont val="Arial"/>
      </rPr>
      <t>CSrecommended</t>
    </r>
    <r>
      <rPr>
        <sz val="11"/>
        <color rgb="FF000000"/>
        <rFont val="Arial"/>
      </rPr>
      <t xml:space="preserve"> =</t>
    </r>
  </si>
  <si>
    <r>
      <rPr>
        <b/>
        <sz val="11"/>
        <color rgb="FF000000"/>
        <rFont val="Arial"/>
      </rPr>
      <t>Actual</t>
    </r>
    <r>
      <rPr>
        <sz val="11"/>
        <color rgb="FF000000"/>
        <rFont val="Arial"/>
      </rPr>
      <t xml:space="preserve"> Current Sense Resistor Used</t>
    </r>
  </si>
  <si>
    <r>
      <t>R</t>
    </r>
    <r>
      <rPr>
        <vertAlign val="subscript"/>
        <sz val="11"/>
        <color rgb="FF000000"/>
        <rFont val="Arial"/>
      </rPr>
      <t>CSactual</t>
    </r>
    <r>
      <rPr>
        <sz val="11"/>
        <color rgb="FF000000"/>
        <rFont val="Arial"/>
      </rPr>
      <t xml:space="preserve"> =</t>
    </r>
  </si>
  <si>
    <t>Current Sense Resistor Value Used in Calculation</t>
  </si>
  <si>
    <r>
      <t xml:space="preserve"> R</t>
    </r>
    <r>
      <rPr>
        <vertAlign val="subscript"/>
        <sz val="11"/>
        <color rgb="FF000000"/>
        <rFont val="Arial"/>
      </rPr>
      <t>CS</t>
    </r>
    <r>
      <rPr>
        <sz val="11"/>
        <color rgb="FF000000"/>
        <rFont val="Arial"/>
      </rPr>
      <t xml:space="preserve"> =</t>
    </r>
  </si>
  <si>
    <r>
      <t>Power Dissipation of R</t>
    </r>
    <r>
      <rPr>
        <vertAlign val="subscript"/>
        <sz val="11"/>
        <color rgb="FF000000"/>
        <rFont val="Arial"/>
      </rPr>
      <t>CS</t>
    </r>
  </si>
  <si>
    <r>
      <t>P</t>
    </r>
    <r>
      <rPr>
        <vertAlign val="subscript"/>
        <sz val="11"/>
        <color rgb="FF000000"/>
        <rFont val="Arial"/>
      </rPr>
      <t>Rcs</t>
    </r>
    <r>
      <rPr>
        <sz val="11"/>
        <color rgb="FF000000"/>
        <rFont val="Arial"/>
      </rPr>
      <t xml:space="preserve"> =</t>
    </r>
  </si>
  <si>
    <t>Maximum Current Sense Threshold Voltage, Minimum</t>
  </si>
  <si>
    <r>
      <t>V</t>
    </r>
    <r>
      <rPr>
        <vertAlign val="subscript"/>
        <sz val="11"/>
        <color rgb="FF000000"/>
        <rFont val="Arial"/>
      </rPr>
      <t>CSTmax_min</t>
    </r>
    <r>
      <rPr>
        <sz val="11"/>
        <color rgb="FF000000"/>
        <rFont val="Arial"/>
      </rPr>
      <t xml:space="preserve"> =</t>
    </r>
  </si>
  <si>
    <t>Maximum Current Sense Threshold Voltage, Nominal</t>
  </si>
  <si>
    <r>
      <t>V</t>
    </r>
    <r>
      <rPr>
        <vertAlign val="subscript"/>
        <sz val="11"/>
        <color rgb="FF000000"/>
        <rFont val="Arial"/>
      </rPr>
      <t>CSTmax_nom</t>
    </r>
    <r>
      <rPr>
        <sz val="11"/>
        <color rgb="FF000000"/>
        <rFont val="Arial"/>
      </rPr>
      <t xml:space="preserve"> =</t>
    </r>
  </si>
  <si>
    <t>Maximum Current Sense Threshold Voltage, Maximum</t>
  </si>
  <si>
    <r>
      <t>V</t>
    </r>
    <r>
      <rPr>
        <vertAlign val="subscript"/>
        <sz val="11"/>
        <color rgb="FF000000"/>
        <rFont val="Arial"/>
      </rPr>
      <t>CSTmax_max</t>
    </r>
    <r>
      <rPr>
        <sz val="11"/>
        <color rgb="FF000000"/>
        <rFont val="Arial"/>
      </rPr>
      <t xml:space="preserve"> =</t>
    </r>
  </si>
  <si>
    <t>Peak Primary Current, Minimum, Full Load</t>
  </si>
  <si>
    <r>
      <t>I</t>
    </r>
    <r>
      <rPr>
        <vertAlign val="subscript"/>
        <sz val="11"/>
        <color rgb="FF000000"/>
        <rFont val="Arial"/>
      </rPr>
      <t>PPmin</t>
    </r>
    <r>
      <rPr>
        <sz val="11"/>
        <color rgb="FF000000"/>
        <rFont val="Arial"/>
      </rPr>
      <t xml:space="preserve"> =</t>
    </r>
  </si>
  <si>
    <t>Peak Primary Current, Nominal, Full Load</t>
  </si>
  <si>
    <r>
      <t>I</t>
    </r>
    <r>
      <rPr>
        <b/>
        <vertAlign val="subscript"/>
        <sz val="11"/>
        <color rgb="FF000000"/>
        <rFont val="Arial"/>
      </rPr>
      <t>PPnom</t>
    </r>
    <r>
      <rPr>
        <b/>
        <sz val="11"/>
        <color rgb="FF000000"/>
        <rFont val="Arial"/>
      </rPr>
      <t xml:space="preserve"> =</t>
    </r>
  </si>
  <si>
    <t>Peak Primary Current, Maximum, Full Load</t>
  </si>
  <si>
    <r>
      <t>I</t>
    </r>
    <r>
      <rPr>
        <vertAlign val="subscript"/>
        <sz val="11"/>
        <color rgb="FF000000"/>
        <rFont val="Arial"/>
      </rPr>
      <t>PPmax</t>
    </r>
    <r>
      <rPr>
        <sz val="11"/>
        <color rgb="FF000000"/>
        <rFont val="Arial"/>
      </rPr>
      <t xml:space="preserve"> =</t>
    </r>
  </si>
  <si>
    <t>Actual Output Current During Constant Current Mode</t>
  </si>
  <si>
    <r>
      <t>I</t>
    </r>
    <r>
      <rPr>
        <b/>
        <vertAlign val="subscript"/>
        <sz val="11"/>
        <color rgb="FF000000"/>
        <rFont val="Arial"/>
      </rPr>
      <t>OCC_actual</t>
    </r>
    <r>
      <rPr>
        <b/>
        <sz val="11"/>
        <color rgb="FF000000"/>
        <rFont val="Arial"/>
      </rPr>
      <t xml:space="preserve"> =</t>
    </r>
  </si>
  <si>
    <t xml:space="preserve">Peak Primary Current During Light Load, FM Mode </t>
  </si>
  <si>
    <r>
      <t>I</t>
    </r>
    <r>
      <rPr>
        <vertAlign val="subscript"/>
        <sz val="11"/>
        <color rgb="FF000000"/>
        <rFont val="Arial"/>
      </rPr>
      <t>PP_FM</t>
    </r>
    <r>
      <rPr>
        <sz val="11"/>
        <color rgb="FF000000"/>
        <rFont val="Arial"/>
      </rPr>
      <t xml:space="preserve"> =</t>
    </r>
  </si>
  <si>
    <t>Worst Case Peak Primary Current</t>
  </si>
  <si>
    <r>
      <t>I</t>
    </r>
    <r>
      <rPr>
        <vertAlign val="subscript"/>
        <sz val="11"/>
        <color rgb="FF000000"/>
        <rFont val="Arial"/>
      </rPr>
      <t>PP_WC</t>
    </r>
    <r>
      <rPr>
        <sz val="11"/>
        <color rgb="FF000000"/>
        <rFont val="Arial"/>
      </rPr>
      <t xml:space="preserve"> =</t>
    </r>
  </si>
  <si>
    <r>
      <t>Assumes -1%R</t>
    </r>
    <r>
      <rPr>
        <vertAlign val="subscript"/>
        <sz val="11"/>
        <color rgb="FF000000"/>
        <rFont val="Arial"/>
      </rPr>
      <t>CS</t>
    </r>
    <r>
      <rPr>
        <sz val="11"/>
        <color rgb="FF000000"/>
        <rFont val="Arial"/>
      </rPr>
      <t xml:space="preserve"> and V</t>
    </r>
    <r>
      <rPr>
        <vertAlign val="subscript"/>
        <sz val="11"/>
        <color rgb="FF000000"/>
        <rFont val="Arial"/>
      </rPr>
      <t>CSTmax_max</t>
    </r>
  </si>
  <si>
    <t>Maximum Output Current During Constant Current Mode</t>
  </si>
  <si>
    <r>
      <t>I</t>
    </r>
    <r>
      <rPr>
        <vertAlign val="subscript"/>
        <sz val="11"/>
        <color rgb="FF000000"/>
        <rFont val="Arial"/>
      </rPr>
      <t>OCCmax</t>
    </r>
    <r>
      <rPr>
        <sz val="11"/>
        <color rgb="FF000000"/>
        <rFont val="Arial"/>
      </rPr>
      <t xml:space="preserve"> =</t>
    </r>
  </si>
  <si>
    <t>Worst Case Estimate</t>
  </si>
  <si>
    <r>
      <t>TRANSFORMER PRIMARY INDUCTANCE, L</t>
    </r>
    <r>
      <rPr>
        <b/>
        <i/>
        <vertAlign val="subscript"/>
        <sz val="12"/>
        <color rgb="FFFFFFFF"/>
        <rFont val="Arial"/>
      </rPr>
      <t>P</t>
    </r>
  </si>
  <si>
    <r>
      <t>Calculated L</t>
    </r>
    <r>
      <rPr>
        <vertAlign val="subscript"/>
        <sz val="12"/>
        <color rgb="FF000000"/>
        <rFont val="Arial"/>
      </rPr>
      <t>P</t>
    </r>
    <r>
      <rPr>
        <sz val="12"/>
        <color rgb="FF000000"/>
        <rFont val="Arial"/>
      </rPr>
      <t xml:space="preserve"> to meet f</t>
    </r>
    <r>
      <rPr>
        <vertAlign val="subscript"/>
        <sz val="12"/>
        <color rgb="FF000000"/>
        <rFont val="Arial"/>
      </rPr>
      <t>max_target</t>
    </r>
    <r>
      <rPr>
        <sz val="12"/>
        <color rgb="FF000000"/>
        <rFont val="Arial"/>
      </rPr>
      <t xml:space="preserve"> with chosen R</t>
    </r>
    <r>
      <rPr>
        <vertAlign val="subscript"/>
        <sz val="12"/>
        <color rgb="FF000000"/>
        <rFont val="Arial"/>
      </rPr>
      <t>CS</t>
    </r>
  </si>
  <si>
    <r>
      <t>L</t>
    </r>
    <r>
      <rPr>
        <vertAlign val="subscript"/>
        <sz val="12"/>
        <color rgb="FF000000"/>
        <rFont val="Arial"/>
      </rPr>
      <t>Pcalc</t>
    </r>
    <r>
      <rPr>
        <sz val="12"/>
        <color rgb="FF000000"/>
        <rFont val="Arial"/>
      </rPr>
      <t xml:space="preserve"> =</t>
    </r>
  </si>
  <si>
    <r>
      <rPr>
        <b/>
        <sz val="11"/>
        <color rgb="FF000000"/>
        <rFont val="Arial"/>
      </rPr>
      <t>Recommended</t>
    </r>
    <r>
      <rPr>
        <sz val="11"/>
        <color rgb="FF000000"/>
        <rFont val="Arial"/>
      </rPr>
      <t xml:space="preserve"> Primary Inductance to meet t</t>
    </r>
    <r>
      <rPr>
        <vertAlign val="subscript"/>
        <sz val="11"/>
        <color rgb="FF000000"/>
        <rFont val="Arial"/>
      </rPr>
      <t>CSLEB</t>
    </r>
    <r>
      <rPr>
        <sz val="11"/>
        <color rgb="FF000000"/>
        <rFont val="Arial"/>
      </rPr>
      <t xml:space="preserve"> with chosen R</t>
    </r>
    <r>
      <rPr>
        <vertAlign val="subscript"/>
        <sz val="11"/>
        <color rgb="FF000000"/>
        <rFont val="Arial"/>
      </rPr>
      <t>CS</t>
    </r>
  </si>
  <si>
    <r>
      <t>L</t>
    </r>
    <r>
      <rPr>
        <vertAlign val="subscript"/>
        <sz val="11"/>
        <color rgb="FF000000"/>
        <rFont val="Arial"/>
      </rPr>
      <t>Precommended</t>
    </r>
    <r>
      <rPr>
        <sz val="11"/>
        <color rgb="FF000000"/>
        <rFont val="Arial"/>
      </rPr>
      <t xml:space="preserve"> =</t>
    </r>
  </si>
  <si>
    <r>
      <t>Ideal L</t>
    </r>
    <r>
      <rPr>
        <vertAlign val="subscript"/>
        <sz val="11"/>
        <color rgb="FF000000"/>
        <rFont val="Arial"/>
      </rPr>
      <t>P</t>
    </r>
  </si>
  <si>
    <r>
      <rPr>
        <b/>
        <sz val="11"/>
        <color rgb="FF000000"/>
        <rFont val="Arial"/>
      </rPr>
      <t>Actual</t>
    </r>
    <r>
      <rPr>
        <sz val="11"/>
        <color rgb="FF000000"/>
        <rFont val="Arial"/>
      </rPr>
      <t xml:space="preserve"> Primary Inductance</t>
    </r>
  </si>
  <si>
    <r>
      <t>L</t>
    </r>
    <r>
      <rPr>
        <vertAlign val="subscript"/>
        <sz val="11"/>
        <color rgb="FF000000"/>
        <rFont val="Arial"/>
      </rPr>
      <t>Pactual</t>
    </r>
    <r>
      <rPr>
        <sz val="11"/>
        <color rgb="FF000000"/>
        <rFont val="Arial"/>
      </rPr>
      <t xml:space="preserve"> =</t>
    </r>
  </si>
  <si>
    <t>Primary Inductance Used in Calculations</t>
  </si>
  <si>
    <r>
      <t>L</t>
    </r>
    <r>
      <rPr>
        <vertAlign val="subscript"/>
        <sz val="11"/>
        <color rgb="FF000000"/>
        <rFont val="Arial"/>
      </rPr>
      <t>P</t>
    </r>
    <r>
      <rPr>
        <sz val="11"/>
        <color rgb="FF000000"/>
        <rFont val="Arial"/>
      </rPr>
      <t xml:space="preserve"> =</t>
    </r>
  </si>
  <si>
    <t>Actual Maximum Nominal Switching Frequency</t>
  </si>
  <si>
    <r>
      <t>f</t>
    </r>
    <r>
      <rPr>
        <b/>
        <vertAlign val="subscript"/>
        <sz val="11"/>
        <color rgb="FF000000"/>
        <rFont val="Arial"/>
      </rPr>
      <t>max</t>
    </r>
    <r>
      <rPr>
        <b/>
        <sz val="11"/>
        <color rgb="FF000000"/>
        <rFont val="Arial"/>
      </rPr>
      <t xml:space="preserve"> =</t>
    </r>
  </si>
  <si>
    <t>Actual Switching Period</t>
  </si>
  <si>
    <r>
      <t>t</t>
    </r>
    <r>
      <rPr>
        <vertAlign val="subscript"/>
        <sz val="11"/>
        <color rgb="FF000000"/>
        <rFont val="Arial"/>
      </rPr>
      <t>SWactual</t>
    </r>
    <r>
      <rPr>
        <sz val="11"/>
        <color rgb="FF000000"/>
        <rFont val="Arial"/>
      </rPr>
      <t xml:space="preserve"> =</t>
    </r>
  </si>
  <si>
    <t>Actual Maximum On-Time</t>
  </si>
  <si>
    <r>
      <t>t</t>
    </r>
    <r>
      <rPr>
        <vertAlign val="subscript"/>
        <sz val="11"/>
        <color rgb="FF000000"/>
        <rFont val="Arial"/>
      </rPr>
      <t>ONmax</t>
    </r>
    <r>
      <rPr>
        <sz val="11"/>
        <color rgb="FF000000"/>
        <rFont val="Arial"/>
      </rPr>
      <t xml:space="preserve"> =</t>
    </r>
  </si>
  <si>
    <t>Maximum Duty Cycle</t>
  </si>
  <si>
    <r>
      <t>D</t>
    </r>
    <r>
      <rPr>
        <vertAlign val="subscript"/>
        <sz val="11"/>
        <color rgb="FF000000"/>
        <rFont val="Arial"/>
      </rPr>
      <t>MAX</t>
    </r>
    <r>
      <rPr>
        <sz val="11"/>
        <color rgb="FF000000"/>
        <rFont val="Arial"/>
      </rPr>
      <t xml:space="preserve"> =</t>
    </r>
  </si>
  <si>
    <t>Demagnetization Time</t>
  </si>
  <si>
    <r>
      <t>t</t>
    </r>
    <r>
      <rPr>
        <vertAlign val="subscript"/>
        <sz val="11"/>
        <color rgb="FF000000"/>
        <rFont val="Arial"/>
      </rPr>
      <t>DEMAG</t>
    </r>
    <r>
      <rPr>
        <sz val="11"/>
        <color rgb="FF000000"/>
        <rFont val="Arial"/>
      </rPr>
      <t xml:space="preserve"> =</t>
    </r>
  </si>
  <si>
    <t>Primary RMS Current</t>
  </si>
  <si>
    <r>
      <t>I</t>
    </r>
    <r>
      <rPr>
        <vertAlign val="subscript"/>
        <sz val="11"/>
        <color rgb="FF000000"/>
        <rFont val="Arial"/>
      </rPr>
      <t>PRI_RMS</t>
    </r>
    <r>
      <rPr>
        <sz val="11"/>
        <color rgb="FF000000"/>
        <rFont val="Arial"/>
      </rPr>
      <t xml:space="preserve"> =</t>
    </r>
  </si>
  <si>
    <t>Secondary Peak Current</t>
  </si>
  <si>
    <r>
      <t>I</t>
    </r>
    <r>
      <rPr>
        <vertAlign val="subscript"/>
        <sz val="11"/>
        <color rgb="FF000000"/>
        <rFont val="Arial"/>
      </rPr>
      <t>SPmax</t>
    </r>
    <r>
      <rPr>
        <sz val="11"/>
        <color rgb="FF000000"/>
        <rFont val="Arial"/>
      </rPr>
      <t xml:space="preserve"> =</t>
    </r>
  </si>
  <si>
    <t>Secondary RMS Current</t>
  </si>
  <si>
    <r>
      <t>I</t>
    </r>
    <r>
      <rPr>
        <vertAlign val="subscript"/>
        <sz val="11"/>
        <color rgb="FF000000"/>
        <rFont val="Arial"/>
      </rPr>
      <t>SEC_RMS</t>
    </r>
    <r>
      <rPr>
        <sz val="11"/>
        <color rgb="FF000000"/>
        <rFont val="Arial"/>
      </rPr>
      <t xml:space="preserve"> =</t>
    </r>
  </si>
  <si>
    <t>VDD Under Voltage Lock Out (UVLO) Voltage, Maximum</t>
  </si>
  <si>
    <r>
      <t>VDD</t>
    </r>
    <r>
      <rPr>
        <vertAlign val="subscript"/>
        <sz val="11"/>
        <color rgb="FF000000"/>
        <rFont val="Arial"/>
      </rPr>
      <t>OFF_max</t>
    </r>
    <r>
      <rPr>
        <sz val="11"/>
        <color rgb="FF000000"/>
        <rFont val="Arial"/>
      </rPr>
      <t xml:space="preserve"> =</t>
    </r>
  </si>
  <si>
    <t>VDD Under Voltage Lock Out (UVLO) Voltage, Minimum</t>
  </si>
  <si>
    <r>
      <t>VDD</t>
    </r>
    <r>
      <rPr>
        <vertAlign val="subscript"/>
        <sz val="11"/>
        <color rgb="FF000000"/>
        <rFont val="Arial"/>
      </rPr>
      <t>OFF_min</t>
    </r>
    <r>
      <rPr>
        <sz val="11"/>
        <color rgb="FF000000"/>
        <rFont val="Arial"/>
      </rPr>
      <t xml:space="preserve"> =</t>
    </r>
  </si>
  <si>
    <t>Recommended Auxiliary to Secondary Turns Ratio</t>
  </si>
  <si>
    <r>
      <t>N</t>
    </r>
    <r>
      <rPr>
        <vertAlign val="subscript"/>
        <sz val="11"/>
        <color rgb="FF000000"/>
        <rFont val="Arial"/>
      </rPr>
      <t xml:space="preserve">ASrecommended </t>
    </r>
    <r>
      <rPr>
        <sz val="11"/>
        <color rgb="FF000000"/>
        <rFont val="Arial"/>
      </rPr>
      <t>=</t>
    </r>
  </si>
  <si>
    <r>
      <rPr>
        <b/>
        <sz val="11"/>
        <color rgb="FF000000"/>
        <rFont val="Arial"/>
      </rPr>
      <t xml:space="preserve">Recommended </t>
    </r>
    <r>
      <rPr>
        <sz val="11"/>
        <color rgb="FF000000"/>
        <rFont val="Arial"/>
      </rPr>
      <t>Primary to Auxilliary Turns Ratio</t>
    </r>
  </si>
  <si>
    <r>
      <t>N</t>
    </r>
    <r>
      <rPr>
        <vertAlign val="subscript"/>
        <sz val="11"/>
        <color rgb="FF000000"/>
        <rFont val="Arial"/>
      </rPr>
      <t>PArecommended</t>
    </r>
    <r>
      <rPr>
        <sz val="11"/>
        <color rgb="FF000000"/>
        <rFont val="Arial"/>
      </rPr>
      <t xml:space="preserve"> =</t>
    </r>
  </si>
  <si>
    <r>
      <rPr>
        <b/>
        <sz val="11"/>
        <color rgb="FF000000"/>
        <rFont val="Arial"/>
      </rPr>
      <t>Actual</t>
    </r>
    <r>
      <rPr>
        <sz val="11"/>
        <color rgb="FF000000"/>
        <rFont val="Arial"/>
      </rPr>
      <t xml:space="preserve"> Primary to Auxiliary Turns Ratio</t>
    </r>
  </si>
  <si>
    <r>
      <t>N</t>
    </r>
    <r>
      <rPr>
        <vertAlign val="subscript"/>
        <sz val="11"/>
        <color rgb="FF000000"/>
        <rFont val="Arial"/>
      </rPr>
      <t xml:space="preserve">PAactual </t>
    </r>
    <r>
      <rPr>
        <sz val="11"/>
        <color rgb="FF000000"/>
        <rFont val="Arial"/>
      </rPr>
      <t>=</t>
    </r>
  </si>
  <si>
    <t>Primary to Auxiliary Turns Ratio Used in Calculations</t>
  </si>
  <si>
    <r>
      <t>N</t>
    </r>
    <r>
      <rPr>
        <vertAlign val="subscript"/>
        <sz val="11"/>
        <color rgb="FF000000"/>
        <rFont val="Arial"/>
      </rPr>
      <t>PA</t>
    </r>
    <r>
      <rPr>
        <sz val="11"/>
        <color rgb="FF000000"/>
        <rFont val="Arial"/>
      </rPr>
      <t xml:space="preserve"> =</t>
    </r>
  </si>
  <si>
    <t>Nominal VDD Voltage</t>
  </si>
  <si>
    <t>VDD =</t>
  </si>
  <si>
    <t>Actual Auxiliary to Secondary Turns Ratio</t>
  </si>
  <si>
    <r>
      <t>N</t>
    </r>
    <r>
      <rPr>
        <vertAlign val="subscript"/>
        <sz val="11"/>
        <color rgb="FF000000"/>
        <rFont val="Arial"/>
      </rPr>
      <t>AS</t>
    </r>
    <r>
      <rPr>
        <sz val="11"/>
        <color rgb="FF000000"/>
        <rFont val="Arial"/>
      </rPr>
      <t xml:space="preserve"> =</t>
    </r>
  </si>
  <si>
    <r>
      <t>Minimum On-Time, t</t>
    </r>
    <r>
      <rPr>
        <vertAlign val="subscript"/>
        <sz val="11"/>
        <color rgb="FF000000"/>
        <rFont val="Arial"/>
      </rPr>
      <t>CSLEB</t>
    </r>
  </si>
  <si>
    <r>
      <t>t</t>
    </r>
    <r>
      <rPr>
        <vertAlign val="subscript"/>
        <sz val="11"/>
        <color rgb="FF000000"/>
        <rFont val="Arial"/>
      </rPr>
      <t xml:space="preserve">ONmin(limit) </t>
    </r>
    <r>
      <rPr>
        <sz val="11"/>
        <color rgb="FF000000"/>
        <rFont val="Arial"/>
      </rPr>
      <t>=</t>
    </r>
  </si>
  <si>
    <t>Actual Minimum On-Time</t>
  </si>
  <si>
    <r>
      <t>t</t>
    </r>
    <r>
      <rPr>
        <vertAlign val="subscript"/>
        <sz val="11"/>
        <color rgb="FF000000"/>
        <rFont val="Arial"/>
      </rPr>
      <t xml:space="preserve">ONmin(actual) </t>
    </r>
    <r>
      <rPr>
        <sz val="11"/>
        <color rgb="FF000000"/>
        <rFont val="Arial"/>
      </rPr>
      <t>=</t>
    </r>
  </si>
  <si>
    <t>Minimum Demagnetizing Time</t>
  </si>
  <si>
    <r>
      <t>t</t>
    </r>
    <r>
      <rPr>
        <vertAlign val="subscript"/>
        <sz val="11"/>
        <color rgb="FF000000"/>
        <rFont val="Arial"/>
      </rPr>
      <t>DEMAGmin</t>
    </r>
    <r>
      <rPr>
        <sz val="11"/>
        <color rgb="FF000000"/>
        <rFont val="Arial"/>
      </rPr>
      <t xml:space="preserve"> =</t>
    </r>
  </si>
  <si>
    <t>Minimum Output Voltage During Constant Current Mode</t>
  </si>
  <si>
    <r>
      <t>V</t>
    </r>
    <r>
      <rPr>
        <b/>
        <vertAlign val="subscript"/>
        <sz val="11"/>
        <color rgb="FF000000"/>
        <rFont val="Arial"/>
      </rPr>
      <t>OUT_CCmin</t>
    </r>
    <r>
      <rPr>
        <b/>
        <sz val="11"/>
        <color rgb="FF000000"/>
        <rFont val="Arial"/>
      </rPr>
      <t xml:space="preserve"> =</t>
    </r>
  </si>
  <si>
    <t>MOSFET, Q</t>
  </si>
  <si>
    <r>
      <t>Required Drain to Soure Voltage Rating , V</t>
    </r>
    <r>
      <rPr>
        <vertAlign val="subscript"/>
        <sz val="11"/>
        <rFont val="Arial"/>
      </rPr>
      <t>DSrated</t>
    </r>
    <r>
      <rPr>
        <sz val="11"/>
        <rFont val="Arial"/>
      </rPr>
      <t xml:space="preserve"> =</t>
    </r>
  </si>
  <si>
    <r>
      <t>V</t>
    </r>
    <r>
      <rPr>
        <vertAlign val="subscript"/>
        <sz val="12"/>
        <rFont val="Arial"/>
      </rPr>
      <t>DSmin_rating</t>
    </r>
    <r>
      <rPr>
        <sz val="12"/>
        <rFont val="Arial"/>
      </rPr>
      <t xml:space="preserve"> =</t>
    </r>
  </si>
  <si>
    <t>MOSFET Rated Drain to Source Voltage</t>
  </si>
  <si>
    <r>
      <t>V</t>
    </r>
    <r>
      <rPr>
        <vertAlign val="subscript"/>
        <sz val="11"/>
        <color rgb="FF000000"/>
        <rFont val="Arial"/>
      </rPr>
      <t>DS</t>
    </r>
    <r>
      <rPr>
        <sz val="11"/>
        <color rgb="FF000000"/>
        <rFont val="Arial"/>
      </rPr>
      <t xml:space="preserve"> =</t>
    </r>
  </si>
  <si>
    <t>Output Capacitance of Selected MOSFET</t>
  </si>
  <si>
    <r>
      <t>C</t>
    </r>
    <r>
      <rPr>
        <vertAlign val="subscript"/>
        <sz val="11"/>
        <color rgb="FF000000"/>
        <rFont val="Arial"/>
      </rPr>
      <t>OSS</t>
    </r>
    <r>
      <rPr>
        <sz val="11"/>
        <color rgb="FF000000"/>
        <rFont val="Arial"/>
      </rPr>
      <t xml:space="preserve"> =</t>
    </r>
  </si>
  <si>
    <t>Drain to Source On-Resistance of Selected MOSFET</t>
  </si>
  <si>
    <r>
      <t>R</t>
    </r>
    <r>
      <rPr>
        <vertAlign val="subscript"/>
        <sz val="11"/>
        <color rgb="FF000000"/>
        <rFont val="Arial"/>
      </rPr>
      <t>DSon</t>
    </r>
    <r>
      <rPr>
        <sz val="11"/>
        <color rgb="FF000000"/>
        <rFont val="Arial"/>
      </rPr>
      <t xml:space="preserve"> =</t>
    </r>
  </si>
  <si>
    <t>MOSFET Fall Time</t>
  </si>
  <si>
    <r>
      <t>t</t>
    </r>
    <r>
      <rPr>
        <vertAlign val="subscript"/>
        <sz val="11"/>
        <color rgb="FF000000"/>
        <rFont val="Arial"/>
      </rPr>
      <t>f</t>
    </r>
    <r>
      <rPr>
        <sz val="11"/>
        <color rgb="FF000000"/>
        <rFont val="Arial"/>
      </rPr>
      <t xml:space="preserve"> =</t>
    </r>
  </si>
  <si>
    <t>MOSFET Turn Off Delay Time</t>
  </si>
  <si>
    <r>
      <t>t</t>
    </r>
    <r>
      <rPr>
        <vertAlign val="subscript"/>
        <sz val="11"/>
        <color rgb="FF000000"/>
        <rFont val="Arial"/>
      </rPr>
      <t>Doff</t>
    </r>
    <r>
      <rPr>
        <sz val="11"/>
        <color rgb="FF000000"/>
        <rFont val="Arial"/>
      </rPr>
      <t xml:space="preserve"> =</t>
    </r>
  </si>
  <si>
    <t>MOSFET Total Gate Charge</t>
  </si>
  <si>
    <r>
      <t>Q</t>
    </r>
    <r>
      <rPr>
        <vertAlign val="subscript"/>
        <sz val="11"/>
        <color rgb="FF000000"/>
        <rFont val="Arial"/>
      </rPr>
      <t>g</t>
    </r>
    <r>
      <rPr>
        <sz val="11"/>
        <color rgb="FF000000"/>
        <rFont val="Arial"/>
      </rPr>
      <t xml:space="preserve"> =</t>
    </r>
  </si>
  <si>
    <t>Actual Resonant Frequency During DCM Dead Time</t>
  </si>
  <si>
    <r>
      <t>f</t>
    </r>
    <r>
      <rPr>
        <vertAlign val="subscript"/>
        <sz val="11"/>
        <color rgb="FF000000"/>
        <rFont val="Arial"/>
      </rPr>
      <t>RES_actual</t>
    </r>
    <r>
      <rPr>
        <sz val="11"/>
        <color rgb="FF000000"/>
        <rFont val="Arial"/>
      </rPr>
      <t xml:space="preserve"> =</t>
    </r>
  </si>
  <si>
    <t>Actual Estimated Time to First Resonant Valley</t>
  </si>
  <si>
    <r>
      <t>t</t>
    </r>
    <r>
      <rPr>
        <vertAlign val="subscript"/>
        <sz val="11"/>
        <color rgb="FF000000"/>
        <rFont val="Arial"/>
      </rPr>
      <t>RES_actual</t>
    </r>
    <r>
      <rPr>
        <sz val="11"/>
        <color rgb="FF000000"/>
        <rFont val="Arial"/>
      </rPr>
      <t xml:space="preserve"> =</t>
    </r>
  </si>
  <si>
    <r>
      <rPr>
        <sz val="11"/>
        <rFont val="Calibri"/>
      </rPr>
      <t>µ</t>
    </r>
    <r>
      <rPr>
        <sz val="11"/>
        <rFont val="Arial"/>
      </rPr>
      <t>s</t>
    </r>
  </si>
  <si>
    <t>Valley Switching Achieved?</t>
  </si>
  <si>
    <t>YES or NO</t>
  </si>
  <si>
    <r>
      <t>MOSFET V</t>
    </r>
    <r>
      <rPr>
        <vertAlign val="subscript"/>
        <sz val="11"/>
        <color rgb="FF000000"/>
        <rFont val="Arial"/>
      </rPr>
      <t>DS</t>
    </r>
    <r>
      <rPr>
        <sz val="11"/>
        <color rgb="FF000000"/>
        <rFont val="Arial"/>
      </rPr>
      <t xml:space="preserve"> Derating</t>
    </r>
  </si>
  <si>
    <r>
      <t>V</t>
    </r>
    <r>
      <rPr>
        <vertAlign val="subscript"/>
        <sz val="11"/>
        <color rgb="FF000000"/>
        <rFont val="Arial"/>
      </rPr>
      <t>DSderated</t>
    </r>
    <r>
      <rPr>
        <sz val="11"/>
        <color rgb="FF000000"/>
        <rFont val="Arial"/>
      </rPr>
      <t xml:space="preserve"> =</t>
    </r>
  </si>
  <si>
    <t>MOSFET Continuous Current Rating</t>
  </si>
  <si>
    <r>
      <t>I</t>
    </r>
    <r>
      <rPr>
        <vertAlign val="subscript"/>
        <sz val="11"/>
        <color rgb="FF000000"/>
        <rFont val="Arial"/>
      </rPr>
      <t>DRAIN</t>
    </r>
    <r>
      <rPr>
        <sz val="11"/>
        <color rgb="FF000000"/>
        <rFont val="Arial"/>
      </rPr>
      <t xml:space="preserve"> =</t>
    </r>
  </si>
  <si>
    <t>MOSFET Pulsed Current Rating</t>
  </si>
  <si>
    <r>
      <t>I</t>
    </r>
    <r>
      <rPr>
        <vertAlign val="subscript"/>
        <sz val="11"/>
        <color rgb="FF000000"/>
        <rFont val="Arial"/>
      </rPr>
      <t>PULSED</t>
    </r>
    <r>
      <rPr>
        <sz val="11"/>
        <color rgb="FF000000"/>
        <rFont val="Arial"/>
      </rPr>
      <t xml:space="preserve"> =</t>
    </r>
  </si>
  <si>
    <t>Estimated MOSFET Conduction Losses</t>
  </si>
  <si>
    <r>
      <t>P</t>
    </r>
    <r>
      <rPr>
        <vertAlign val="subscript"/>
        <sz val="11"/>
        <color rgb="FF000000"/>
        <rFont val="Arial"/>
      </rPr>
      <t>FETconduction</t>
    </r>
    <r>
      <rPr>
        <sz val="11"/>
        <color rgb="FF000000"/>
        <rFont val="Arial"/>
      </rPr>
      <t xml:space="preserve"> =</t>
    </r>
  </si>
  <si>
    <t>Estimated MOSFET Switching Losses</t>
  </si>
  <si>
    <r>
      <t>P</t>
    </r>
    <r>
      <rPr>
        <vertAlign val="subscript"/>
        <sz val="11"/>
        <color rgb="FF000000"/>
        <rFont val="Arial"/>
      </rPr>
      <t>FETswitching</t>
    </r>
    <r>
      <rPr>
        <sz val="11"/>
        <color rgb="FF000000"/>
        <rFont val="Arial"/>
      </rPr>
      <t xml:space="preserve"> =</t>
    </r>
  </si>
  <si>
    <t xml:space="preserve">Total Estimated MOSFET Power Loss </t>
  </si>
  <si>
    <r>
      <t>P</t>
    </r>
    <r>
      <rPr>
        <vertAlign val="subscript"/>
        <sz val="11"/>
        <color rgb="FF000000"/>
        <rFont val="Arial"/>
      </rPr>
      <t>FET</t>
    </r>
    <r>
      <rPr>
        <sz val="11"/>
        <color rgb="FF000000"/>
        <rFont val="Arial"/>
      </rPr>
      <t xml:space="preserve"> =</t>
    </r>
  </si>
  <si>
    <t>Recommended Clamping Voltage on Drain</t>
  </si>
  <si>
    <r>
      <t>V</t>
    </r>
    <r>
      <rPr>
        <vertAlign val="subscript"/>
        <sz val="11"/>
        <color rgb="FF000000"/>
        <rFont val="Arial"/>
      </rPr>
      <t>DRAINclamp</t>
    </r>
    <r>
      <rPr>
        <sz val="11"/>
        <color rgb="FF000000"/>
        <rFont val="Arial"/>
      </rPr>
      <t xml:space="preserve"> =</t>
    </r>
  </si>
  <si>
    <r>
      <t>OUTPUT DIODE, D</t>
    </r>
    <r>
      <rPr>
        <b/>
        <i/>
        <vertAlign val="subscript"/>
        <sz val="12"/>
        <color rgb="FFFFFFFF"/>
        <rFont val="Arial"/>
      </rPr>
      <t>OUT</t>
    </r>
  </si>
  <si>
    <r>
      <t>Forward Voltage Drop of Output Rectifier, V</t>
    </r>
    <r>
      <rPr>
        <vertAlign val="subscript"/>
        <sz val="11"/>
        <color rgb="FF000000"/>
        <rFont val="Arial"/>
      </rPr>
      <t>F</t>
    </r>
    <r>
      <rPr>
        <sz val="11"/>
        <color rgb="FF000000"/>
        <rFont val="Arial"/>
      </rPr>
      <t xml:space="preserve"> =</t>
    </r>
  </si>
  <si>
    <r>
      <t>V</t>
    </r>
    <r>
      <rPr>
        <vertAlign val="subscript"/>
        <sz val="11"/>
        <color rgb="FF000000"/>
        <rFont val="Arial"/>
      </rPr>
      <t>F</t>
    </r>
    <r>
      <rPr>
        <sz val="11"/>
        <color rgb="FF000000"/>
        <rFont val="Arial"/>
      </rPr>
      <t xml:space="preserve"> =</t>
    </r>
  </si>
  <si>
    <t>Minimum Required Blocking Voltage Rating</t>
  </si>
  <si>
    <r>
      <t>V</t>
    </r>
    <r>
      <rPr>
        <vertAlign val="subscript"/>
        <sz val="11"/>
        <color rgb="FF000000"/>
        <rFont val="Arial"/>
      </rPr>
      <t>DOUT_blocking</t>
    </r>
    <r>
      <rPr>
        <sz val="11"/>
        <color rgb="FF000000"/>
        <rFont val="Arial"/>
      </rPr>
      <t xml:space="preserve"> =</t>
    </r>
  </si>
  <si>
    <t>Required Minimum Average Rectified Output Current</t>
  </si>
  <si>
    <r>
      <t>I</t>
    </r>
    <r>
      <rPr>
        <vertAlign val="subscript"/>
        <sz val="11"/>
        <color rgb="FF000000"/>
        <rFont val="Arial"/>
      </rPr>
      <t>Dout</t>
    </r>
    <r>
      <rPr>
        <sz val="11"/>
        <color rgb="FF000000"/>
        <rFont val="Arial"/>
      </rPr>
      <t xml:space="preserve"> =</t>
    </r>
  </si>
  <si>
    <r>
      <t>Power Dissipation of D</t>
    </r>
    <r>
      <rPr>
        <vertAlign val="subscript"/>
        <sz val="11"/>
        <color rgb="FF000000"/>
        <rFont val="Arial"/>
      </rPr>
      <t>OUT</t>
    </r>
  </si>
  <si>
    <r>
      <t>P</t>
    </r>
    <r>
      <rPr>
        <vertAlign val="subscript"/>
        <sz val="11"/>
        <color rgb="FF000000"/>
        <rFont val="Arial"/>
      </rPr>
      <t>Dout</t>
    </r>
    <r>
      <rPr>
        <sz val="11"/>
        <color rgb="FF000000"/>
        <rFont val="Arial"/>
      </rPr>
      <t xml:space="preserve"> =</t>
    </r>
  </si>
  <si>
    <r>
      <t>AUXILIARY WINDING DIODE, D</t>
    </r>
    <r>
      <rPr>
        <b/>
        <i/>
        <vertAlign val="subscript"/>
        <sz val="12"/>
        <color rgb="FFFFFFFF"/>
        <rFont val="Arial"/>
      </rPr>
      <t>AUX</t>
    </r>
    <r>
      <rPr>
        <b/>
        <i/>
        <sz val="12"/>
        <color rgb="FFFFFFFF"/>
        <rFont val="Arial"/>
      </rPr>
      <t xml:space="preserve"> </t>
    </r>
  </si>
  <si>
    <t>Auxiliary Rectifier Forward Voltage Drop</t>
  </si>
  <si>
    <r>
      <t xml:space="preserve"> V</t>
    </r>
    <r>
      <rPr>
        <vertAlign val="subscript"/>
        <sz val="11"/>
        <color rgb="FF000000"/>
        <rFont val="Arial"/>
      </rPr>
      <t>FA</t>
    </r>
    <r>
      <rPr>
        <sz val="11"/>
        <color rgb="FF000000"/>
        <rFont val="Arial"/>
      </rPr>
      <t xml:space="preserve"> =</t>
    </r>
  </si>
  <si>
    <r>
      <t>V</t>
    </r>
    <r>
      <rPr>
        <vertAlign val="subscript"/>
        <sz val="11"/>
        <color rgb="FF000000"/>
        <rFont val="Arial"/>
      </rPr>
      <t>DBIAS_blocking</t>
    </r>
    <r>
      <rPr>
        <sz val="11"/>
        <color rgb="FF000000"/>
        <rFont val="Arial"/>
      </rPr>
      <t xml:space="preserve"> =</t>
    </r>
  </si>
  <si>
    <r>
      <t>OUTPUT INDUCTOR, L</t>
    </r>
    <r>
      <rPr>
        <b/>
        <i/>
        <vertAlign val="subscript"/>
        <sz val="12"/>
        <color rgb="FFFFFFFF"/>
        <rFont val="Arial"/>
      </rPr>
      <t>OUT</t>
    </r>
  </si>
  <si>
    <t>DCR of Output Inductor</t>
  </si>
  <si>
    <r>
      <t xml:space="preserve"> DCR</t>
    </r>
    <r>
      <rPr>
        <vertAlign val="subscript"/>
        <sz val="11"/>
        <color rgb="FF000000"/>
        <rFont val="Arial"/>
      </rPr>
      <t>Lout</t>
    </r>
    <r>
      <rPr>
        <sz val="11"/>
        <color rgb="FF000000"/>
        <rFont val="Arial"/>
      </rPr>
      <t xml:space="preserve"> =</t>
    </r>
  </si>
  <si>
    <r>
      <t>OUTPUT CAPACITOR, C</t>
    </r>
    <r>
      <rPr>
        <b/>
        <i/>
        <vertAlign val="subscript"/>
        <sz val="12"/>
        <color rgb="FFFFFFFF"/>
        <rFont val="Arial"/>
      </rPr>
      <t>OUT</t>
    </r>
  </si>
  <si>
    <r>
      <t>Minimum Required C</t>
    </r>
    <r>
      <rPr>
        <vertAlign val="subscript"/>
        <sz val="11"/>
        <rFont val="Arial"/>
      </rPr>
      <t>OUT</t>
    </r>
    <r>
      <rPr>
        <sz val="11"/>
        <rFont val="Arial"/>
      </rPr>
      <t xml:space="preserve"> Without Opto-Coupled FeedBack</t>
    </r>
  </si>
  <si>
    <r>
      <t>C</t>
    </r>
    <r>
      <rPr>
        <vertAlign val="subscript"/>
        <sz val="11"/>
        <rFont val="Arial"/>
      </rPr>
      <t>OUT_no_opto</t>
    </r>
    <r>
      <rPr>
        <sz val="11"/>
        <rFont val="Arial"/>
      </rPr>
      <t xml:space="preserve"> =</t>
    </r>
  </si>
  <si>
    <t>The importance of using opto feedback should be noted here!</t>
  </si>
  <si>
    <r>
      <rPr>
        <b/>
        <sz val="11"/>
        <rFont val="Arial"/>
      </rPr>
      <t>Recommended</t>
    </r>
    <r>
      <rPr>
        <sz val="11"/>
        <rFont val="Arial"/>
      </rPr>
      <t xml:space="preserve"> Minimum Required Output Capacitor With Opto-Coupled FeedBack</t>
    </r>
  </si>
  <si>
    <r>
      <t>C</t>
    </r>
    <r>
      <rPr>
        <vertAlign val="subscript"/>
        <sz val="11"/>
        <rFont val="Arial"/>
      </rPr>
      <t>OUTrecommended</t>
    </r>
    <r>
      <rPr>
        <sz val="11"/>
        <rFont val="Arial"/>
      </rPr>
      <t>=</t>
    </r>
  </si>
  <si>
    <r>
      <rPr>
        <b/>
        <sz val="11"/>
        <rFont val="Arial"/>
      </rPr>
      <t>Actual</t>
    </r>
    <r>
      <rPr>
        <sz val="11"/>
        <rFont val="Arial"/>
      </rPr>
      <t xml:space="preserve"> Output Capacitance Used</t>
    </r>
  </si>
  <si>
    <r>
      <t>C</t>
    </r>
    <r>
      <rPr>
        <vertAlign val="subscript"/>
        <sz val="11"/>
        <rFont val="Arial"/>
      </rPr>
      <t>OUTactual</t>
    </r>
    <r>
      <rPr>
        <sz val="11"/>
        <rFont val="Arial"/>
      </rPr>
      <t xml:space="preserve"> =</t>
    </r>
  </si>
  <si>
    <r>
      <rPr>
        <sz val="11"/>
        <rFont val="Calibri"/>
      </rPr>
      <t>µ</t>
    </r>
    <r>
      <rPr>
        <sz val="11"/>
        <rFont val="Arial"/>
      </rPr>
      <t>F</t>
    </r>
  </si>
  <si>
    <r>
      <t>C</t>
    </r>
    <r>
      <rPr>
        <vertAlign val="subscript"/>
        <sz val="11"/>
        <rFont val="Arial"/>
      </rPr>
      <t>OUT</t>
    </r>
    <r>
      <rPr>
        <sz val="11"/>
        <rFont val="Arial"/>
      </rPr>
      <t xml:space="preserve"> Used in Calculations</t>
    </r>
  </si>
  <si>
    <r>
      <t>C</t>
    </r>
    <r>
      <rPr>
        <vertAlign val="subscript"/>
        <sz val="11"/>
        <rFont val="Arial"/>
      </rPr>
      <t>OUT</t>
    </r>
    <r>
      <rPr>
        <sz val="11"/>
        <rFont val="Arial"/>
      </rPr>
      <t xml:space="preserve"> =</t>
    </r>
  </si>
  <si>
    <r>
      <rPr>
        <sz val="11"/>
        <rFont val="Calibri"/>
      </rPr>
      <t>µ</t>
    </r>
    <r>
      <rPr>
        <sz val="11"/>
        <rFont val="Arial"/>
      </rPr>
      <t>F</t>
    </r>
  </si>
  <si>
    <t>Required Minimum Ripple Current Rating</t>
  </si>
  <si>
    <r>
      <t>I</t>
    </r>
    <r>
      <rPr>
        <vertAlign val="subscript"/>
        <sz val="11"/>
        <rFont val="Arial"/>
      </rPr>
      <t>COUTrms</t>
    </r>
    <r>
      <rPr>
        <sz val="11"/>
        <rFont val="Arial"/>
      </rPr>
      <t xml:space="preserve"> =</t>
    </r>
  </si>
  <si>
    <r>
      <rPr>
        <b/>
        <sz val="11"/>
        <rFont val="Arial"/>
      </rPr>
      <t>Recommended</t>
    </r>
    <r>
      <rPr>
        <sz val="11"/>
        <rFont val="Arial"/>
      </rPr>
      <t xml:space="preserve"> Maximum ESR</t>
    </r>
  </si>
  <si>
    <r>
      <t>ESR</t>
    </r>
    <r>
      <rPr>
        <vertAlign val="subscript"/>
        <sz val="11"/>
        <rFont val="Arial"/>
      </rPr>
      <t>Coutrecommended</t>
    </r>
    <r>
      <rPr>
        <sz val="11"/>
        <rFont val="Arial"/>
      </rPr>
      <t xml:space="preserve"> =</t>
    </r>
  </si>
  <si>
    <r>
      <rPr>
        <b/>
        <sz val="11"/>
        <rFont val="Arial"/>
      </rPr>
      <t>Actual</t>
    </r>
    <r>
      <rPr>
        <sz val="11"/>
        <rFont val="Arial"/>
      </rPr>
      <t xml:space="preserve"> ESR of C</t>
    </r>
    <r>
      <rPr>
        <vertAlign val="subscript"/>
        <sz val="11"/>
        <rFont val="Arial"/>
      </rPr>
      <t>OUT</t>
    </r>
    <r>
      <rPr>
        <sz val="11"/>
        <rFont val="Arial"/>
      </rPr>
      <t xml:space="preserve"> Used</t>
    </r>
  </si>
  <si>
    <r>
      <t>ESR</t>
    </r>
    <r>
      <rPr>
        <vertAlign val="subscript"/>
        <sz val="11"/>
        <rFont val="Arial"/>
      </rPr>
      <t>Coutactual</t>
    </r>
    <r>
      <rPr>
        <sz val="11"/>
        <rFont val="Arial"/>
      </rPr>
      <t xml:space="preserve"> =</t>
    </r>
  </si>
  <si>
    <t>ESR Used in Calculations</t>
  </si>
  <si>
    <r>
      <t>ESR</t>
    </r>
    <r>
      <rPr>
        <vertAlign val="subscript"/>
        <sz val="11"/>
        <rFont val="Arial"/>
      </rPr>
      <t>Cout</t>
    </r>
    <r>
      <rPr>
        <sz val="11"/>
        <rFont val="Arial"/>
      </rPr>
      <t xml:space="preserve"> =</t>
    </r>
  </si>
  <si>
    <t>Resultant Output Voltage Peak to Peak Ripple</t>
  </si>
  <si>
    <r>
      <t>V</t>
    </r>
    <r>
      <rPr>
        <b/>
        <vertAlign val="subscript"/>
        <sz val="11"/>
        <rFont val="Arial"/>
      </rPr>
      <t>OUTripple</t>
    </r>
    <r>
      <rPr>
        <b/>
        <sz val="11"/>
        <rFont val="Arial"/>
      </rPr>
      <t xml:space="preserve"> =</t>
    </r>
  </si>
  <si>
    <r>
      <t>VOLTAGE SENSE DIVIDER, R</t>
    </r>
    <r>
      <rPr>
        <b/>
        <i/>
        <vertAlign val="subscript"/>
        <sz val="12"/>
        <color rgb="FFFFFFFF"/>
        <rFont val="Arial"/>
      </rPr>
      <t>VS1</t>
    </r>
    <r>
      <rPr>
        <b/>
        <i/>
        <sz val="12"/>
        <color rgb="FFFFFFFF"/>
        <rFont val="Arial"/>
      </rPr>
      <t>, R</t>
    </r>
    <r>
      <rPr>
        <b/>
        <i/>
        <vertAlign val="subscript"/>
        <sz val="12"/>
        <color rgb="FFFFFFFF"/>
        <rFont val="Arial"/>
      </rPr>
      <t>VS2</t>
    </r>
  </si>
  <si>
    <t>VS Line Sense Run Current, Minimum</t>
  </si>
  <si>
    <r>
      <t>I</t>
    </r>
    <r>
      <rPr>
        <vertAlign val="subscript"/>
        <sz val="11"/>
        <color rgb="FF000000"/>
        <rFont val="Arial"/>
      </rPr>
      <t>VSLrun_min</t>
    </r>
    <r>
      <rPr>
        <sz val="11"/>
        <color rgb="FF000000"/>
        <rFont val="Arial"/>
      </rPr>
      <t xml:space="preserve"> =</t>
    </r>
  </si>
  <si>
    <r>
      <rPr>
        <sz val="11"/>
        <color rgb="FF000000"/>
        <rFont val="Calibri"/>
      </rPr>
      <t>µ</t>
    </r>
    <r>
      <rPr>
        <sz val="11"/>
        <color rgb="FF000000"/>
        <rFont val="Arial"/>
      </rPr>
      <t>A</t>
    </r>
  </si>
  <si>
    <t>VS Line Sense Run Current, Nominal</t>
  </si>
  <si>
    <r>
      <t>I</t>
    </r>
    <r>
      <rPr>
        <vertAlign val="subscript"/>
        <sz val="11"/>
        <color rgb="FF000000"/>
        <rFont val="Arial"/>
      </rPr>
      <t>VSLrun_nom</t>
    </r>
    <r>
      <rPr>
        <sz val="11"/>
        <color rgb="FF000000"/>
        <rFont val="Arial"/>
      </rPr>
      <t xml:space="preserve"> =</t>
    </r>
  </si>
  <si>
    <r>
      <rPr>
        <sz val="11"/>
        <color rgb="FF000000"/>
        <rFont val="Calibri"/>
      </rPr>
      <t>µ</t>
    </r>
    <r>
      <rPr>
        <sz val="11"/>
        <color rgb="FF000000"/>
        <rFont val="Arial"/>
      </rPr>
      <t>A</t>
    </r>
  </si>
  <si>
    <t>VS Line Sense Run Current, Maximum</t>
  </si>
  <si>
    <r>
      <t>I</t>
    </r>
    <r>
      <rPr>
        <vertAlign val="subscript"/>
        <sz val="11"/>
        <color rgb="FF000000"/>
        <rFont val="Arial"/>
      </rPr>
      <t>VSLrun_max</t>
    </r>
    <r>
      <rPr>
        <sz val="11"/>
        <color rgb="FF000000"/>
        <rFont val="Arial"/>
      </rPr>
      <t xml:space="preserve"> =</t>
    </r>
  </si>
  <si>
    <r>
      <rPr>
        <sz val="11"/>
        <color rgb="FF000000"/>
        <rFont val="Calibri"/>
      </rPr>
      <t>µ</t>
    </r>
    <r>
      <rPr>
        <sz val="11"/>
        <color rgb="FF000000"/>
        <rFont val="Arial"/>
      </rPr>
      <t>A</t>
    </r>
  </si>
  <si>
    <t>VS Line Sense Stop Current, Minimum</t>
  </si>
  <si>
    <r>
      <t>I</t>
    </r>
    <r>
      <rPr>
        <vertAlign val="subscript"/>
        <sz val="11"/>
        <color rgb="FF000000"/>
        <rFont val="Arial"/>
      </rPr>
      <t>VSLstop_min</t>
    </r>
    <r>
      <rPr>
        <sz val="11"/>
        <color rgb="FF000000"/>
        <rFont val="Arial"/>
      </rPr>
      <t xml:space="preserve"> =</t>
    </r>
  </si>
  <si>
    <r>
      <rPr>
        <sz val="11"/>
        <color rgb="FF000000"/>
        <rFont val="Calibri"/>
      </rPr>
      <t>µ</t>
    </r>
    <r>
      <rPr>
        <sz val="11"/>
        <color rgb="FF000000"/>
        <rFont val="Arial"/>
      </rPr>
      <t>A</t>
    </r>
  </si>
  <si>
    <t>VS Line Sense Stop Current, Nominal</t>
  </si>
  <si>
    <r>
      <t>I</t>
    </r>
    <r>
      <rPr>
        <vertAlign val="subscript"/>
        <sz val="11"/>
        <color rgb="FF000000"/>
        <rFont val="Arial"/>
      </rPr>
      <t>VSLstop_nom</t>
    </r>
    <r>
      <rPr>
        <sz val="11"/>
        <color rgb="FF000000"/>
        <rFont val="Arial"/>
      </rPr>
      <t xml:space="preserve"> =</t>
    </r>
  </si>
  <si>
    <r>
      <rPr>
        <sz val="11"/>
        <color rgb="FF000000"/>
        <rFont val="Calibri"/>
      </rPr>
      <t>µ</t>
    </r>
    <r>
      <rPr>
        <sz val="11"/>
        <color rgb="FF000000"/>
        <rFont val="Arial"/>
      </rPr>
      <t>A</t>
    </r>
  </si>
  <si>
    <t>VS Line Sense Stop Current, Maximum</t>
  </si>
  <si>
    <r>
      <t>I</t>
    </r>
    <r>
      <rPr>
        <vertAlign val="subscript"/>
        <sz val="11"/>
        <color rgb="FF000000"/>
        <rFont val="Arial"/>
      </rPr>
      <t>VSLstop_max</t>
    </r>
    <r>
      <rPr>
        <sz val="11"/>
        <color rgb="FF000000"/>
        <rFont val="Arial"/>
      </rPr>
      <t xml:space="preserve"> =</t>
    </r>
  </si>
  <si>
    <r>
      <rPr>
        <sz val="11"/>
        <color rgb="FF000000"/>
        <rFont val="Calibri"/>
      </rPr>
      <t>µ</t>
    </r>
    <r>
      <rPr>
        <sz val="11"/>
        <color rgb="FF000000"/>
        <rFont val="Arial"/>
      </rPr>
      <t>A</t>
    </r>
  </si>
  <si>
    <r>
      <rPr>
        <b/>
        <sz val="11"/>
        <color rgb="FF000000"/>
        <rFont val="Arial"/>
      </rPr>
      <t>Recommended</t>
    </r>
    <r>
      <rPr>
        <sz val="11"/>
        <color rgb="FF000000"/>
        <rFont val="Arial"/>
      </rPr>
      <t xml:space="preserve"> Resistor Value for Minimum Start Up Line Voltage</t>
    </r>
  </si>
  <si>
    <r>
      <t>R</t>
    </r>
    <r>
      <rPr>
        <vertAlign val="subscript"/>
        <sz val="11"/>
        <color rgb="FF000000"/>
        <rFont val="Arial"/>
      </rPr>
      <t>VS1recommended</t>
    </r>
    <r>
      <rPr>
        <sz val="11"/>
        <color rgb="FF000000"/>
        <rFont val="Arial"/>
      </rPr>
      <t xml:space="preserve"> =</t>
    </r>
  </si>
  <si>
    <r>
      <t>k</t>
    </r>
    <r>
      <rPr>
        <sz val="11"/>
        <color rgb="FF000000"/>
        <rFont val="Calibri"/>
      </rPr>
      <t>Ω</t>
    </r>
  </si>
  <si>
    <r>
      <rPr>
        <b/>
        <sz val="11"/>
        <color rgb="FF000000"/>
        <rFont val="Arial"/>
      </rPr>
      <t>Actual</t>
    </r>
    <r>
      <rPr>
        <sz val="11"/>
        <color rgb="FF000000"/>
        <rFont val="Arial"/>
      </rPr>
      <t xml:space="preserve"> Resistor Value Used for Minimum Start Up Line Voltage</t>
    </r>
  </si>
  <si>
    <r>
      <t>R</t>
    </r>
    <r>
      <rPr>
        <vertAlign val="subscript"/>
        <sz val="11"/>
        <color rgb="FF000000"/>
        <rFont val="Arial"/>
      </rPr>
      <t>VS1actual</t>
    </r>
    <r>
      <rPr>
        <sz val="11"/>
        <color rgb="FF000000"/>
        <rFont val="Arial"/>
      </rPr>
      <t xml:space="preserve"> =</t>
    </r>
  </si>
  <si>
    <r>
      <t>k</t>
    </r>
    <r>
      <rPr>
        <sz val="11"/>
        <color rgb="FF000000"/>
        <rFont val="Calibri"/>
      </rPr>
      <t>Ω</t>
    </r>
  </si>
  <si>
    <r>
      <t>R</t>
    </r>
    <r>
      <rPr>
        <vertAlign val="subscript"/>
        <sz val="11"/>
        <color rgb="FF000000"/>
        <rFont val="Arial"/>
      </rPr>
      <t>VS1</t>
    </r>
    <r>
      <rPr>
        <sz val="11"/>
        <color rgb="FF000000"/>
        <rFont val="Arial"/>
      </rPr>
      <t xml:space="preserve"> Value Used in Calculations</t>
    </r>
  </si>
  <si>
    <r>
      <t>R</t>
    </r>
    <r>
      <rPr>
        <vertAlign val="subscript"/>
        <sz val="11"/>
        <color rgb="FF000000"/>
        <rFont val="Arial"/>
      </rPr>
      <t>VS1</t>
    </r>
    <r>
      <rPr>
        <sz val="11"/>
        <color rgb="FF000000"/>
        <rFont val="Arial"/>
      </rPr>
      <t xml:space="preserve"> =</t>
    </r>
  </si>
  <si>
    <r>
      <t>k</t>
    </r>
    <r>
      <rPr>
        <sz val="11"/>
        <color rgb="FF000000"/>
        <rFont val="Calibri"/>
      </rPr>
      <t>Ω</t>
    </r>
  </si>
  <si>
    <t xml:space="preserve">Resultant Turn On Voltage, Minimum </t>
  </si>
  <si>
    <r>
      <t>V</t>
    </r>
    <r>
      <rPr>
        <vertAlign val="subscript"/>
        <sz val="11"/>
        <color rgb="FF000000"/>
        <rFont val="Arial"/>
      </rPr>
      <t>TURNONmin</t>
    </r>
    <r>
      <rPr>
        <sz val="11"/>
        <color rgb="FF000000"/>
        <rFont val="Arial"/>
      </rPr>
      <t xml:space="preserve"> =</t>
    </r>
  </si>
  <si>
    <t xml:space="preserve">Resultant Turn On Voltage, Nominal </t>
  </si>
  <si>
    <r>
      <t>V</t>
    </r>
    <r>
      <rPr>
        <b/>
        <vertAlign val="subscript"/>
        <sz val="11"/>
        <color rgb="FF000000"/>
        <rFont val="Arial"/>
      </rPr>
      <t>TURNONnom</t>
    </r>
    <r>
      <rPr>
        <b/>
        <sz val="11"/>
        <color rgb="FF000000"/>
        <rFont val="Arial"/>
      </rPr>
      <t xml:space="preserve"> =</t>
    </r>
  </si>
  <si>
    <t xml:space="preserve">Resultant Turn On Voltage, Maximum </t>
  </si>
  <si>
    <r>
      <t>V</t>
    </r>
    <r>
      <rPr>
        <vertAlign val="subscript"/>
        <sz val="11"/>
        <color rgb="FF000000"/>
        <rFont val="Arial"/>
      </rPr>
      <t>TURNONmax</t>
    </r>
    <r>
      <rPr>
        <sz val="11"/>
        <color rgb="FF000000"/>
        <rFont val="Arial"/>
      </rPr>
      <t xml:space="preserve"> =</t>
    </r>
  </si>
  <si>
    <t>Input voltage type:</t>
  </si>
  <si>
    <t>Resultant Input Brown Out Voltage, Minimum</t>
  </si>
  <si>
    <r>
      <t>V</t>
    </r>
    <r>
      <rPr>
        <vertAlign val="subscript"/>
        <sz val="11"/>
        <color rgb="FF000000"/>
        <rFont val="Arial"/>
      </rPr>
      <t>BROWNOUTmin</t>
    </r>
    <r>
      <rPr>
        <sz val="11"/>
        <color rgb="FF000000"/>
        <rFont val="Arial"/>
      </rPr>
      <t xml:space="preserve"> =</t>
    </r>
  </si>
  <si>
    <r>
      <t>f</t>
    </r>
    <r>
      <rPr>
        <vertAlign val="subscript"/>
        <sz val="11"/>
        <color rgb="FF000000"/>
        <rFont val="Arial"/>
      </rPr>
      <t>SWmax</t>
    </r>
  </si>
  <si>
    <t>Resultant Input Brown Out Voltage, Nominal</t>
  </si>
  <si>
    <t>DC</t>
  </si>
  <si>
    <r>
      <t>f</t>
    </r>
    <r>
      <rPr>
        <vertAlign val="subscript"/>
        <sz val="11"/>
        <color rgb="FF000000"/>
        <rFont val="Arial"/>
      </rPr>
      <t>SWmin</t>
    </r>
  </si>
  <si>
    <r>
      <t>V</t>
    </r>
    <r>
      <rPr>
        <b/>
        <vertAlign val="subscript"/>
        <sz val="11"/>
        <color rgb="FF000000"/>
        <rFont val="Arial"/>
      </rPr>
      <t>BROWNOUTnom</t>
    </r>
    <r>
      <rPr>
        <b/>
        <sz val="11"/>
        <color rgb="FF000000"/>
        <rFont val="Arial"/>
      </rPr>
      <t xml:space="preserve"> =</t>
    </r>
  </si>
  <si>
    <t>mV factor</t>
  </si>
  <si>
    <t>uF factor</t>
  </si>
  <si>
    <t>Resultant Input Brown Out Voltage, Maximum</t>
  </si>
  <si>
    <r>
      <t>V</t>
    </r>
    <r>
      <rPr>
        <vertAlign val="subscript"/>
        <sz val="11"/>
        <color rgb="FF000000"/>
        <rFont val="Arial"/>
      </rPr>
      <t>BROWNOUTmax</t>
    </r>
    <r>
      <rPr>
        <sz val="11"/>
        <color rgb="FF000000"/>
        <rFont val="Arial"/>
      </rPr>
      <t xml:space="preserve"> =</t>
    </r>
  </si>
  <si>
    <t>kHz factor</t>
  </si>
  <si>
    <t>mΩ factor</t>
  </si>
  <si>
    <t>ms factor</t>
  </si>
  <si>
    <t>mA factor</t>
  </si>
  <si>
    <t>Internal VS Over Voltage Threshold, Minimum</t>
  </si>
  <si>
    <t>us factor</t>
  </si>
  <si>
    <r>
      <t>V</t>
    </r>
    <r>
      <rPr>
        <vertAlign val="subscript"/>
        <sz val="11"/>
        <color rgb="FF000000"/>
        <rFont val="Arial"/>
      </rPr>
      <t>OVPmin</t>
    </r>
    <r>
      <rPr>
        <sz val="11"/>
        <color rgb="FF000000"/>
        <rFont val="Arial"/>
      </rPr>
      <t xml:space="preserve"> =</t>
    </r>
  </si>
  <si>
    <t>Internal VS Over Voltage Threshold, Nominal</t>
  </si>
  <si>
    <r>
      <t>V</t>
    </r>
    <r>
      <rPr>
        <vertAlign val="subscript"/>
        <sz val="11"/>
        <color rgb="FF000000"/>
        <rFont val="Arial"/>
      </rPr>
      <t>OVPnom</t>
    </r>
    <r>
      <rPr>
        <sz val="11"/>
        <color rgb="FF000000"/>
        <rFont val="Arial"/>
      </rPr>
      <t xml:space="preserve"> =</t>
    </r>
  </si>
  <si>
    <t>uH factor</t>
  </si>
  <si>
    <t>Internal VS Over Voltage Threshold, Maximum</t>
  </si>
  <si>
    <r>
      <t>V</t>
    </r>
    <r>
      <rPr>
        <vertAlign val="subscript"/>
        <sz val="11"/>
        <color rgb="FF000000"/>
        <rFont val="Arial"/>
      </rPr>
      <t>OVPmax</t>
    </r>
    <r>
      <rPr>
        <sz val="11"/>
        <color rgb="FF000000"/>
        <rFont val="Arial"/>
      </rPr>
      <t xml:space="preserve"> =</t>
    </r>
  </si>
  <si>
    <t>ns factor</t>
  </si>
  <si>
    <r>
      <rPr>
        <b/>
        <sz val="11"/>
        <color rgb="FF000000"/>
        <rFont val="Arial"/>
      </rPr>
      <t>Recommended</t>
    </r>
    <r>
      <rPr>
        <sz val="11"/>
        <color rgb="FF000000"/>
        <rFont val="Arial"/>
      </rPr>
      <t xml:space="preserve"> Resistor Value for Desired Output Over Voltage Limit</t>
    </r>
  </si>
  <si>
    <r>
      <t>R</t>
    </r>
    <r>
      <rPr>
        <vertAlign val="subscript"/>
        <sz val="11"/>
        <color rgb="FF000000"/>
        <rFont val="Arial"/>
      </rPr>
      <t>VS2recommended</t>
    </r>
    <r>
      <rPr>
        <sz val="11"/>
        <color rgb="FF000000"/>
        <rFont val="Arial"/>
      </rPr>
      <t xml:space="preserve"> =</t>
    </r>
  </si>
  <si>
    <t>mW factor</t>
  </si>
  <si>
    <t>pF factor</t>
  </si>
  <si>
    <t>MHz factor</t>
  </si>
  <si>
    <t>uA factor</t>
  </si>
  <si>
    <r>
      <rPr>
        <b/>
        <sz val="11"/>
        <color rgb="FF000000"/>
        <rFont val="Arial"/>
      </rPr>
      <t xml:space="preserve">Actual </t>
    </r>
    <r>
      <rPr>
        <sz val="11"/>
        <color rgb="FF000000"/>
        <rFont val="Arial"/>
      </rPr>
      <t>Resistor Value Used for Desired Output Over Voltage Limit</t>
    </r>
  </si>
  <si>
    <r>
      <t>R</t>
    </r>
    <r>
      <rPr>
        <vertAlign val="subscript"/>
        <sz val="11"/>
        <color rgb="FF000000"/>
        <rFont val="Arial"/>
      </rPr>
      <t>VS2actual</t>
    </r>
    <r>
      <rPr>
        <sz val="11"/>
        <color rgb="FF000000"/>
        <rFont val="Arial"/>
      </rPr>
      <t xml:space="preserve"> =</t>
    </r>
  </si>
  <si>
    <r>
      <t>k</t>
    </r>
    <r>
      <rPr>
        <sz val="11"/>
        <color rgb="FF000000"/>
        <rFont val="Calibri"/>
      </rPr>
      <t>Ω</t>
    </r>
    <r>
      <rPr>
        <sz val="11"/>
        <color rgb="FF000000"/>
        <rFont val="Arial"/>
      </rPr>
      <t xml:space="preserve"> factor</t>
    </r>
  </si>
  <si>
    <t>nC factor</t>
  </si>
  <si>
    <t>nF factor</t>
  </si>
  <si>
    <t>uC factor</t>
  </si>
  <si>
    <r>
      <t>C</t>
    </r>
    <r>
      <rPr>
        <vertAlign val="subscript"/>
        <sz val="11"/>
        <color rgb="FF000000"/>
        <rFont val="Arial"/>
      </rPr>
      <t>IN</t>
    </r>
    <r>
      <rPr>
        <sz val="11"/>
        <color rgb="FF000000"/>
        <rFont val="Arial"/>
      </rPr>
      <t xml:space="preserve"> Calculations:</t>
    </r>
  </si>
  <si>
    <r>
      <t>R</t>
    </r>
    <r>
      <rPr>
        <vertAlign val="subscript"/>
        <sz val="11"/>
        <color rgb="FF000000"/>
        <rFont val="Arial"/>
      </rPr>
      <t>VS2</t>
    </r>
    <r>
      <rPr>
        <sz val="11"/>
        <color rgb="FF000000"/>
        <rFont val="Arial"/>
      </rPr>
      <t xml:space="preserve"> Used in Calculations</t>
    </r>
  </si>
  <si>
    <r>
      <t>R</t>
    </r>
    <r>
      <rPr>
        <vertAlign val="subscript"/>
        <sz val="11"/>
        <color rgb="FF000000"/>
        <rFont val="Arial"/>
      </rPr>
      <t>VS2</t>
    </r>
    <r>
      <rPr>
        <sz val="11"/>
        <color rgb="FF000000"/>
        <rFont val="Arial"/>
      </rPr>
      <t xml:space="preserve"> =</t>
    </r>
  </si>
  <si>
    <r>
      <t>C</t>
    </r>
    <r>
      <rPr>
        <vertAlign val="subscript"/>
        <sz val="11"/>
        <color rgb="FF000000"/>
        <rFont val="Arial"/>
      </rPr>
      <t>VDD</t>
    </r>
    <r>
      <rPr>
        <sz val="11"/>
        <color rgb="FF000000"/>
        <rFont val="Arial"/>
      </rPr>
      <t xml:space="preserve"> Calculations:</t>
    </r>
  </si>
  <si>
    <t>Resultant Output Over Voltage Threshold, Minimum</t>
  </si>
  <si>
    <r>
      <t>V</t>
    </r>
    <r>
      <rPr>
        <vertAlign val="subscript"/>
        <sz val="11"/>
        <color rgb="FF000000"/>
        <rFont val="Arial"/>
      </rPr>
      <t>OUT_OVPmin</t>
    </r>
    <r>
      <rPr>
        <sz val="11"/>
        <color rgb="FF000000"/>
        <rFont val="Arial"/>
      </rPr>
      <t xml:space="preserve"> =</t>
    </r>
  </si>
  <si>
    <r>
      <t>C</t>
    </r>
    <r>
      <rPr>
        <vertAlign val="subscript"/>
        <sz val="11"/>
        <color rgb="FF000000"/>
        <rFont val="Arial"/>
      </rPr>
      <t>OUT</t>
    </r>
    <r>
      <rPr>
        <sz val="11"/>
        <color rgb="FF000000"/>
        <rFont val="Arial"/>
      </rPr>
      <t xml:space="preserve"> Calculations:</t>
    </r>
  </si>
  <si>
    <t>Loop Compensation Calculations:</t>
  </si>
  <si>
    <t>Standard E48 Resistor Values</t>
  </si>
  <si>
    <t>Resultant Output Over Voltage Threshold, Nominal</t>
  </si>
  <si>
    <r>
      <t>V</t>
    </r>
    <r>
      <rPr>
        <b/>
        <vertAlign val="subscript"/>
        <sz val="11"/>
        <color rgb="FF000000"/>
        <rFont val="Arial"/>
      </rPr>
      <t>OUT_OVPnom</t>
    </r>
    <r>
      <rPr>
        <b/>
        <sz val="11"/>
        <color rgb="FF000000"/>
        <rFont val="Arial"/>
      </rPr>
      <t xml:space="preserve"> =</t>
    </r>
  </si>
  <si>
    <t>Standard Capacitor Values</t>
  </si>
  <si>
    <r>
      <t>C</t>
    </r>
    <r>
      <rPr>
        <vertAlign val="subscript"/>
        <sz val="11"/>
        <color rgb="FF000000"/>
        <rFont val="Arial"/>
      </rPr>
      <t>IN</t>
    </r>
    <r>
      <rPr>
        <sz val="11"/>
        <color rgb="FF000000"/>
        <rFont val="Arial"/>
      </rPr>
      <t xml:space="preserve"> Recommended:</t>
    </r>
  </si>
  <si>
    <t xml:space="preserve">Actual Output Over Voltage </t>
  </si>
  <si>
    <t>for desired bulk valley voltage</t>
  </si>
  <si>
    <t>Resultant Output Over Voltage Threshold, Maximum</t>
  </si>
  <si>
    <r>
      <t>C</t>
    </r>
    <r>
      <rPr>
        <vertAlign val="subscript"/>
        <sz val="11"/>
        <color rgb="FF000000"/>
        <rFont val="Arial"/>
      </rPr>
      <t>VDD1</t>
    </r>
    <r>
      <rPr>
        <sz val="11"/>
        <color rgb="FF000000"/>
        <rFont val="Arial"/>
      </rPr>
      <t>:</t>
    </r>
  </si>
  <si>
    <r>
      <t>V</t>
    </r>
    <r>
      <rPr>
        <vertAlign val="subscript"/>
        <sz val="11"/>
        <color rgb="FF000000"/>
        <rFont val="Arial"/>
      </rPr>
      <t>OUT_OVPmax</t>
    </r>
    <r>
      <rPr>
        <sz val="11"/>
        <color rgb="FF000000"/>
        <rFont val="Arial"/>
      </rPr>
      <t xml:space="preserve"> =</t>
    </r>
  </si>
  <si>
    <r>
      <t>C</t>
    </r>
    <r>
      <rPr>
        <vertAlign val="subscript"/>
        <sz val="11"/>
        <color rgb="FF000000"/>
        <rFont val="Arial"/>
      </rPr>
      <t>OUT</t>
    </r>
    <r>
      <rPr>
        <sz val="11"/>
        <color rgb="FF000000"/>
        <rFont val="Arial"/>
      </rPr>
      <t>:</t>
    </r>
  </si>
  <si>
    <r>
      <t>C</t>
    </r>
    <r>
      <rPr>
        <vertAlign val="subscript"/>
        <sz val="11"/>
        <color rgb="FF000000"/>
        <rFont val="Arial"/>
      </rPr>
      <t>FB</t>
    </r>
    <r>
      <rPr>
        <sz val="11"/>
        <color rgb="FF000000"/>
        <rFont val="Arial"/>
      </rPr>
      <t>:</t>
    </r>
  </si>
  <si>
    <r>
      <t>LINE COMPENSATION, R</t>
    </r>
    <r>
      <rPr>
        <b/>
        <i/>
        <vertAlign val="subscript"/>
        <sz val="12"/>
        <color rgb="FFFFFFFF"/>
        <rFont val="Arial"/>
      </rPr>
      <t>LC</t>
    </r>
  </si>
  <si>
    <t>C values up to 10nF</t>
  </si>
  <si>
    <t>Line Compensation Current Ratio, Nominal</t>
  </si>
  <si>
    <r>
      <t>K</t>
    </r>
    <r>
      <rPr>
        <vertAlign val="subscript"/>
        <sz val="11"/>
        <color rgb="FF000000"/>
        <rFont val="Arial"/>
      </rPr>
      <t>LCnom</t>
    </r>
    <r>
      <rPr>
        <sz val="11"/>
        <color rgb="FF000000"/>
        <rFont val="Arial"/>
      </rPr>
      <t xml:space="preserve"> =</t>
    </r>
  </si>
  <si>
    <t>A/A</t>
  </si>
  <si>
    <t>Total Estimated Current Sense Delay</t>
  </si>
  <si>
    <r>
      <t>t</t>
    </r>
    <r>
      <rPr>
        <vertAlign val="subscript"/>
        <sz val="11"/>
        <color rgb="FF000000"/>
        <rFont val="Arial"/>
      </rPr>
      <t>DELAY</t>
    </r>
    <r>
      <rPr>
        <sz val="11"/>
        <color rgb="FF000000"/>
        <rFont val="Arial"/>
      </rPr>
      <t xml:space="preserve"> =</t>
    </r>
  </si>
  <si>
    <r>
      <rPr>
        <b/>
        <sz val="11"/>
        <rFont val="Arial"/>
      </rPr>
      <t>Recommended</t>
    </r>
    <r>
      <rPr>
        <sz val="11"/>
        <rFont val="Arial"/>
      </rPr>
      <t xml:space="preserve"> Resistor Value for Line Compensation</t>
    </r>
  </si>
  <si>
    <r>
      <t>R</t>
    </r>
    <r>
      <rPr>
        <vertAlign val="subscript"/>
        <sz val="11"/>
        <color rgb="FF000000"/>
        <rFont val="Arial"/>
      </rPr>
      <t>LCrecommended</t>
    </r>
    <r>
      <rPr>
        <sz val="11"/>
        <color rgb="FF000000"/>
        <rFont val="Arial"/>
      </rPr>
      <t xml:space="preserve"> =</t>
    </r>
  </si>
  <si>
    <r>
      <t>k</t>
    </r>
    <r>
      <rPr>
        <sz val="11"/>
        <color rgb="FF000000"/>
        <rFont val="Calibri"/>
      </rPr>
      <t>Ω</t>
    </r>
  </si>
  <si>
    <r>
      <rPr>
        <b/>
        <sz val="11"/>
        <rFont val="Arial"/>
      </rPr>
      <t>Actual</t>
    </r>
    <r>
      <rPr>
        <sz val="11"/>
        <rFont val="Arial"/>
      </rPr>
      <t xml:space="preserve"> Resistor Value Used for Line Compensation</t>
    </r>
  </si>
  <si>
    <r>
      <t>R</t>
    </r>
    <r>
      <rPr>
        <vertAlign val="subscript"/>
        <sz val="11"/>
        <color rgb="FF000000"/>
        <rFont val="Arial"/>
      </rPr>
      <t>LCactual</t>
    </r>
    <r>
      <rPr>
        <sz val="11"/>
        <color rgb="FF000000"/>
        <rFont val="Arial"/>
      </rPr>
      <t xml:space="preserve"> =</t>
    </r>
  </si>
  <si>
    <r>
      <t>R</t>
    </r>
    <r>
      <rPr>
        <vertAlign val="subscript"/>
        <sz val="11"/>
        <rFont val="Arial"/>
      </rPr>
      <t>LC</t>
    </r>
    <r>
      <rPr>
        <sz val="11"/>
        <rFont val="Arial"/>
      </rPr>
      <t xml:space="preserve"> Used in Calculations</t>
    </r>
  </si>
  <si>
    <r>
      <t>R</t>
    </r>
    <r>
      <rPr>
        <vertAlign val="subscript"/>
        <sz val="11"/>
        <color rgb="FF000000"/>
        <rFont val="Arial"/>
      </rPr>
      <t>LC</t>
    </r>
    <r>
      <rPr>
        <sz val="11"/>
        <color rgb="FF000000"/>
        <rFont val="Arial"/>
      </rPr>
      <t xml:space="preserve"> =</t>
    </r>
  </si>
  <si>
    <r>
      <t>Result of R</t>
    </r>
    <r>
      <rPr>
        <b/>
        <vertAlign val="subscript"/>
        <sz val="11"/>
        <rFont val="Arial"/>
      </rPr>
      <t>LC</t>
    </r>
    <r>
      <rPr>
        <b/>
        <sz val="11"/>
        <rFont val="Arial"/>
      </rPr>
      <t xml:space="preserve"> selection</t>
    </r>
  </si>
  <si>
    <r>
      <t>VDD CAPACITOR, C</t>
    </r>
    <r>
      <rPr>
        <b/>
        <i/>
        <vertAlign val="subscript"/>
        <sz val="12"/>
        <color rgb="FFFFFFFF"/>
        <rFont val="Arial"/>
      </rPr>
      <t>VDD</t>
    </r>
  </si>
  <si>
    <t>Device Supply Current During Run Mode, Maximum</t>
  </si>
  <si>
    <r>
      <t>I</t>
    </r>
    <r>
      <rPr>
        <vertAlign val="subscript"/>
        <sz val="11"/>
        <color rgb="FF000000"/>
        <rFont val="Arial"/>
      </rPr>
      <t>RUNmax</t>
    </r>
    <r>
      <rPr>
        <sz val="11"/>
        <color rgb="FF000000"/>
        <rFont val="Arial"/>
      </rPr>
      <t xml:space="preserve"> =</t>
    </r>
  </si>
  <si>
    <r>
      <t>VDD</t>
    </r>
    <r>
      <rPr>
        <vertAlign val="subscript"/>
        <sz val="11"/>
        <color rgb="FF000000"/>
        <rFont val="Arial"/>
      </rPr>
      <t>ON</t>
    </r>
    <r>
      <rPr>
        <sz val="11"/>
        <color rgb="FF000000"/>
        <rFont val="Arial"/>
      </rPr>
      <t xml:space="preserve"> Voltage, Maximum</t>
    </r>
  </si>
  <si>
    <r>
      <t>VDD</t>
    </r>
    <r>
      <rPr>
        <vertAlign val="subscript"/>
        <sz val="11"/>
        <color rgb="FF000000"/>
        <rFont val="Arial"/>
      </rPr>
      <t>ONmax</t>
    </r>
    <r>
      <rPr>
        <sz val="11"/>
        <color rgb="FF000000"/>
        <rFont val="Arial"/>
      </rPr>
      <t xml:space="preserve"> =</t>
    </r>
  </si>
  <si>
    <r>
      <t>VDD</t>
    </r>
    <r>
      <rPr>
        <vertAlign val="subscript"/>
        <sz val="11"/>
        <color rgb="FF000000"/>
        <rFont val="Arial"/>
      </rPr>
      <t>OFF</t>
    </r>
    <r>
      <rPr>
        <sz val="11"/>
        <color rgb="FF000000"/>
        <rFont val="Arial"/>
      </rPr>
      <t xml:space="preserve"> Voltage, Maximum</t>
    </r>
  </si>
  <si>
    <r>
      <t>VDD</t>
    </r>
    <r>
      <rPr>
        <vertAlign val="subscript"/>
        <sz val="11"/>
        <color rgb="FF000000"/>
        <rFont val="Arial"/>
      </rPr>
      <t>OFFmax</t>
    </r>
    <r>
      <rPr>
        <sz val="11"/>
        <color rgb="FF000000"/>
        <rFont val="Arial"/>
      </rPr>
      <t xml:space="preserve"> =</t>
    </r>
  </si>
  <si>
    <t>Estimated Minimum Switching Frequency at No-Load</t>
  </si>
  <si>
    <r>
      <t>f</t>
    </r>
    <r>
      <rPr>
        <vertAlign val="subscript"/>
        <sz val="11"/>
        <color rgb="FF000000"/>
        <rFont val="Arial"/>
      </rPr>
      <t>SWmin</t>
    </r>
    <r>
      <rPr>
        <sz val="11"/>
        <color rgb="FF000000"/>
        <rFont val="Arial"/>
      </rPr>
      <t xml:space="preserve"> =</t>
    </r>
  </si>
  <si>
    <r>
      <t>C</t>
    </r>
    <r>
      <rPr>
        <vertAlign val="subscript"/>
        <sz val="11"/>
        <color rgb="FF000000"/>
        <rFont val="Arial"/>
      </rPr>
      <t>VDD2</t>
    </r>
    <r>
      <rPr>
        <sz val="11"/>
        <color rgb="FF000000"/>
        <rFont val="Arial"/>
      </rPr>
      <t>:</t>
    </r>
  </si>
  <si>
    <t>Estimated Over Voltage Charge Duration</t>
  </si>
  <si>
    <r>
      <t>t</t>
    </r>
    <r>
      <rPr>
        <vertAlign val="subscript"/>
        <sz val="11"/>
        <color rgb="FF000000"/>
        <rFont val="Arial"/>
      </rPr>
      <t>OV</t>
    </r>
    <r>
      <rPr>
        <sz val="11"/>
        <color rgb="FF000000"/>
        <rFont val="Arial"/>
      </rPr>
      <t xml:space="preserve"> =</t>
    </r>
  </si>
  <si>
    <t>Minimum VDD Capacitor for Start UP</t>
  </si>
  <si>
    <t>Resultant Minimum Bulk Voltage Calculations:</t>
  </si>
  <si>
    <r>
      <t>C</t>
    </r>
    <r>
      <rPr>
        <vertAlign val="subscript"/>
        <sz val="11"/>
        <color rgb="FF000000"/>
        <rFont val="Arial"/>
      </rPr>
      <t>VDD1</t>
    </r>
    <r>
      <rPr>
        <sz val="11"/>
        <color rgb="FF000000"/>
        <rFont val="Arial"/>
      </rPr>
      <t xml:space="preserve"> =</t>
    </r>
  </si>
  <si>
    <r>
      <rPr>
        <sz val="11"/>
        <color rgb="FF000000"/>
        <rFont val="Calibri"/>
      </rPr>
      <t>µ</t>
    </r>
    <r>
      <rPr>
        <sz val="11"/>
        <color rgb="FF000000"/>
        <rFont val="Arial"/>
      </rPr>
      <t>F</t>
    </r>
  </si>
  <si>
    <t>Minimum VDD Capacitor for Load Transient</t>
  </si>
  <si>
    <r>
      <t>C</t>
    </r>
    <r>
      <rPr>
        <vertAlign val="subscript"/>
        <sz val="11"/>
        <color rgb="FF000000"/>
        <rFont val="Arial"/>
      </rPr>
      <t>VDD2</t>
    </r>
    <r>
      <rPr>
        <sz val="11"/>
        <color rgb="FF000000"/>
        <rFont val="Arial"/>
      </rPr>
      <t xml:space="preserve"> =</t>
    </r>
  </si>
  <si>
    <t>Initial Calculations:</t>
  </si>
  <si>
    <r>
      <rPr>
        <sz val="11"/>
        <color rgb="FF000000"/>
        <rFont val="Calibri"/>
      </rPr>
      <t>µ</t>
    </r>
    <r>
      <rPr>
        <sz val="11"/>
        <color rgb="FF000000"/>
        <rFont val="Arial"/>
      </rPr>
      <t>F</t>
    </r>
  </si>
  <si>
    <t>Minimum VDD Capacitor for Target Ripple on VDD</t>
  </si>
  <si>
    <r>
      <t>C</t>
    </r>
    <r>
      <rPr>
        <vertAlign val="subscript"/>
        <sz val="11"/>
        <color rgb="FF000000"/>
        <rFont val="Arial"/>
      </rPr>
      <t>VDD3</t>
    </r>
    <r>
      <rPr>
        <sz val="11"/>
        <color rgb="FF000000"/>
        <rFont val="Arial"/>
      </rPr>
      <t xml:space="preserve"> =</t>
    </r>
  </si>
  <si>
    <r>
      <rPr>
        <sz val="11"/>
        <color rgb="FF000000"/>
        <rFont val="Calibri"/>
      </rPr>
      <t>µ</t>
    </r>
    <r>
      <rPr>
        <sz val="11"/>
        <color rgb="FF000000"/>
        <rFont val="Arial"/>
      </rPr>
      <t>F</t>
    </r>
  </si>
  <si>
    <r>
      <rPr>
        <b/>
        <sz val="11"/>
        <color rgb="FF000000"/>
        <rFont val="Arial"/>
      </rPr>
      <t xml:space="preserve">Recommended </t>
    </r>
    <r>
      <rPr>
        <sz val="11"/>
        <color rgb="FF000000"/>
        <rFont val="Arial"/>
      </rPr>
      <t>Capacitor on VDD</t>
    </r>
  </si>
  <si>
    <r>
      <t>C</t>
    </r>
    <r>
      <rPr>
        <vertAlign val="subscript"/>
        <sz val="11"/>
        <color rgb="FF000000"/>
        <rFont val="Arial"/>
      </rPr>
      <t>VDDrecommended</t>
    </r>
    <r>
      <rPr>
        <sz val="11"/>
        <color rgb="FF000000"/>
        <rFont val="Arial"/>
      </rPr>
      <t xml:space="preserve"> =</t>
    </r>
  </si>
  <si>
    <r>
      <rPr>
        <sz val="11"/>
        <color rgb="FF000000"/>
        <rFont val="Calibri"/>
      </rPr>
      <t>µ</t>
    </r>
    <r>
      <rPr>
        <sz val="11"/>
        <color rgb="FF000000"/>
        <rFont val="Arial"/>
      </rPr>
      <t>F</t>
    </r>
  </si>
  <si>
    <r>
      <t>t</t>
    </r>
    <r>
      <rPr>
        <vertAlign val="subscript"/>
        <sz val="11"/>
        <color rgb="FF000000"/>
        <rFont val="Arial"/>
      </rPr>
      <t>1</t>
    </r>
  </si>
  <si>
    <t>OPTO-COUPLED FEEDBACK</t>
  </si>
  <si>
    <t>s</t>
  </si>
  <si>
    <t>Reference Voltage of TL431 Shunt Regulator</t>
  </si>
  <si>
    <r>
      <t>VREF</t>
    </r>
    <r>
      <rPr>
        <vertAlign val="subscript"/>
        <sz val="11"/>
        <color rgb="FF000000"/>
        <rFont val="Arial"/>
      </rPr>
      <t>431</t>
    </r>
    <r>
      <rPr>
        <sz val="11"/>
        <color rgb="FF000000"/>
        <rFont val="Arial"/>
      </rPr>
      <t xml:space="preserve"> =</t>
    </r>
  </si>
  <si>
    <t>Shunt Regulator Reference Input Current, Maximum</t>
  </si>
  <si>
    <r>
      <t>I</t>
    </r>
    <r>
      <rPr>
        <vertAlign val="subscript"/>
        <sz val="11"/>
        <color rgb="FF000000"/>
        <rFont val="Arial"/>
      </rPr>
      <t>REF431</t>
    </r>
    <r>
      <rPr>
        <sz val="11"/>
        <color rgb="FF000000"/>
        <rFont val="Arial"/>
      </rPr>
      <t xml:space="preserve"> =</t>
    </r>
  </si>
  <si>
    <r>
      <t>t</t>
    </r>
    <r>
      <rPr>
        <vertAlign val="subscript"/>
        <sz val="11"/>
        <color rgb="FF000000"/>
        <rFont val="Arial"/>
      </rPr>
      <t>2</t>
    </r>
  </si>
  <si>
    <r>
      <rPr>
        <sz val="11"/>
        <color rgb="FF000000"/>
        <rFont val="Calibri"/>
      </rPr>
      <t>µ</t>
    </r>
    <r>
      <rPr>
        <sz val="11"/>
        <color rgb="FF000000"/>
        <rFont val="Arial"/>
      </rPr>
      <t>A</t>
    </r>
  </si>
  <si>
    <r>
      <t>C</t>
    </r>
    <r>
      <rPr>
        <vertAlign val="subscript"/>
        <sz val="11"/>
        <color rgb="FF000000"/>
        <rFont val="Arial"/>
      </rPr>
      <t>VDD3</t>
    </r>
    <r>
      <rPr>
        <sz val="11"/>
        <color rgb="FF000000"/>
        <rFont val="Arial"/>
      </rPr>
      <t>:</t>
    </r>
  </si>
  <si>
    <r>
      <rPr>
        <b/>
        <sz val="11"/>
        <rFont val="Arial"/>
      </rPr>
      <t>Recommended</t>
    </r>
    <r>
      <rPr>
        <sz val="11"/>
        <rFont val="Arial"/>
      </rPr>
      <t xml:space="preserve"> Bottom Resistor Value for Output Voltage Set Point</t>
    </r>
  </si>
  <si>
    <r>
      <t>R</t>
    </r>
    <r>
      <rPr>
        <vertAlign val="subscript"/>
        <sz val="11"/>
        <color rgb="FF000000"/>
        <rFont val="Arial"/>
      </rPr>
      <t>FB2recommended</t>
    </r>
    <r>
      <rPr>
        <sz val="11"/>
        <color rgb="FF000000"/>
        <rFont val="Arial"/>
      </rPr>
      <t xml:space="preserve"> =</t>
    </r>
  </si>
  <si>
    <r>
      <t>t</t>
    </r>
    <r>
      <rPr>
        <vertAlign val="subscript"/>
        <sz val="11"/>
        <color rgb="FF000000"/>
        <rFont val="Arial"/>
      </rPr>
      <t>discharge</t>
    </r>
  </si>
  <si>
    <r>
      <t>k</t>
    </r>
    <r>
      <rPr>
        <sz val="11"/>
        <color rgb="FF000000"/>
        <rFont val="Calibri"/>
      </rPr>
      <t>Ω</t>
    </r>
  </si>
  <si>
    <r>
      <t>Actual</t>
    </r>
    <r>
      <rPr>
        <sz val="11"/>
        <rFont val="Arial"/>
      </rPr>
      <t xml:space="preserve"> Bottom Resistor Value Used for Output Voltage Set Point</t>
    </r>
  </si>
  <si>
    <r>
      <t>t</t>
    </r>
    <r>
      <rPr>
        <vertAlign val="subscript"/>
        <sz val="11"/>
        <color rgb="FF000000"/>
        <rFont val="Arial"/>
      </rPr>
      <t>charge</t>
    </r>
  </si>
  <si>
    <r>
      <t>R</t>
    </r>
    <r>
      <rPr>
        <vertAlign val="subscript"/>
        <sz val="11"/>
        <color rgb="FF000000"/>
        <rFont val="Arial"/>
      </rPr>
      <t>FB2actual</t>
    </r>
    <r>
      <rPr>
        <sz val="11"/>
        <color rgb="FF000000"/>
        <rFont val="Arial"/>
      </rPr>
      <t xml:space="preserve"> =</t>
    </r>
  </si>
  <si>
    <r>
      <t>V</t>
    </r>
    <r>
      <rPr>
        <vertAlign val="subscript"/>
        <sz val="11"/>
        <color rgb="FF000000"/>
        <rFont val="Arial"/>
      </rPr>
      <t>BULKvalley_1</t>
    </r>
  </si>
  <si>
    <r>
      <rPr>
        <sz val="11"/>
        <rFont val="Arial"/>
      </rPr>
      <t>R</t>
    </r>
    <r>
      <rPr>
        <vertAlign val="subscript"/>
        <sz val="11"/>
        <rFont val="Arial"/>
      </rPr>
      <t>FB2</t>
    </r>
    <r>
      <rPr>
        <sz val="11"/>
        <rFont val="Arial"/>
      </rPr>
      <t xml:space="preserve"> Used in Calculations</t>
    </r>
  </si>
  <si>
    <r>
      <t>R</t>
    </r>
    <r>
      <rPr>
        <vertAlign val="subscript"/>
        <sz val="11"/>
        <color rgb="FF000000"/>
        <rFont val="Arial"/>
      </rPr>
      <t>FB2</t>
    </r>
    <r>
      <rPr>
        <sz val="11"/>
        <color rgb="FF000000"/>
        <rFont val="Arial"/>
      </rPr>
      <t xml:space="preserve"> =</t>
    </r>
  </si>
  <si>
    <r>
      <rPr>
        <b/>
        <sz val="11"/>
        <rFont val="Arial"/>
      </rPr>
      <t>Recommended</t>
    </r>
    <r>
      <rPr>
        <sz val="11"/>
        <rFont val="Arial"/>
      </rPr>
      <t xml:space="preserve"> Top Resistor Value for Output Voltage Set Point</t>
    </r>
  </si>
  <si>
    <r>
      <t>R</t>
    </r>
    <r>
      <rPr>
        <vertAlign val="subscript"/>
        <sz val="11"/>
        <color rgb="FF000000"/>
        <rFont val="Arial"/>
      </rPr>
      <t>FB1recommended</t>
    </r>
    <r>
      <rPr>
        <sz val="11"/>
        <color rgb="FF000000"/>
        <rFont val="Arial"/>
      </rPr>
      <t xml:space="preserve"> =</t>
    </r>
  </si>
  <si>
    <t>First Iteration:</t>
  </si>
  <si>
    <r>
      <rPr>
        <b/>
        <sz val="11"/>
        <rFont val="Arial"/>
      </rPr>
      <t>Actual</t>
    </r>
    <r>
      <rPr>
        <sz val="11"/>
        <rFont val="Arial"/>
      </rPr>
      <t xml:space="preserve"> Top Resistor Value Used for Output Voltage Set Point</t>
    </r>
  </si>
  <si>
    <r>
      <t>t</t>
    </r>
    <r>
      <rPr>
        <vertAlign val="subscript"/>
        <sz val="11"/>
        <color rgb="FF000000"/>
        <rFont val="Arial"/>
      </rPr>
      <t>1_1</t>
    </r>
  </si>
  <si>
    <r>
      <t>R</t>
    </r>
    <r>
      <rPr>
        <vertAlign val="subscript"/>
        <sz val="11"/>
        <color rgb="FF000000"/>
        <rFont val="Arial"/>
      </rPr>
      <t>FB1actual</t>
    </r>
    <r>
      <rPr>
        <sz val="11"/>
        <color rgb="FF000000"/>
        <rFont val="Arial"/>
      </rPr>
      <t xml:space="preserve"> =</t>
    </r>
  </si>
  <si>
    <t>C values greater than 10nF</t>
  </si>
  <si>
    <r>
      <t>t</t>
    </r>
    <r>
      <rPr>
        <vertAlign val="subscript"/>
        <sz val="11"/>
        <color rgb="FF000000"/>
        <rFont val="Arial"/>
      </rPr>
      <t>2_1</t>
    </r>
  </si>
  <si>
    <r>
      <t>R</t>
    </r>
    <r>
      <rPr>
        <vertAlign val="subscript"/>
        <sz val="11"/>
        <rFont val="Arial"/>
      </rPr>
      <t>FB1</t>
    </r>
    <r>
      <rPr>
        <sz val="11"/>
        <rFont val="Arial"/>
      </rPr>
      <t xml:space="preserve"> Used in Calculations</t>
    </r>
  </si>
  <si>
    <r>
      <t>R</t>
    </r>
    <r>
      <rPr>
        <vertAlign val="subscript"/>
        <sz val="11"/>
        <color rgb="FF000000"/>
        <rFont val="Arial"/>
      </rPr>
      <t>FB1</t>
    </r>
    <r>
      <rPr>
        <sz val="11"/>
        <color rgb="FF000000"/>
        <rFont val="Arial"/>
      </rPr>
      <t xml:space="preserve"> =</t>
    </r>
  </si>
  <si>
    <r>
      <t>t</t>
    </r>
    <r>
      <rPr>
        <vertAlign val="subscript"/>
        <sz val="11"/>
        <color rgb="FF000000"/>
        <rFont val="Arial"/>
      </rPr>
      <t>discharge_1</t>
    </r>
  </si>
  <si>
    <t>Noise Injection Resistor For Loop Analysis</t>
  </si>
  <si>
    <r>
      <t>R</t>
    </r>
    <r>
      <rPr>
        <vertAlign val="subscript"/>
        <sz val="11"/>
        <color rgb="FF000000"/>
        <rFont val="Arial"/>
      </rPr>
      <t>INJ</t>
    </r>
    <r>
      <rPr>
        <sz val="11"/>
        <color rgb="FF000000"/>
        <rFont val="Arial"/>
      </rPr>
      <t xml:space="preserve"> =</t>
    </r>
  </si>
  <si>
    <r>
      <t>t</t>
    </r>
    <r>
      <rPr>
        <vertAlign val="subscript"/>
        <sz val="11"/>
        <color rgb="FF000000"/>
        <rFont val="Arial"/>
      </rPr>
      <t>charge_1</t>
    </r>
  </si>
  <si>
    <t>Ω</t>
  </si>
  <si>
    <t>May be changed by User here</t>
  </si>
  <si>
    <r>
      <t>V</t>
    </r>
    <r>
      <rPr>
        <vertAlign val="subscript"/>
        <sz val="11"/>
        <color rgb="FF000000"/>
        <rFont val="Arial"/>
      </rPr>
      <t>BULKvalley_2</t>
    </r>
  </si>
  <si>
    <t>Resultant Nominal Constant Voltage Output Voltage</t>
  </si>
  <si>
    <r>
      <t>V</t>
    </r>
    <r>
      <rPr>
        <b/>
        <vertAlign val="subscript"/>
        <sz val="11"/>
        <color rgb="FF000000"/>
        <rFont val="Arial"/>
      </rPr>
      <t>OUT_CV</t>
    </r>
    <r>
      <rPr>
        <b/>
        <sz val="11"/>
        <color rgb="FF000000"/>
        <rFont val="Arial"/>
      </rPr>
      <t xml:space="preserve"> =</t>
    </r>
  </si>
  <si>
    <t>Second Iteration:</t>
  </si>
  <si>
    <t>Minimum Current Transfer  Ratio of Selected Opto-Coupler</t>
  </si>
  <si>
    <r>
      <t>t</t>
    </r>
    <r>
      <rPr>
        <vertAlign val="subscript"/>
        <sz val="11"/>
        <color rgb="FF000000"/>
        <rFont val="Arial"/>
      </rPr>
      <t>1_2</t>
    </r>
  </si>
  <si>
    <r>
      <t>CTR</t>
    </r>
    <r>
      <rPr>
        <vertAlign val="subscript"/>
        <sz val="11"/>
        <color rgb="FF000000"/>
        <rFont val="Arial"/>
      </rPr>
      <t>min</t>
    </r>
    <r>
      <rPr>
        <sz val="11"/>
        <color rgb="FF000000"/>
        <rFont val="Arial"/>
      </rPr>
      <t xml:space="preserve"> =</t>
    </r>
  </si>
  <si>
    <r>
      <t>t</t>
    </r>
    <r>
      <rPr>
        <vertAlign val="subscript"/>
        <sz val="11"/>
        <color rgb="FF000000"/>
        <rFont val="Arial"/>
      </rPr>
      <t>2_2</t>
    </r>
  </si>
  <si>
    <t>Response Fall Time of Opto-Coupler</t>
  </si>
  <si>
    <r>
      <t>t</t>
    </r>
    <r>
      <rPr>
        <vertAlign val="subscript"/>
        <sz val="11"/>
        <rFont val="Arial"/>
      </rPr>
      <t>f_opto</t>
    </r>
    <r>
      <rPr>
        <sz val="11"/>
        <rFont val="Arial"/>
      </rPr>
      <t xml:space="preserve"> =</t>
    </r>
  </si>
  <si>
    <r>
      <rPr>
        <sz val="11"/>
        <color rgb="FF000000"/>
        <rFont val="Calibri"/>
      </rPr>
      <t>µ</t>
    </r>
    <r>
      <rPr>
        <sz val="11"/>
        <color rgb="FF000000"/>
        <rFont val="Arial"/>
      </rPr>
      <t>s</t>
    </r>
  </si>
  <si>
    <r>
      <t>t</t>
    </r>
    <r>
      <rPr>
        <vertAlign val="subscript"/>
        <sz val="11"/>
        <color rgb="FF000000"/>
        <rFont val="Arial"/>
      </rPr>
      <t>discharge_2</t>
    </r>
  </si>
  <si>
    <r>
      <t>R</t>
    </r>
    <r>
      <rPr>
        <vertAlign val="subscript"/>
        <sz val="11"/>
        <color rgb="FF000000"/>
        <rFont val="Arial"/>
      </rPr>
      <t>L</t>
    </r>
    <r>
      <rPr>
        <sz val="11"/>
        <color rgb="FF000000"/>
        <rFont val="Arial"/>
      </rPr>
      <t xml:space="preserve"> of Specified Opto-Coupler Fall Time</t>
    </r>
  </si>
  <si>
    <r>
      <t>R</t>
    </r>
    <r>
      <rPr>
        <vertAlign val="subscript"/>
        <sz val="11"/>
        <rFont val="Arial"/>
      </rPr>
      <t>L_opto</t>
    </r>
    <r>
      <rPr>
        <sz val="11"/>
        <rFont val="Arial"/>
      </rPr>
      <t xml:space="preserve"> =</t>
    </r>
  </si>
  <si>
    <t>Cut-Off Frequency of Opto-Coupler</t>
  </si>
  <si>
    <r>
      <t>f</t>
    </r>
    <r>
      <rPr>
        <vertAlign val="subscript"/>
        <sz val="11"/>
        <color rgb="FF000000"/>
        <rFont val="Arial"/>
      </rPr>
      <t>c_opto</t>
    </r>
    <r>
      <rPr>
        <sz val="11"/>
        <color rgb="FF000000"/>
        <rFont val="Arial"/>
      </rPr>
      <t xml:space="preserve"> =</t>
    </r>
  </si>
  <si>
    <r>
      <t>t</t>
    </r>
    <r>
      <rPr>
        <vertAlign val="subscript"/>
        <sz val="11"/>
        <color rgb="FF000000"/>
        <rFont val="Arial"/>
      </rPr>
      <t>charge_2</t>
    </r>
  </si>
  <si>
    <t>Input Forward Voltage of Opto-Coupler</t>
  </si>
  <si>
    <r>
      <t>V</t>
    </r>
    <r>
      <rPr>
        <vertAlign val="subscript"/>
        <sz val="11"/>
        <color rgb="FF000000"/>
        <rFont val="Arial"/>
      </rPr>
      <t>F_opto</t>
    </r>
    <r>
      <rPr>
        <sz val="11"/>
        <color rgb="FF000000"/>
        <rFont val="Arial"/>
      </rPr>
      <t xml:space="preserve"> =</t>
    </r>
  </si>
  <si>
    <t>Equivalent Opto-Coupler Output Capacitance</t>
  </si>
  <si>
    <r>
      <t>V</t>
    </r>
    <r>
      <rPr>
        <vertAlign val="subscript"/>
        <sz val="11"/>
        <color rgb="FF000000"/>
        <rFont val="Arial"/>
      </rPr>
      <t>BULKvalley_3</t>
    </r>
  </si>
  <si>
    <r>
      <t>C</t>
    </r>
    <r>
      <rPr>
        <vertAlign val="subscript"/>
        <sz val="11"/>
        <color rgb="FF000000"/>
        <rFont val="Arial"/>
      </rPr>
      <t>OPTO</t>
    </r>
    <r>
      <rPr>
        <sz val="11"/>
        <color rgb="FF000000"/>
        <rFont val="Arial"/>
      </rPr>
      <t xml:space="preserve"> =</t>
    </r>
  </si>
  <si>
    <t>nF</t>
  </si>
  <si>
    <t>Third Iteration:</t>
  </si>
  <si>
    <t>Equivalent Internal UCC28740 Dynamic Reistance</t>
  </si>
  <si>
    <r>
      <t>R</t>
    </r>
    <r>
      <rPr>
        <vertAlign val="subscript"/>
        <sz val="11"/>
        <color rgb="FF000000"/>
        <rFont val="Arial"/>
      </rPr>
      <t>EQU</t>
    </r>
    <r>
      <rPr>
        <sz val="11"/>
        <color rgb="FF000000"/>
        <rFont val="Arial"/>
      </rPr>
      <t xml:space="preserve"> =</t>
    </r>
  </si>
  <si>
    <r>
      <t>k</t>
    </r>
    <r>
      <rPr>
        <sz val="11"/>
        <color rgb="FF000000"/>
        <rFont val="Calibri"/>
      </rPr>
      <t>Ω</t>
    </r>
  </si>
  <si>
    <r>
      <t>t</t>
    </r>
    <r>
      <rPr>
        <vertAlign val="subscript"/>
        <sz val="11"/>
        <color rgb="FF000000"/>
        <rFont val="Arial"/>
      </rPr>
      <t>1_3</t>
    </r>
  </si>
  <si>
    <r>
      <rPr>
        <b/>
        <sz val="11"/>
        <color rgb="FF000000"/>
        <rFont val="Arial"/>
      </rPr>
      <t>Recommended</t>
    </r>
    <r>
      <rPr>
        <sz val="11"/>
        <color rgb="FF000000"/>
        <rFont val="Arial"/>
      </rPr>
      <t xml:space="preserve"> Value for External Capacitor on Opto-Coupler</t>
    </r>
  </si>
  <si>
    <r>
      <t>C</t>
    </r>
    <r>
      <rPr>
        <vertAlign val="subscript"/>
        <sz val="11"/>
        <color rgb="FF000000"/>
        <rFont val="Arial"/>
      </rPr>
      <t>EXTrecommended</t>
    </r>
    <r>
      <rPr>
        <sz val="11"/>
        <color rgb="FF000000"/>
        <rFont val="Arial"/>
      </rPr>
      <t xml:space="preserve"> =</t>
    </r>
  </si>
  <si>
    <r>
      <t>t</t>
    </r>
    <r>
      <rPr>
        <vertAlign val="subscript"/>
        <sz val="11"/>
        <color rgb="FF000000"/>
        <rFont val="Arial"/>
      </rPr>
      <t>2_3</t>
    </r>
  </si>
  <si>
    <r>
      <t>t</t>
    </r>
    <r>
      <rPr>
        <vertAlign val="subscript"/>
        <sz val="11"/>
        <color rgb="FF000000"/>
        <rFont val="Arial"/>
      </rPr>
      <t>discharge_3</t>
    </r>
  </si>
  <si>
    <r>
      <rPr>
        <sz val="11"/>
        <color rgb="FF000000"/>
        <rFont val="Calibri"/>
      </rPr>
      <t>µ</t>
    </r>
    <r>
      <rPr>
        <sz val="11"/>
        <color rgb="FF000000"/>
        <rFont val="Arial"/>
      </rPr>
      <t>F</t>
    </r>
  </si>
  <si>
    <r>
      <t>t</t>
    </r>
    <r>
      <rPr>
        <vertAlign val="subscript"/>
        <sz val="11"/>
        <color rgb="FF000000"/>
        <rFont val="Arial"/>
      </rPr>
      <t>charge_3</t>
    </r>
  </si>
  <si>
    <r>
      <rPr>
        <b/>
        <sz val="11"/>
        <color rgb="FF000000"/>
        <rFont val="Arial"/>
      </rPr>
      <t>Actual</t>
    </r>
    <r>
      <rPr>
        <sz val="11"/>
        <color rgb="FF000000"/>
        <rFont val="Arial"/>
      </rPr>
      <t xml:space="preserve"> Value of External Capacitor on Opto-Coupler Used</t>
    </r>
  </si>
  <si>
    <r>
      <t>C</t>
    </r>
    <r>
      <rPr>
        <vertAlign val="subscript"/>
        <sz val="11"/>
        <color rgb="FF000000"/>
        <rFont val="Arial"/>
      </rPr>
      <t>EXTactual</t>
    </r>
    <r>
      <rPr>
        <sz val="11"/>
        <color rgb="FF000000"/>
        <rFont val="Arial"/>
      </rPr>
      <t xml:space="preserve"> =</t>
    </r>
  </si>
  <si>
    <r>
      <t>V</t>
    </r>
    <r>
      <rPr>
        <vertAlign val="subscript"/>
        <sz val="11"/>
        <color rgb="FF000000"/>
        <rFont val="Arial"/>
      </rPr>
      <t>BULKvalley_4</t>
    </r>
  </si>
  <si>
    <r>
      <rPr>
        <sz val="11"/>
        <color rgb="FF000000"/>
        <rFont val="Calibri"/>
      </rPr>
      <t>µ</t>
    </r>
    <r>
      <rPr>
        <sz val="11"/>
        <color rgb="FF000000"/>
        <rFont val="Arial"/>
      </rPr>
      <t>F</t>
    </r>
  </si>
  <si>
    <r>
      <t>C</t>
    </r>
    <r>
      <rPr>
        <vertAlign val="subscript"/>
        <sz val="11"/>
        <color rgb="FF000000"/>
        <rFont val="Arial"/>
      </rPr>
      <t>EXT</t>
    </r>
    <r>
      <rPr>
        <sz val="11"/>
        <color rgb="FF000000"/>
        <rFont val="Arial"/>
      </rPr>
      <t xml:space="preserve"> Used in Calculations</t>
    </r>
  </si>
  <si>
    <r>
      <t>C</t>
    </r>
    <r>
      <rPr>
        <vertAlign val="subscript"/>
        <sz val="11"/>
        <color rgb="FF000000"/>
        <rFont val="Arial"/>
      </rPr>
      <t>EXT</t>
    </r>
    <r>
      <rPr>
        <sz val="11"/>
        <color rgb="FF000000"/>
        <rFont val="Arial"/>
      </rPr>
      <t xml:space="preserve"> =</t>
    </r>
  </si>
  <si>
    <r>
      <rPr>
        <sz val="11"/>
        <color rgb="FF000000"/>
        <rFont val="Calibri"/>
      </rPr>
      <t>µ</t>
    </r>
    <r>
      <rPr>
        <sz val="11"/>
        <color rgb="FF000000"/>
        <rFont val="Arial"/>
      </rPr>
      <t>F</t>
    </r>
  </si>
  <si>
    <r>
      <rPr>
        <b/>
        <sz val="11"/>
        <color rgb="FF000000"/>
        <rFont val="Arial"/>
      </rPr>
      <t>Recommended</t>
    </r>
    <r>
      <rPr>
        <sz val="11"/>
        <color rgb="FF000000"/>
        <rFont val="Arial"/>
      </rPr>
      <t xml:space="preserve"> C</t>
    </r>
    <r>
      <rPr>
        <vertAlign val="subscript"/>
        <sz val="11"/>
        <color rgb="FF000000"/>
        <rFont val="Arial"/>
      </rPr>
      <t>FB</t>
    </r>
  </si>
  <si>
    <r>
      <t>R</t>
    </r>
    <r>
      <rPr>
        <vertAlign val="subscript"/>
        <sz val="11"/>
        <color rgb="FF000000"/>
        <rFont val="Arial"/>
      </rPr>
      <t>VS1</t>
    </r>
    <r>
      <rPr>
        <sz val="11"/>
        <color rgb="FF000000"/>
        <rFont val="Arial"/>
      </rPr>
      <t>:</t>
    </r>
  </si>
  <si>
    <r>
      <t>C</t>
    </r>
    <r>
      <rPr>
        <vertAlign val="subscript"/>
        <sz val="11"/>
        <color rgb="FF000000"/>
        <rFont val="Arial"/>
      </rPr>
      <t>FBrecommended</t>
    </r>
    <r>
      <rPr>
        <sz val="11"/>
        <color rgb="FF000000"/>
        <rFont val="Arial"/>
      </rPr>
      <t xml:space="preserve"> =</t>
    </r>
  </si>
  <si>
    <r>
      <rPr>
        <sz val="11"/>
        <color rgb="FF000000"/>
        <rFont val="Calibri"/>
      </rPr>
      <t>µ</t>
    </r>
    <r>
      <rPr>
        <sz val="11"/>
        <color rgb="FF000000"/>
        <rFont val="Arial"/>
      </rPr>
      <t>F</t>
    </r>
  </si>
  <si>
    <r>
      <t>k</t>
    </r>
    <r>
      <rPr>
        <sz val="11"/>
        <color rgb="FF000000"/>
        <rFont val="Calibri"/>
      </rPr>
      <t>Ω</t>
    </r>
  </si>
  <si>
    <r>
      <rPr>
        <b/>
        <sz val="11"/>
        <color rgb="FF000000"/>
        <rFont val="Arial"/>
      </rPr>
      <t>Actual</t>
    </r>
    <r>
      <rPr>
        <sz val="11"/>
        <color rgb="FF000000"/>
        <rFont val="Arial"/>
      </rPr>
      <t xml:space="preserve"> C</t>
    </r>
    <r>
      <rPr>
        <vertAlign val="subscript"/>
        <sz val="11"/>
        <color rgb="FF000000"/>
        <rFont val="Arial"/>
      </rPr>
      <t>FB</t>
    </r>
    <r>
      <rPr>
        <sz val="11"/>
        <color rgb="FF000000"/>
        <rFont val="Arial"/>
      </rPr>
      <t xml:space="preserve"> Used</t>
    </r>
  </si>
  <si>
    <r>
      <t>C</t>
    </r>
    <r>
      <rPr>
        <vertAlign val="subscript"/>
        <sz val="11"/>
        <color rgb="FF000000"/>
        <rFont val="Arial"/>
      </rPr>
      <t>FBactual</t>
    </r>
    <r>
      <rPr>
        <sz val="11"/>
        <color rgb="FF000000"/>
        <rFont val="Arial"/>
      </rPr>
      <t xml:space="preserve"> =</t>
    </r>
  </si>
  <si>
    <r>
      <rPr>
        <sz val="11"/>
        <color rgb="FF000000"/>
        <rFont val="Calibri"/>
      </rPr>
      <t>µ</t>
    </r>
    <r>
      <rPr>
        <sz val="11"/>
        <color rgb="FF000000"/>
        <rFont val="Arial"/>
      </rPr>
      <t>F</t>
    </r>
  </si>
  <si>
    <r>
      <t>C</t>
    </r>
    <r>
      <rPr>
        <vertAlign val="subscript"/>
        <sz val="11"/>
        <color rgb="FF000000"/>
        <rFont val="Arial"/>
      </rPr>
      <t>FB</t>
    </r>
    <r>
      <rPr>
        <sz val="11"/>
        <color rgb="FF000000"/>
        <rFont val="Arial"/>
      </rPr>
      <t xml:space="preserve"> Used in Calculations</t>
    </r>
  </si>
  <si>
    <r>
      <t>C</t>
    </r>
    <r>
      <rPr>
        <vertAlign val="subscript"/>
        <sz val="11"/>
        <color rgb="FF000000"/>
        <rFont val="Arial"/>
      </rPr>
      <t>FB</t>
    </r>
    <r>
      <rPr>
        <sz val="11"/>
        <color rgb="FF000000"/>
        <rFont val="Arial"/>
      </rPr>
      <t xml:space="preserve"> =</t>
    </r>
  </si>
  <si>
    <r>
      <t>k</t>
    </r>
    <r>
      <rPr>
        <sz val="11"/>
        <color rgb="FF000000"/>
        <rFont val="Calibri"/>
      </rPr>
      <t>Ω</t>
    </r>
  </si>
  <si>
    <r>
      <rPr>
        <b/>
        <sz val="11"/>
        <color rgb="FF000000"/>
        <rFont val="Arial"/>
      </rPr>
      <t>Recommended</t>
    </r>
    <r>
      <rPr>
        <sz val="11"/>
        <color rgb="FF000000"/>
        <rFont val="Arial"/>
      </rPr>
      <t xml:space="preserve"> Value For R</t>
    </r>
    <r>
      <rPr>
        <vertAlign val="subscript"/>
        <sz val="11"/>
        <color rgb="FF000000"/>
        <rFont val="Arial"/>
      </rPr>
      <t>FB4</t>
    </r>
  </si>
  <si>
    <r>
      <t>R</t>
    </r>
    <r>
      <rPr>
        <vertAlign val="subscript"/>
        <sz val="11"/>
        <color rgb="FF000000"/>
        <rFont val="Arial"/>
      </rPr>
      <t>FB4recommended</t>
    </r>
    <r>
      <rPr>
        <sz val="11"/>
        <color rgb="FF000000"/>
        <rFont val="Arial"/>
      </rPr>
      <t xml:space="preserve"> =</t>
    </r>
  </si>
  <si>
    <r>
      <t>k</t>
    </r>
    <r>
      <rPr>
        <sz val="11"/>
        <color rgb="FF000000"/>
        <rFont val="Calibri"/>
      </rPr>
      <t>Ω</t>
    </r>
  </si>
  <si>
    <r>
      <t>R</t>
    </r>
    <r>
      <rPr>
        <vertAlign val="subscript"/>
        <sz val="11"/>
        <color rgb="FF000000"/>
        <rFont val="Arial"/>
      </rPr>
      <t>VS2</t>
    </r>
    <r>
      <rPr>
        <sz val="11"/>
        <color rgb="FF000000"/>
        <rFont val="Arial"/>
      </rPr>
      <t>:</t>
    </r>
  </si>
  <si>
    <r>
      <rPr>
        <b/>
        <sz val="11"/>
        <color rgb="FF000000"/>
        <rFont val="Arial"/>
      </rPr>
      <t>Actual</t>
    </r>
    <r>
      <rPr>
        <sz val="11"/>
        <color rgb="FF000000"/>
        <rFont val="Arial"/>
      </rPr>
      <t xml:space="preserve"> Value for R</t>
    </r>
    <r>
      <rPr>
        <vertAlign val="subscript"/>
        <sz val="11"/>
        <color rgb="FF000000"/>
        <rFont val="Arial"/>
      </rPr>
      <t>FB4</t>
    </r>
    <r>
      <rPr>
        <sz val="11"/>
        <color rgb="FF000000"/>
        <rFont val="Arial"/>
      </rPr>
      <t xml:space="preserve"> Used </t>
    </r>
  </si>
  <si>
    <r>
      <t>R</t>
    </r>
    <r>
      <rPr>
        <vertAlign val="subscript"/>
        <sz val="11"/>
        <color rgb="FF000000"/>
        <rFont val="Arial"/>
      </rPr>
      <t>FB4actual</t>
    </r>
    <r>
      <rPr>
        <sz val="11"/>
        <color rgb="FF000000"/>
        <rFont val="Arial"/>
      </rPr>
      <t xml:space="preserve"> =</t>
    </r>
  </si>
  <si>
    <r>
      <t>k</t>
    </r>
    <r>
      <rPr>
        <sz val="11"/>
        <color rgb="FF000000"/>
        <rFont val="Calibri"/>
      </rPr>
      <t>Ω</t>
    </r>
  </si>
  <si>
    <r>
      <t>k</t>
    </r>
    <r>
      <rPr>
        <sz val="11"/>
        <color rgb="FF000000"/>
        <rFont val="Calibri"/>
      </rPr>
      <t>Ω</t>
    </r>
  </si>
  <si>
    <r>
      <t>R</t>
    </r>
    <r>
      <rPr>
        <vertAlign val="subscript"/>
        <sz val="11"/>
        <color rgb="FF000000"/>
        <rFont val="Arial"/>
      </rPr>
      <t>FB4</t>
    </r>
    <r>
      <rPr>
        <sz val="11"/>
        <color rgb="FF000000"/>
        <rFont val="Arial"/>
      </rPr>
      <t xml:space="preserve"> Used in Calculations</t>
    </r>
  </si>
  <si>
    <r>
      <t>R</t>
    </r>
    <r>
      <rPr>
        <vertAlign val="subscript"/>
        <sz val="11"/>
        <color rgb="FF000000"/>
        <rFont val="Arial"/>
      </rPr>
      <t>FB4</t>
    </r>
    <r>
      <rPr>
        <sz val="11"/>
        <color rgb="FF000000"/>
        <rFont val="Arial"/>
      </rPr>
      <t xml:space="preserve"> =</t>
    </r>
  </si>
  <si>
    <r>
      <t>k</t>
    </r>
    <r>
      <rPr>
        <sz val="11"/>
        <color rgb="FF000000"/>
        <rFont val="Calibri"/>
      </rPr>
      <t>Ω</t>
    </r>
  </si>
  <si>
    <t>Opto-Coupler Emitter Current to FB Pin Current Gain</t>
  </si>
  <si>
    <r>
      <t>G</t>
    </r>
    <r>
      <rPr>
        <vertAlign val="subscript"/>
        <sz val="11"/>
        <color rgb="FF000000"/>
        <rFont val="Arial"/>
      </rPr>
      <t>FB1</t>
    </r>
    <r>
      <rPr>
        <sz val="11"/>
        <color rgb="FF000000"/>
        <rFont val="Arial"/>
      </rPr>
      <t xml:space="preserve"> =</t>
    </r>
  </si>
  <si>
    <r>
      <t>k</t>
    </r>
    <r>
      <rPr>
        <sz val="11"/>
        <color rgb="FF000000"/>
        <rFont val="Calibri"/>
      </rPr>
      <t>Ω</t>
    </r>
  </si>
  <si>
    <t>FB Pin Current to Control Law Voltage Gain, Full Load</t>
  </si>
  <si>
    <r>
      <t>G</t>
    </r>
    <r>
      <rPr>
        <vertAlign val="subscript"/>
        <sz val="11"/>
        <color rgb="FF000000"/>
        <rFont val="Arial"/>
      </rPr>
      <t>FB2</t>
    </r>
    <r>
      <rPr>
        <sz val="11"/>
        <color rgb="FF000000"/>
        <rFont val="Arial"/>
      </rPr>
      <t xml:space="preserve"> =</t>
    </r>
  </si>
  <si>
    <r>
      <t>R</t>
    </r>
    <r>
      <rPr>
        <vertAlign val="subscript"/>
        <sz val="11"/>
        <color rgb="FF000000"/>
        <rFont val="Arial"/>
      </rPr>
      <t>LC</t>
    </r>
    <r>
      <rPr>
        <sz val="11"/>
        <color rgb="FF000000"/>
        <rFont val="Arial"/>
      </rPr>
      <t>:</t>
    </r>
  </si>
  <si>
    <r>
      <t>k</t>
    </r>
    <r>
      <rPr>
        <sz val="11"/>
        <color rgb="FF000000"/>
        <rFont val="Calibri"/>
      </rPr>
      <t>Ω</t>
    </r>
  </si>
  <si>
    <r>
      <t>k</t>
    </r>
    <r>
      <rPr>
        <sz val="11"/>
        <color rgb="FF000000"/>
        <rFont val="Calibri"/>
      </rPr>
      <t>Ω</t>
    </r>
  </si>
  <si>
    <t>Control Law Voltage to Power Stage Modulation Gain, FM Mode</t>
  </si>
  <si>
    <r>
      <t>K</t>
    </r>
    <r>
      <rPr>
        <vertAlign val="subscript"/>
        <sz val="11"/>
        <color rgb="FF000000"/>
        <rFont val="Arial"/>
      </rPr>
      <t>FM4</t>
    </r>
    <r>
      <rPr>
        <sz val="11"/>
        <color rgb="FF000000"/>
        <rFont val="Arial"/>
      </rPr>
      <t xml:space="preserve"> =</t>
    </r>
  </si>
  <si>
    <t>kHz/V</t>
  </si>
  <si>
    <t>Power Stage Modulation (FM) to Average Current Gain</t>
  </si>
  <si>
    <r>
      <t>G</t>
    </r>
    <r>
      <rPr>
        <vertAlign val="subscript"/>
        <sz val="11"/>
        <color rgb="FF000000"/>
        <rFont val="Arial"/>
      </rPr>
      <t>P4</t>
    </r>
    <r>
      <rPr>
        <sz val="11"/>
        <color rgb="FF000000"/>
        <rFont val="Arial"/>
      </rPr>
      <t xml:space="preserve"> =</t>
    </r>
  </si>
  <si>
    <r>
      <t>k</t>
    </r>
    <r>
      <rPr>
        <sz val="11"/>
        <color rgb="FF000000"/>
        <rFont val="Calibri"/>
      </rPr>
      <t>Ω</t>
    </r>
  </si>
  <si>
    <r>
      <t>R</t>
    </r>
    <r>
      <rPr>
        <vertAlign val="subscript"/>
        <sz val="11"/>
        <color rgb="FF000000"/>
        <rFont val="Arial"/>
      </rPr>
      <t>FB2</t>
    </r>
    <r>
      <rPr>
        <sz val="11"/>
        <color rgb="FF000000"/>
        <rFont val="Arial"/>
      </rPr>
      <t>:</t>
    </r>
  </si>
  <si>
    <r>
      <rPr>
        <sz val="11"/>
        <color rgb="FF000000"/>
        <rFont val="Calibri"/>
      </rPr>
      <t>µ</t>
    </r>
    <r>
      <rPr>
        <sz val="11"/>
        <color rgb="FF000000"/>
        <rFont val="Arial"/>
      </rPr>
      <t>C</t>
    </r>
  </si>
  <si>
    <r>
      <t>k</t>
    </r>
    <r>
      <rPr>
        <sz val="11"/>
        <color rgb="FF000000"/>
        <rFont val="Calibri"/>
      </rPr>
      <t>Ω</t>
    </r>
  </si>
  <si>
    <r>
      <rPr>
        <b/>
        <sz val="11"/>
        <color rgb="FF000000"/>
        <rFont val="Arial"/>
      </rPr>
      <t>Recommeded</t>
    </r>
    <r>
      <rPr>
        <sz val="11"/>
        <color rgb="FF000000"/>
        <rFont val="Arial"/>
      </rPr>
      <t xml:space="preserve"> Value for Shunt Regulator Bias Resistor</t>
    </r>
  </si>
  <si>
    <r>
      <t>R</t>
    </r>
    <r>
      <rPr>
        <vertAlign val="subscript"/>
        <sz val="11"/>
        <color rgb="FF000000"/>
        <rFont val="Arial"/>
      </rPr>
      <t>TLrecommended</t>
    </r>
    <r>
      <rPr>
        <sz val="11"/>
        <color rgb="FF000000"/>
        <rFont val="Arial"/>
      </rPr>
      <t xml:space="preserve"> =</t>
    </r>
  </si>
  <si>
    <r>
      <t>k</t>
    </r>
    <r>
      <rPr>
        <sz val="11"/>
        <color rgb="FF000000"/>
        <rFont val="Calibri"/>
      </rPr>
      <t>Ω</t>
    </r>
  </si>
  <si>
    <r>
      <rPr>
        <b/>
        <sz val="11"/>
        <color rgb="FF000000"/>
        <rFont val="Arial"/>
      </rPr>
      <t xml:space="preserve">Actual </t>
    </r>
    <r>
      <rPr>
        <sz val="11"/>
        <color rgb="FF000000"/>
        <rFont val="Arial"/>
      </rPr>
      <t>Value of Shunt Regulator Bias Resistor Used</t>
    </r>
  </si>
  <si>
    <r>
      <t>R</t>
    </r>
    <r>
      <rPr>
        <vertAlign val="subscript"/>
        <sz val="11"/>
        <color rgb="FF000000"/>
        <rFont val="Arial"/>
      </rPr>
      <t>TLactual</t>
    </r>
    <r>
      <rPr>
        <sz val="11"/>
        <color rgb="FF000000"/>
        <rFont val="Arial"/>
      </rPr>
      <t xml:space="preserve"> =</t>
    </r>
  </si>
  <si>
    <r>
      <t>k</t>
    </r>
    <r>
      <rPr>
        <sz val="11"/>
        <color rgb="FF000000"/>
        <rFont val="Calibri"/>
      </rPr>
      <t>Ω</t>
    </r>
  </si>
  <si>
    <r>
      <t>k</t>
    </r>
    <r>
      <rPr>
        <sz val="11"/>
        <color rgb="FF000000"/>
        <rFont val="Calibri"/>
      </rPr>
      <t>Ω</t>
    </r>
  </si>
  <si>
    <r>
      <t>R</t>
    </r>
    <r>
      <rPr>
        <vertAlign val="subscript"/>
        <sz val="11"/>
        <color rgb="FF000000"/>
        <rFont val="Arial"/>
      </rPr>
      <t>TL</t>
    </r>
    <r>
      <rPr>
        <sz val="11"/>
        <color rgb="FF000000"/>
        <rFont val="Arial"/>
      </rPr>
      <t xml:space="preserve"> Used in Calculations</t>
    </r>
  </si>
  <si>
    <r>
      <t>R</t>
    </r>
    <r>
      <rPr>
        <vertAlign val="subscript"/>
        <sz val="11"/>
        <color rgb="FF000000"/>
        <rFont val="Arial"/>
      </rPr>
      <t>FB1</t>
    </r>
    <r>
      <rPr>
        <sz val="11"/>
        <color rgb="FF000000"/>
        <rFont val="Arial"/>
      </rPr>
      <t>:</t>
    </r>
  </si>
  <si>
    <r>
      <t>R</t>
    </r>
    <r>
      <rPr>
        <vertAlign val="subscript"/>
        <sz val="11"/>
        <color rgb="FF000000"/>
        <rFont val="Arial"/>
      </rPr>
      <t>TL</t>
    </r>
    <r>
      <rPr>
        <sz val="11"/>
        <color rgb="FF000000"/>
        <rFont val="Arial"/>
      </rPr>
      <t xml:space="preserve"> =</t>
    </r>
  </si>
  <si>
    <r>
      <t>k</t>
    </r>
    <r>
      <rPr>
        <sz val="11"/>
        <color rgb="FF000000"/>
        <rFont val="Calibri"/>
      </rPr>
      <t>Ω</t>
    </r>
  </si>
  <si>
    <r>
      <t>k</t>
    </r>
    <r>
      <rPr>
        <sz val="11"/>
        <color rgb="FF000000"/>
        <rFont val="Calibri"/>
      </rPr>
      <t>Ω</t>
    </r>
  </si>
  <si>
    <r>
      <rPr>
        <b/>
        <sz val="11"/>
        <color rgb="FF000000"/>
        <rFont val="Arial"/>
      </rPr>
      <t>Recommended</t>
    </r>
    <r>
      <rPr>
        <sz val="11"/>
        <color rgb="FF000000"/>
        <rFont val="Arial"/>
      </rPr>
      <t xml:space="preserve"> Value for Compensation Capacitor</t>
    </r>
  </si>
  <si>
    <r>
      <t>C</t>
    </r>
    <r>
      <rPr>
        <vertAlign val="subscript"/>
        <sz val="11"/>
        <color rgb="FF000000"/>
        <rFont val="Arial"/>
      </rPr>
      <t>Zrecommended</t>
    </r>
    <r>
      <rPr>
        <sz val="11"/>
        <color rgb="FF000000"/>
        <rFont val="Arial"/>
      </rPr>
      <t xml:space="preserve"> =</t>
    </r>
  </si>
  <si>
    <r>
      <rPr>
        <b/>
        <sz val="11"/>
        <color rgb="FF000000"/>
        <rFont val="Arial"/>
      </rPr>
      <t xml:space="preserve">Actual </t>
    </r>
    <r>
      <rPr>
        <sz val="11"/>
        <color rgb="FF000000"/>
        <rFont val="Arial"/>
      </rPr>
      <t>Value Used C</t>
    </r>
    <r>
      <rPr>
        <vertAlign val="subscript"/>
        <sz val="11"/>
        <color rgb="FF000000"/>
        <rFont val="Arial"/>
      </rPr>
      <t>Z</t>
    </r>
  </si>
  <si>
    <r>
      <t>C</t>
    </r>
    <r>
      <rPr>
        <vertAlign val="subscript"/>
        <sz val="11"/>
        <color rgb="FF000000"/>
        <rFont val="Arial"/>
      </rPr>
      <t>Zactual =</t>
    </r>
  </si>
  <si>
    <r>
      <t>k</t>
    </r>
    <r>
      <rPr>
        <sz val="11"/>
        <color rgb="FF000000"/>
        <rFont val="Calibri"/>
      </rPr>
      <t>Ω</t>
    </r>
  </si>
  <si>
    <t xml:space="preserve">Bode Plot </t>
  </si>
  <si>
    <t>Opto-Coupler Diode Current to Emitter Current Gain</t>
  </si>
  <si>
    <t>Output Current to Output Voltage Gain</t>
  </si>
  <si>
    <r>
      <t>C</t>
    </r>
    <r>
      <rPr>
        <vertAlign val="subscript"/>
        <sz val="11"/>
        <color rgb="FF000000"/>
        <rFont val="Arial"/>
      </rPr>
      <t>Z</t>
    </r>
    <r>
      <rPr>
        <sz val="11"/>
        <color rgb="FF000000"/>
        <rFont val="Arial"/>
      </rPr>
      <t xml:space="preserve"> Used in Calculations</t>
    </r>
  </si>
  <si>
    <t>Total Open Loop Gain</t>
  </si>
  <si>
    <r>
      <t>C</t>
    </r>
    <r>
      <rPr>
        <vertAlign val="subscript"/>
        <sz val="11"/>
        <color rgb="FF000000"/>
        <rFont val="Arial"/>
      </rPr>
      <t>Z</t>
    </r>
    <r>
      <rPr>
        <sz val="11"/>
        <color rgb="FF000000"/>
        <rFont val="Arial"/>
      </rPr>
      <t xml:space="preserve"> = </t>
    </r>
  </si>
  <si>
    <t>Log Scale Converter</t>
  </si>
  <si>
    <t>frequency</t>
  </si>
  <si>
    <t>ω</t>
  </si>
  <si>
    <t>Gain</t>
  </si>
  <si>
    <t>rad</t>
  </si>
  <si>
    <t>dB</t>
  </si>
  <si>
    <t>degrees</t>
  </si>
  <si>
    <t>Frequency for 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</si>
</sst>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 ?/10"/>
    <numFmt numFmtId="166" formatCode="0.0000"/>
    <numFmt numFmtId="167" formatCode="0E+00"/>
  </numFmts>
  <fonts count="40">
    <font>
      <sz val="11"/>
      <color rgb="FF000000"/>
      <name val="Calibri"/>
    </font>
    <font>
      <sz val="11"/>
      <color rgb="FF000000"/>
      <name val="Arial"/>
    </font>
    <font>
      <sz val="12"/>
      <color rgb="FF000000"/>
      <name val="Arial"/>
    </font>
    <font>
      <b/>
      <sz val="24"/>
      <color rgb="FFFFFFFF"/>
      <name val="Arial"/>
    </font>
    <font>
      <sz val="11"/>
      <name val="Calibri"/>
    </font>
    <font>
      <b/>
      <sz val="10"/>
      <name val="Arial"/>
    </font>
    <font>
      <b/>
      <sz val="9"/>
      <name val="Arial"/>
    </font>
    <font>
      <b/>
      <sz val="12"/>
      <name val="Arial"/>
    </font>
    <font>
      <b/>
      <sz val="16"/>
      <color rgb="FF000000"/>
      <name val="Arial"/>
    </font>
    <font>
      <b/>
      <sz val="14"/>
      <color rgb="FF000000"/>
      <name val="Arial"/>
    </font>
    <font>
      <b/>
      <sz val="14"/>
      <color rgb="FFFF0000"/>
      <name val="Arial"/>
    </font>
    <font>
      <b/>
      <sz val="12"/>
      <color rgb="FFFF0000"/>
      <name val="Arial"/>
    </font>
    <font>
      <sz val="11"/>
      <name val="Arial"/>
    </font>
    <font>
      <b/>
      <i/>
      <sz val="16"/>
      <color rgb="FFFFFFFF"/>
      <name val="Arial"/>
    </font>
    <font>
      <b/>
      <sz val="12"/>
      <color rgb="FFFFFFFF"/>
      <name val="Arial"/>
    </font>
    <font>
      <b/>
      <i/>
      <sz val="11"/>
      <color rgb="FFFF0000"/>
      <name val="Arial"/>
    </font>
    <font>
      <b/>
      <sz val="22"/>
      <color rgb="FFFFFFFF"/>
      <name val="Arial"/>
    </font>
    <font>
      <b/>
      <sz val="14"/>
      <name val="Arial"/>
    </font>
    <font>
      <b/>
      <sz val="14"/>
      <color rgb="FFFFFFFF"/>
      <name val="Arial"/>
    </font>
    <font>
      <b/>
      <sz val="11"/>
      <color rgb="FF000000"/>
      <name val="Arial"/>
    </font>
    <font>
      <b/>
      <sz val="11"/>
      <color rgb="FFFF0000"/>
      <name val="Arial"/>
    </font>
    <font>
      <b/>
      <sz val="11"/>
      <color rgb="FFFFFFFF"/>
      <name val="Arial"/>
    </font>
    <font>
      <b/>
      <sz val="11"/>
      <name val="Arial"/>
    </font>
    <font>
      <b/>
      <i/>
      <sz val="12"/>
      <color rgb="FFFFFFFF"/>
      <name val="Arial"/>
    </font>
    <font>
      <sz val="12"/>
      <color rgb="FF000000"/>
      <name val="Calibri"/>
    </font>
    <font>
      <sz val="10"/>
      <color rgb="FF000000"/>
      <name val="Arial"/>
    </font>
    <font>
      <sz val="12"/>
      <name val="Arial"/>
    </font>
    <font>
      <b/>
      <sz val="10"/>
      <color rgb="FFFF0000"/>
      <name val="Arial"/>
    </font>
    <font>
      <sz val="10"/>
      <name val="Arial"/>
    </font>
    <font>
      <b/>
      <sz val="14"/>
      <color rgb="FF9BBB59"/>
      <name val="Arial"/>
    </font>
    <font>
      <b/>
      <vertAlign val="subscript"/>
      <sz val="12"/>
      <color rgb="FFFF0000"/>
      <name val="Arial"/>
    </font>
    <font>
      <vertAlign val="subscript"/>
      <sz val="11"/>
      <color rgb="FF000000"/>
      <name val="Arial"/>
    </font>
    <font>
      <vertAlign val="subscript"/>
      <sz val="11"/>
      <name val="Arial"/>
    </font>
    <font>
      <b/>
      <vertAlign val="subscript"/>
      <sz val="11"/>
      <color rgb="FFFFFFFF"/>
      <name val="Arial"/>
    </font>
    <font>
      <vertAlign val="subscript"/>
      <sz val="12"/>
      <color rgb="FF000000"/>
      <name val="Arial"/>
    </font>
    <font>
      <b/>
      <i/>
      <vertAlign val="subscript"/>
      <sz val="11"/>
      <color rgb="FFFFFFFF"/>
      <name val="Arial"/>
    </font>
    <font>
      <b/>
      <i/>
      <vertAlign val="subscript"/>
      <sz val="12"/>
      <color rgb="FFFFFFFF"/>
      <name val="Arial"/>
    </font>
    <font>
      <b/>
      <vertAlign val="subscript"/>
      <sz val="11"/>
      <color rgb="FF000000"/>
      <name val="Arial"/>
    </font>
    <font>
      <vertAlign val="subscript"/>
      <sz val="12"/>
      <name val="Arial"/>
    </font>
    <font>
      <b/>
      <vertAlign val="subscript"/>
      <sz val="11"/>
      <name val="Arial"/>
    </font>
  </fonts>
  <fills count="8">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FFFF00"/>
        <bgColor rgb="FFFFFF00"/>
      </patternFill>
    </fill>
    <fill>
      <patternFill patternType="solid">
        <fgColor rgb="FFF2F2F2"/>
        <bgColor rgb="FFF2F2F2"/>
      </patternFill>
    </fill>
    <fill>
      <patternFill patternType="solid">
        <fgColor rgb="FFCCFFCC"/>
        <bgColor rgb="FFCCFFCC"/>
      </patternFill>
    </fill>
    <fill>
      <patternFill patternType="solid">
        <fgColor rgb="FFDDFFDD"/>
        <bgColor rgb="FFDDFFDD"/>
      </patternFill>
    </fill>
  </fills>
  <borders count="13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style="medium">
        <color rgb="FF000000"/>
      </top>
      <bottom style="thin">
        <color rgb="FF000000"/>
      </bottom>
      <diagonal/>
    </border>
    <border>
      <left/>
      <right style="medium">
        <color rgb="FF000000"/>
      </right>
      <top/>
      <bottom/>
      <diagonal/>
    </border>
    <border>
      <left/>
      <right/>
      <top style="medium">
        <color rgb="FF000000"/>
      </top>
      <bottom style="thin">
        <color rgb="FF000000"/>
      </bottom>
      <diagonal/>
    </border>
    <border>
      <left style="medium">
        <color rgb="FF000000"/>
      </left>
      <right/>
      <top/>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top/>
      <bottom style="medium">
        <color rgb="FF000000"/>
      </bottom>
      <diagonal/>
    </border>
    <border>
      <left style="thin">
        <color rgb="FF000000"/>
      </left>
      <right/>
      <top style="medium">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style="medium">
        <color rgb="FF000000"/>
      </left>
      <right style="thin">
        <color rgb="FF000000"/>
      </right>
      <top/>
      <bottom/>
      <diagonal/>
    </border>
    <border>
      <left/>
      <right/>
      <top style="medium">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style="medium">
        <color rgb="FF000000"/>
      </top>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style="medium">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right/>
      <top style="thin">
        <color rgb="FF000000"/>
      </top>
      <bottom/>
      <diagonal/>
    </border>
    <border>
      <left style="thin">
        <color rgb="FF000000"/>
      </left>
      <right/>
      <top/>
      <bottom style="medium">
        <color rgb="FF000000"/>
      </bottom>
      <diagonal/>
    </border>
    <border>
      <left/>
      <right/>
      <top/>
      <bottom/>
      <diagonal/>
    </border>
    <border>
      <left/>
      <right/>
      <top/>
      <bottom/>
      <diagonal/>
    </border>
  </borders>
  <cellStyleXfs count="1">
    <xf numFmtId="0" fontId="0" fillId="0" borderId="0"/>
  </cellStyleXfs>
  <cellXfs count="369">
    <xf numFmtId="0" fontId="0" fillId="0" borderId="0" xfId="0"/>
    <xf numFmtId="0" fontId="1" fillId="2" borderId="1" xfId="0" applyFont="1" applyFill="1" applyBorder="1" applyAlignment="1">
      <alignment vertical="center"/>
    </xf>
    <xf numFmtId="0" fontId="2" fillId="2" borderId="1" xfId="0" applyFont="1" applyFill="1" applyBorder="1" applyAlignment="1">
      <alignment vertical="center"/>
    </xf>
    <xf numFmtId="0" fontId="5" fillId="2"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2" borderId="16" xfId="0" applyFont="1" applyFill="1" applyBorder="1" applyAlignment="1">
      <alignment vertical="center"/>
    </xf>
    <xf numFmtId="0" fontId="2" fillId="2" borderId="30" xfId="0" applyFont="1" applyFill="1" applyBorder="1" applyAlignment="1">
      <alignment vertical="center"/>
    </xf>
    <xf numFmtId="164" fontId="2" fillId="2" borderId="33" xfId="0" applyNumberFormat="1" applyFont="1" applyFill="1" applyBorder="1" applyAlignment="1">
      <alignment vertical="center"/>
    </xf>
    <xf numFmtId="0" fontId="2" fillId="2" borderId="38" xfId="0" applyFont="1" applyFill="1" applyBorder="1" applyAlignment="1">
      <alignment vertical="center"/>
    </xf>
    <xf numFmtId="164" fontId="2" fillId="2" borderId="40" xfId="0" applyNumberFormat="1" applyFont="1" applyFill="1" applyBorder="1" applyAlignment="1">
      <alignment vertical="center"/>
    </xf>
    <xf numFmtId="0" fontId="2" fillId="2" borderId="44" xfId="0" applyFont="1" applyFill="1" applyBorder="1" applyAlignment="1">
      <alignment vertical="center"/>
    </xf>
    <xf numFmtId="0" fontId="1" fillId="2" borderId="45" xfId="0" applyFont="1" applyFill="1" applyBorder="1" applyAlignment="1">
      <alignment vertical="center"/>
    </xf>
    <xf numFmtId="164" fontId="2" fillId="2" borderId="46" xfId="0" applyNumberFormat="1" applyFont="1" applyFill="1" applyBorder="1" applyAlignment="1">
      <alignment vertical="center"/>
    </xf>
    <xf numFmtId="0" fontId="1" fillId="6" borderId="47" xfId="0" applyFont="1" applyFill="1" applyBorder="1" applyAlignment="1">
      <alignment horizontal="center" vertical="center"/>
    </xf>
    <xf numFmtId="0" fontId="2" fillId="2" borderId="30" xfId="0" applyFont="1" applyFill="1" applyBorder="1" applyAlignment="1">
      <alignment horizontal="left" vertical="center"/>
    </xf>
    <xf numFmtId="0" fontId="1" fillId="2" borderId="51" xfId="0" applyFont="1" applyFill="1" applyBorder="1" applyAlignment="1">
      <alignment vertical="center"/>
    </xf>
    <xf numFmtId="0" fontId="2" fillId="2" borderId="40" xfId="0" applyFont="1" applyFill="1" applyBorder="1" applyAlignment="1">
      <alignment vertical="center"/>
    </xf>
    <xf numFmtId="0" fontId="2" fillId="2" borderId="52" xfId="0" applyFont="1" applyFill="1" applyBorder="1" applyAlignment="1">
      <alignment vertical="center"/>
    </xf>
    <xf numFmtId="0" fontId="1" fillId="2" borderId="38" xfId="0" applyFont="1" applyFill="1" applyBorder="1" applyAlignment="1">
      <alignment vertical="center"/>
    </xf>
    <xf numFmtId="0" fontId="1" fillId="6" borderId="38" xfId="0" applyFont="1" applyFill="1" applyBorder="1" applyAlignment="1">
      <alignment horizontal="center" vertical="center"/>
    </xf>
    <xf numFmtId="0" fontId="2" fillId="2" borderId="52" xfId="0" applyFont="1" applyFill="1" applyBorder="1" applyAlignment="1">
      <alignment horizontal="left" vertical="center"/>
    </xf>
    <xf numFmtId="0" fontId="2" fillId="2" borderId="46" xfId="0" applyFont="1" applyFill="1" applyBorder="1" applyAlignment="1">
      <alignment vertical="center"/>
    </xf>
    <xf numFmtId="0" fontId="12" fillId="7" borderId="51" xfId="0" applyFont="1" applyFill="1" applyBorder="1" applyAlignment="1">
      <alignment vertical="center"/>
    </xf>
    <xf numFmtId="0" fontId="12" fillId="7" borderId="47" xfId="0" applyFont="1" applyFill="1" applyBorder="1" applyAlignment="1">
      <alignment horizontal="center" vertical="center"/>
    </xf>
    <xf numFmtId="0" fontId="1" fillId="2" borderId="16" xfId="0" applyFont="1" applyFill="1" applyBorder="1" applyAlignment="1">
      <alignment vertical="center"/>
    </xf>
    <xf numFmtId="0" fontId="1" fillId="6" borderId="44" xfId="0" applyFont="1" applyFill="1" applyBorder="1" applyAlignment="1">
      <alignment horizontal="center" vertical="center"/>
    </xf>
    <xf numFmtId="0" fontId="1" fillId="2" borderId="44" xfId="0" applyFont="1" applyFill="1" applyBorder="1" applyAlignment="1">
      <alignment vertical="center"/>
    </xf>
    <xf numFmtId="0" fontId="12" fillId="7" borderId="47" xfId="0" applyFont="1" applyFill="1" applyBorder="1" applyAlignment="1">
      <alignment vertical="center"/>
    </xf>
    <xf numFmtId="0" fontId="1" fillId="0" borderId="51" xfId="0" applyFont="1" applyBorder="1" applyAlignment="1">
      <alignment vertical="center" wrapText="1"/>
    </xf>
    <xf numFmtId="0" fontId="1" fillId="2" borderId="57" xfId="0" applyFont="1" applyFill="1" applyBorder="1" applyAlignment="1">
      <alignment vertical="center"/>
    </xf>
    <xf numFmtId="0" fontId="2" fillId="2" borderId="40" xfId="0" applyFont="1" applyFill="1" applyBorder="1" applyAlignment="1">
      <alignment horizontal="left" vertical="center"/>
    </xf>
    <xf numFmtId="0" fontId="1" fillId="2" borderId="61" xfId="0" applyFont="1" applyFill="1" applyBorder="1" applyAlignment="1">
      <alignment horizontal="center" vertical="center"/>
    </xf>
    <xf numFmtId="0" fontId="1" fillId="2" borderId="38" xfId="0" applyFont="1" applyFill="1" applyBorder="1" applyAlignment="1">
      <alignment horizontal="left" vertical="center"/>
    </xf>
    <xf numFmtId="164" fontId="1" fillId="2" borderId="62" xfId="0" applyNumberFormat="1" applyFont="1" applyFill="1" applyBorder="1" applyAlignment="1">
      <alignment vertical="center"/>
    </xf>
    <xf numFmtId="0" fontId="2" fillId="2" borderId="63" xfId="0" applyFont="1" applyFill="1" applyBorder="1" applyAlignment="1">
      <alignment vertical="center"/>
    </xf>
    <xf numFmtId="0" fontId="1" fillId="2" borderId="51" xfId="0" applyFont="1" applyFill="1" applyBorder="1" applyAlignment="1">
      <alignment vertical="center" wrapText="1"/>
    </xf>
    <xf numFmtId="0" fontId="1" fillId="2" borderId="67" xfId="0" applyFont="1" applyFill="1" applyBorder="1" applyAlignment="1">
      <alignment horizontal="center" vertical="center"/>
    </xf>
    <xf numFmtId="0" fontId="2" fillId="2" borderId="68" xfId="0" applyFont="1" applyFill="1" applyBorder="1" applyAlignment="1">
      <alignment vertical="center"/>
    </xf>
    <xf numFmtId="0" fontId="2" fillId="2" borderId="69" xfId="0" applyFont="1" applyFill="1" applyBorder="1" applyAlignment="1">
      <alignment vertical="center"/>
    </xf>
    <xf numFmtId="164" fontId="1" fillId="2" borderId="47" xfId="0" applyNumberFormat="1" applyFont="1" applyFill="1" applyBorder="1" applyAlignment="1">
      <alignment vertical="center"/>
    </xf>
    <xf numFmtId="0" fontId="2" fillId="2" borderId="70" xfId="0" applyFont="1" applyFill="1" applyBorder="1" applyAlignment="1">
      <alignment horizontal="left" vertical="center"/>
    </xf>
    <xf numFmtId="0" fontId="1" fillId="6" borderId="71" xfId="0" applyFont="1" applyFill="1" applyBorder="1" applyAlignment="1">
      <alignment horizontal="center" vertical="center"/>
    </xf>
    <xf numFmtId="0" fontId="1" fillId="2" borderId="72" xfId="0" applyFont="1" applyFill="1" applyBorder="1" applyAlignment="1">
      <alignment horizontal="center" vertical="center"/>
    </xf>
    <xf numFmtId="0" fontId="0" fillId="2" borderId="1" xfId="0" applyFill="1" applyBorder="1"/>
    <xf numFmtId="164" fontId="1" fillId="2" borderId="71" xfId="0" applyNumberFormat="1" applyFont="1" applyFill="1" applyBorder="1" applyAlignment="1">
      <alignment horizontal="right" vertical="center"/>
    </xf>
    <xf numFmtId="0" fontId="19" fillId="2" borderId="73" xfId="0" applyFont="1" applyFill="1" applyBorder="1" applyAlignment="1">
      <alignment vertical="center"/>
    </xf>
    <xf numFmtId="0" fontId="22" fillId="0" borderId="76" xfId="0" applyFont="1" applyBorder="1" applyAlignment="1">
      <alignment horizontal="left" vertical="center"/>
    </xf>
    <xf numFmtId="0" fontId="12" fillId="6" borderId="47" xfId="0" applyFont="1" applyFill="1" applyBorder="1" applyAlignment="1">
      <alignment horizontal="center" vertical="center"/>
    </xf>
    <xf numFmtId="0" fontId="12" fillId="2" borderId="77" xfId="0" applyFont="1" applyFill="1" applyBorder="1" applyAlignment="1">
      <alignment horizontal="left" vertical="center"/>
    </xf>
    <xf numFmtId="2" fontId="1" fillId="2" borderId="47" xfId="0" applyNumberFormat="1" applyFont="1" applyFill="1" applyBorder="1" applyAlignment="1">
      <alignment horizontal="center" vertical="center"/>
    </xf>
    <xf numFmtId="0" fontId="11" fillId="2" borderId="80" xfId="0" applyFont="1" applyFill="1" applyBorder="1" applyAlignment="1">
      <alignment horizontal="center" vertical="center"/>
    </xf>
    <xf numFmtId="2" fontId="1" fillId="6" borderId="71" xfId="0" applyNumberFormat="1" applyFont="1" applyFill="1" applyBorder="1" applyAlignment="1">
      <alignment horizontal="center" vertical="center"/>
    </xf>
    <xf numFmtId="0" fontId="2" fillId="2" borderId="83" xfId="0" applyFont="1" applyFill="1" applyBorder="1" applyAlignment="1">
      <alignment vertical="center"/>
    </xf>
    <xf numFmtId="0" fontId="2" fillId="2" borderId="84" xfId="0" applyFont="1" applyFill="1" applyBorder="1" applyAlignment="1">
      <alignment vertical="center"/>
    </xf>
    <xf numFmtId="0" fontId="1" fillId="2" borderId="1" xfId="0" applyFont="1" applyFill="1" applyBorder="1" applyAlignment="1">
      <alignment horizontal="center" vertical="center"/>
    </xf>
    <xf numFmtId="164" fontId="1" fillId="2" borderId="47" xfId="0" applyNumberFormat="1" applyFont="1" applyFill="1" applyBorder="1" applyAlignment="1">
      <alignment horizontal="center" vertical="center" wrapText="1"/>
    </xf>
    <xf numFmtId="0" fontId="21" fillId="0" borderId="88" xfId="0" applyFont="1" applyBorder="1" applyAlignment="1">
      <alignment horizontal="left" vertical="center"/>
    </xf>
    <xf numFmtId="0" fontId="12" fillId="7" borderId="61" xfId="0" applyFont="1" applyFill="1" applyBorder="1" applyAlignment="1">
      <alignment horizontal="left" vertical="center" wrapText="1"/>
    </xf>
    <xf numFmtId="164" fontId="1" fillId="6" borderId="38" xfId="0" applyNumberFormat="1" applyFont="1" applyFill="1" applyBorder="1" applyAlignment="1">
      <alignment horizontal="center" vertical="center"/>
    </xf>
    <xf numFmtId="0" fontId="12" fillId="7" borderId="61" xfId="0" applyFont="1" applyFill="1" applyBorder="1" applyAlignment="1">
      <alignment horizontal="center" vertical="center"/>
    </xf>
    <xf numFmtId="0" fontId="1" fillId="2" borderId="38" xfId="0" applyFont="1" applyFill="1" applyBorder="1" applyAlignment="1">
      <alignment vertical="center" wrapText="1"/>
    </xf>
    <xf numFmtId="0" fontId="12" fillId="7" borderId="62" xfId="0" applyFont="1" applyFill="1" applyBorder="1" applyAlignment="1">
      <alignment horizontal="right" vertical="center"/>
    </xf>
    <xf numFmtId="0" fontId="2" fillId="2" borderId="33" xfId="0" applyFont="1" applyFill="1" applyBorder="1" applyAlignment="1">
      <alignment vertical="center"/>
    </xf>
    <xf numFmtId="0" fontId="12" fillId="7" borderId="62" xfId="0" applyFont="1" applyFill="1" applyBorder="1" applyAlignment="1">
      <alignment horizontal="left" vertical="center"/>
    </xf>
    <xf numFmtId="0" fontId="2" fillId="2" borderId="90" xfId="0" applyFont="1" applyFill="1" applyBorder="1" applyAlignment="1">
      <alignment vertical="center"/>
    </xf>
    <xf numFmtId="164" fontId="1" fillId="2" borderId="47" xfId="0" applyNumberFormat="1" applyFont="1" applyFill="1" applyBorder="1" applyAlignment="1">
      <alignment horizontal="center" vertical="center"/>
    </xf>
    <xf numFmtId="0" fontId="20" fillId="2" borderId="1" xfId="0" applyFont="1" applyFill="1" applyBorder="1" applyAlignment="1">
      <alignment vertical="center"/>
    </xf>
    <xf numFmtId="164" fontId="1" fillId="6" borderId="71" xfId="0" applyNumberFormat="1" applyFont="1" applyFill="1" applyBorder="1" applyAlignment="1">
      <alignment horizontal="center" vertical="center"/>
    </xf>
    <xf numFmtId="164" fontId="1" fillId="2" borderId="71" xfId="0" applyNumberFormat="1" applyFont="1" applyFill="1" applyBorder="1" applyAlignment="1">
      <alignment vertical="center"/>
    </xf>
    <xf numFmtId="165" fontId="2" fillId="2" borderId="46" xfId="0" applyNumberFormat="1" applyFont="1" applyFill="1" applyBorder="1" applyAlignment="1">
      <alignment vertical="center"/>
    </xf>
    <xf numFmtId="0" fontId="1" fillId="2" borderId="38" xfId="0" applyFont="1" applyFill="1" applyBorder="1"/>
    <xf numFmtId="0" fontId="2" fillId="2" borderId="94" xfId="0" applyFont="1" applyFill="1" applyBorder="1" applyAlignment="1">
      <alignment vertical="center"/>
    </xf>
    <xf numFmtId="164" fontId="1" fillId="6" borderId="47" xfId="0" applyNumberFormat="1" applyFont="1" applyFill="1" applyBorder="1" applyAlignment="1">
      <alignment horizontal="center" vertical="center"/>
    </xf>
    <xf numFmtId="0" fontId="2" fillId="2" borderId="94" xfId="0" applyFont="1" applyFill="1" applyBorder="1" applyAlignment="1">
      <alignment horizontal="left" vertical="center"/>
    </xf>
    <xf numFmtId="0" fontId="1" fillId="0" borderId="49" xfId="0" applyFont="1" applyBorder="1" applyAlignment="1">
      <alignment horizontal="left" vertical="center"/>
    </xf>
    <xf numFmtId="0" fontId="1" fillId="2" borderId="97" xfId="0" applyFont="1" applyFill="1" applyBorder="1" applyAlignment="1">
      <alignment vertical="center"/>
    </xf>
    <xf numFmtId="0" fontId="1" fillId="2" borderId="44" xfId="0" applyFont="1" applyFill="1" applyBorder="1" applyAlignment="1">
      <alignment vertical="center" wrapText="1"/>
    </xf>
    <xf numFmtId="0" fontId="1" fillId="2" borderId="99" xfId="0" applyFont="1" applyFill="1" applyBorder="1" applyAlignment="1">
      <alignment horizontal="center" vertical="center"/>
    </xf>
    <xf numFmtId="0" fontId="24" fillId="2" borderId="33" xfId="0" applyFont="1" applyFill="1" applyBorder="1" applyAlignment="1">
      <alignment vertical="center"/>
    </xf>
    <xf numFmtId="2" fontId="1" fillId="2" borderId="101" xfId="0" applyNumberFormat="1" applyFont="1" applyFill="1" applyBorder="1" applyAlignment="1">
      <alignment vertical="center"/>
    </xf>
    <xf numFmtId="0" fontId="12" fillId="2" borderId="51" xfId="0" applyFont="1" applyFill="1" applyBorder="1" applyAlignment="1">
      <alignment horizontal="left" vertical="center"/>
    </xf>
    <xf numFmtId="0" fontId="1" fillId="7" borderId="51" xfId="0" applyFont="1" applyFill="1" applyBorder="1" applyAlignment="1">
      <alignment vertical="center"/>
    </xf>
    <xf numFmtId="164" fontId="2" fillId="2" borderId="94" xfId="0" applyNumberFormat="1" applyFont="1" applyFill="1" applyBorder="1" applyAlignment="1">
      <alignment vertical="center"/>
    </xf>
    <xf numFmtId="0" fontId="1" fillId="7" borderId="67" xfId="0" applyFont="1" applyFill="1" applyBorder="1" applyAlignment="1">
      <alignment horizontal="center" vertical="center"/>
    </xf>
    <xf numFmtId="0" fontId="12" fillId="2" borderId="38" xfId="0" applyFont="1" applyFill="1" applyBorder="1" applyAlignment="1">
      <alignment horizontal="left" vertical="center"/>
    </xf>
    <xf numFmtId="164" fontId="1" fillId="7" borderId="47" xfId="0" applyNumberFormat="1" applyFont="1" applyFill="1" applyBorder="1" applyAlignment="1">
      <alignment vertical="center"/>
    </xf>
    <xf numFmtId="0" fontId="1" fillId="7" borderId="38" xfId="0" applyFont="1" applyFill="1" applyBorder="1" applyAlignment="1">
      <alignment vertical="center"/>
    </xf>
    <xf numFmtId="0" fontId="19" fillId="6" borderId="52" xfId="0" applyFont="1" applyFill="1" applyBorder="1" applyAlignment="1">
      <alignment vertical="center" wrapText="1"/>
    </xf>
    <xf numFmtId="0" fontId="2" fillId="2" borderId="33" xfId="0" applyFont="1" applyFill="1" applyBorder="1" applyAlignment="1">
      <alignment horizontal="right" vertical="center"/>
    </xf>
    <xf numFmtId="0" fontId="24" fillId="2" borderId="68" xfId="0" applyFont="1" applyFill="1" applyBorder="1" applyAlignment="1">
      <alignment vertical="center"/>
    </xf>
    <xf numFmtId="0" fontId="2" fillId="2" borderId="46" xfId="0" applyFont="1" applyFill="1" applyBorder="1" applyAlignment="1">
      <alignment horizontal="right" vertical="center"/>
    </xf>
    <xf numFmtId="0" fontId="2" fillId="2" borderId="72" xfId="0" applyFont="1" applyFill="1" applyBorder="1" applyAlignment="1">
      <alignment vertical="center"/>
    </xf>
    <xf numFmtId="0" fontId="1" fillId="2" borderId="71" xfId="0" applyFont="1" applyFill="1" applyBorder="1" applyAlignment="1">
      <alignment vertical="center"/>
    </xf>
    <xf numFmtId="0" fontId="12" fillId="2" borderId="1" xfId="0" applyFont="1" applyFill="1" applyBorder="1" applyAlignment="1">
      <alignment vertical="center"/>
    </xf>
    <xf numFmtId="0" fontId="11" fillId="2" borderId="73" xfId="0" applyFont="1" applyFill="1" applyBorder="1" applyAlignment="1">
      <alignment horizontal="center" vertical="center"/>
    </xf>
    <xf numFmtId="0" fontId="12" fillId="2" borderId="1" xfId="0" applyFont="1" applyFill="1" applyBorder="1" applyAlignment="1">
      <alignment horizontal="center" vertical="center"/>
    </xf>
    <xf numFmtId="0" fontId="2" fillId="2" borderId="106" xfId="0" applyFont="1" applyFill="1" applyBorder="1" applyAlignment="1">
      <alignment vertical="center"/>
    </xf>
    <xf numFmtId="0" fontId="12" fillId="2" borderId="107" xfId="0" applyFont="1" applyFill="1" applyBorder="1" applyAlignment="1">
      <alignment horizontal="left" vertical="center"/>
    </xf>
    <xf numFmtId="0" fontId="12" fillId="2" borderId="108" xfId="0" applyFont="1" applyFill="1" applyBorder="1" applyAlignment="1">
      <alignment horizontal="center" vertical="center"/>
    </xf>
    <xf numFmtId="0" fontId="12" fillId="2" borderId="109" xfId="0" applyFont="1" applyFill="1" applyBorder="1" applyAlignment="1">
      <alignment horizontal="right" vertical="center"/>
    </xf>
    <xf numFmtId="0" fontId="1" fillId="2" borderId="71" xfId="0" applyFont="1" applyFill="1" applyBorder="1" applyAlignment="1">
      <alignment horizontal="center" vertical="center"/>
    </xf>
    <xf numFmtId="164" fontId="2" fillId="2" borderId="38" xfId="0" applyNumberFormat="1" applyFont="1" applyFill="1" applyBorder="1" applyAlignment="1">
      <alignment vertical="center"/>
    </xf>
    <xf numFmtId="0" fontId="1" fillId="2" borderId="46" xfId="0" applyFont="1" applyFill="1" applyBorder="1" applyAlignment="1">
      <alignment vertical="center"/>
    </xf>
    <xf numFmtId="0" fontId="1" fillId="2" borderId="63" xfId="0" applyFont="1" applyFill="1" applyBorder="1" applyAlignment="1">
      <alignment vertical="center"/>
    </xf>
    <xf numFmtId="164" fontId="1" fillId="2" borderId="1" xfId="0" applyNumberFormat="1" applyFont="1" applyFill="1" applyBorder="1" applyAlignment="1">
      <alignment vertical="center"/>
    </xf>
    <xf numFmtId="0" fontId="1" fillId="2" borderId="1" xfId="0" applyFont="1" applyFill="1" applyBorder="1" applyAlignment="1">
      <alignment horizontal="left" vertical="center"/>
    </xf>
    <xf numFmtId="0" fontId="1" fillId="6" borderId="101" xfId="0" applyFont="1" applyFill="1" applyBorder="1" applyAlignment="1">
      <alignment horizontal="center" vertical="center"/>
    </xf>
    <xf numFmtId="0" fontId="1" fillId="2" borderId="47" xfId="0" applyFont="1" applyFill="1" applyBorder="1" applyAlignment="1">
      <alignment horizontal="center" vertical="center"/>
    </xf>
    <xf numFmtId="164" fontId="1" fillId="2" borderId="47" xfId="0" applyNumberFormat="1" applyFont="1" applyFill="1" applyBorder="1" applyAlignment="1">
      <alignment horizontal="right" vertical="center"/>
    </xf>
    <xf numFmtId="164" fontId="1" fillId="6" borderId="101" xfId="0" applyNumberFormat="1" applyFont="1" applyFill="1" applyBorder="1" applyAlignment="1">
      <alignment horizontal="center" vertical="center"/>
    </xf>
    <xf numFmtId="0" fontId="1" fillId="7" borderId="47" xfId="0" applyFont="1" applyFill="1" applyBorder="1" applyAlignment="1">
      <alignment horizontal="center" vertical="center"/>
    </xf>
    <xf numFmtId="0" fontId="1" fillId="7" borderId="38" xfId="0" applyFont="1" applyFill="1" applyBorder="1" applyAlignment="1">
      <alignment horizontal="left" vertical="center"/>
    </xf>
    <xf numFmtId="0" fontId="1" fillId="2" borderId="110" xfId="0" applyFont="1" applyFill="1" applyBorder="1" applyAlignment="1">
      <alignment vertical="center"/>
    </xf>
    <xf numFmtId="0" fontId="1" fillId="2" borderId="47" xfId="0" applyFont="1" applyFill="1" applyBorder="1" applyAlignment="1">
      <alignment vertical="center"/>
    </xf>
    <xf numFmtId="0" fontId="1" fillId="7" borderId="97" xfId="0" applyFont="1" applyFill="1" applyBorder="1" applyAlignment="1">
      <alignment vertical="center"/>
    </xf>
    <xf numFmtId="0" fontId="1" fillId="7" borderId="99" xfId="0" applyFont="1" applyFill="1" applyBorder="1" applyAlignment="1">
      <alignment horizontal="center" vertical="center"/>
    </xf>
    <xf numFmtId="0" fontId="12" fillId="2" borderId="47" xfId="0" applyFont="1" applyFill="1" applyBorder="1" applyAlignment="1">
      <alignment vertical="center"/>
    </xf>
    <xf numFmtId="164" fontId="1" fillId="7" borderId="101" xfId="0" applyNumberFormat="1" applyFont="1" applyFill="1" applyBorder="1" applyAlignment="1">
      <alignment vertical="center"/>
    </xf>
    <xf numFmtId="0" fontId="12" fillId="2" borderId="47" xfId="0" applyFont="1" applyFill="1" applyBorder="1" applyAlignment="1">
      <alignment horizontal="left" vertical="center"/>
    </xf>
    <xf numFmtId="0" fontId="19" fillId="6" borderId="111" xfId="0" applyFont="1" applyFill="1" applyBorder="1" applyAlignment="1">
      <alignment vertical="center" wrapText="1"/>
    </xf>
    <xf numFmtId="164" fontId="12" fillId="2" borderId="47" xfId="0" applyNumberFormat="1" applyFont="1" applyFill="1" applyBorder="1" applyAlignment="1">
      <alignment vertical="center"/>
    </xf>
    <xf numFmtId="0" fontId="20" fillId="2" borderId="52" xfId="0" applyFont="1" applyFill="1" applyBorder="1" applyAlignment="1">
      <alignment vertical="center" wrapText="1"/>
    </xf>
    <xf numFmtId="0" fontId="1" fillId="2" borderId="47" xfId="0" applyFont="1" applyFill="1" applyBorder="1" applyAlignment="1">
      <alignment horizontal="center" vertical="center" wrapText="1"/>
    </xf>
    <xf numFmtId="166" fontId="1" fillId="2" borderId="47" xfId="0" applyNumberFormat="1" applyFont="1" applyFill="1" applyBorder="1" applyAlignment="1">
      <alignment vertical="center"/>
    </xf>
    <xf numFmtId="0" fontId="0" fillId="2" borderId="47" xfId="0" applyFill="1" applyBorder="1" applyAlignment="1">
      <alignment vertical="center"/>
    </xf>
    <xf numFmtId="164" fontId="1" fillId="7" borderId="110" xfId="0" applyNumberFormat="1" applyFont="1" applyFill="1" applyBorder="1" applyAlignment="1">
      <alignment vertical="center"/>
    </xf>
    <xf numFmtId="0" fontId="12" fillId="2" borderId="47" xfId="0" applyFont="1" applyFill="1" applyBorder="1" applyAlignment="1">
      <alignment horizontal="center" vertical="center"/>
    </xf>
    <xf numFmtId="0" fontId="12" fillId="2" borderId="47" xfId="0" applyFont="1" applyFill="1" applyBorder="1" applyAlignment="1">
      <alignment horizontal="right" vertical="center"/>
    </xf>
    <xf numFmtId="0" fontId="12" fillId="2" borderId="115" xfId="0" applyFont="1" applyFill="1" applyBorder="1" applyAlignment="1">
      <alignment vertical="center"/>
    </xf>
    <xf numFmtId="0" fontId="12" fillId="2" borderId="116" xfId="0" applyFont="1" applyFill="1" applyBorder="1" applyAlignment="1">
      <alignment vertical="center"/>
    </xf>
    <xf numFmtId="0" fontId="12" fillId="2" borderId="38" xfId="0" applyFont="1" applyFill="1" applyBorder="1" applyAlignment="1">
      <alignment vertical="center"/>
    </xf>
    <xf numFmtId="0" fontId="12" fillId="2" borderId="52" xfId="0" applyFont="1" applyFill="1" applyBorder="1" applyAlignment="1">
      <alignment vertical="center"/>
    </xf>
    <xf numFmtId="164" fontId="12" fillId="2" borderId="47" xfId="0" applyNumberFormat="1" applyFont="1" applyFill="1" applyBorder="1" applyAlignment="1">
      <alignment horizontal="right" vertical="center"/>
    </xf>
    <xf numFmtId="0" fontId="1" fillId="2" borderId="52" xfId="0" applyFont="1" applyFill="1" applyBorder="1" applyAlignment="1">
      <alignment vertical="center"/>
    </xf>
    <xf numFmtId="0" fontId="19" fillId="2" borderId="51" xfId="0" applyFont="1" applyFill="1" applyBorder="1" applyAlignment="1">
      <alignment vertical="center"/>
    </xf>
    <xf numFmtId="0" fontId="19" fillId="2" borderId="47" xfId="0" applyFont="1" applyFill="1" applyBorder="1" applyAlignment="1">
      <alignment horizontal="center" vertical="center"/>
    </xf>
    <xf numFmtId="164" fontId="19" fillId="2" borderId="47" xfId="0" applyNumberFormat="1" applyFont="1" applyFill="1" applyBorder="1" applyAlignment="1">
      <alignment vertical="center"/>
    </xf>
    <xf numFmtId="0" fontId="19" fillId="2" borderId="38" xfId="0" applyFont="1" applyFill="1" applyBorder="1" applyAlignment="1">
      <alignment horizontal="left" vertical="center"/>
    </xf>
    <xf numFmtId="0" fontId="19" fillId="2" borderId="52" xfId="0" applyFont="1" applyFill="1" applyBorder="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19" fillId="2" borderId="38" xfId="0" applyFont="1" applyFill="1" applyBorder="1" applyAlignment="1">
      <alignment vertical="center"/>
    </xf>
    <xf numFmtId="0" fontId="19" fillId="2" borderId="52" xfId="0" applyFont="1" applyFill="1" applyBorder="1" applyAlignment="1">
      <alignment vertical="center"/>
    </xf>
    <xf numFmtId="0" fontId="19" fillId="2" borderId="52" xfId="0" applyFont="1" applyFill="1" applyBorder="1" applyAlignment="1">
      <alignment vertical="center" wrapText="1"/>
    </xf>
    <xf numFmtId="0" fontId="1" fillId="2" borderId="97" xfId="0" applyFont="1" applyFill="1" applyBorder="1" applyAlignment="1">
      <alignment vertical="center" wrapText="1"/>
    </xf>
    <xf numFmtId="0" fontId="1" fillId="2" borderId="101" xfId="0" applyFont="1" applyFill="1" applyBorder="1" applyAlignment="1">
      <alignment horizontal="center" vertical="center"/>
    </xf>
    <xf numFmtId="164" fontId="1" fillId="2" borderId="101" xfId="0" applyNumberFormat="1" applyFont="1" applyFill="1" applyBorder="1" applyAlignment="1">
      <alignment vertical="center"/>
    </xf>
    <xf numFmtId="0" fontId="1" fillId="2" borderId="121" xfId="0" applyFont="1" applyFill="1" applyBorder="1" applyAlignment="1">
      <alignment horizontal="left" vertical="center"/>
    </xf>
    <xf numFmtId="0" fontId="1" fillId="2" borderId="111" xfId="0" applyFont="1" applyFill="1" applyBorder="1" applyAlignment="1">
      <alignment horizontal="center" vertical="center"/>
    </xf>
    <xf numFmtId="0" fontId="1" fillId="2" borderId="40" xfId="0" applyFont="1" applyFill="1" applyBorder="1" applyAlignment="1">
      <alignment vertical="center"/>
    </xf>
    <xf numFmtId="0" fontId="15" fillId="2" borderId="52" xfId="0" applyFont="1" applyFill="1" applyBorder="1" applyAlignment="1">
      <alignment vertical="center"/>
    </xf>
    <xf numFmtId="0" fontId="19" fillId="2" borderId="122" xfId="0" applyFont="1" applyFill="1" applyBorder="1" applyAlignment="1">
      <alignment vertical="center"/>
    </xf>
    <xf numFmtId="0" fontId="19" fillId="2" borderId="123" xfId="0" applyFont="1" applyFill="1" applyBorder="1" applyAlignment="1">
      <alignment horizontal="center" vertical="center"/>
    </xf>
    <xf numFmtId="164" fontId="19" fillId="2" borderId="123" xfId="0" applyNumberFormat="1" applyFont="1" applyFill="1" applyBorder="1" applyAlignment="1">
      <alignment vertical="center"/>
    </xf>
    <xf numFmtId="0" fontId="26" fillId="2" borderId="62" xfId="0" applyFont="1" applyFill="1" applyBorder="1" applyAlignment="1">
      <alignment horizontal="center" vertical="center"/>
    </xf>
    <xf numFmtId="0" fontId="1" fillId="7" borderId="47" xfId="0" applyFont="1" applyFill="1" applyBorder="1" applyAlignment="1">
      <alignment vertical="center"/>
    </xf>
    <xf numFmtId="164" fontId="20" fillId="2" borderId="47" xfId="0" applyNumberFormat="1" applyFont="1" applyFill="1" applyBorder="1" applyAlignment="1">
      <alignment horizontal="right" vertical="center"/>
    </xf>
    <xf numFmtId="0" fontId="1" fillId="2" borderId="1" xfId="0" applyFont="1" applyFill="1" applyBorder="1"/>
    <xf numFmtId="0" fontId="1" fillId="7" borderId="16" xfId="0" applyFont="1" applyFill="1" applyBorder="1" applyAlignment="1">
      <alignment vertical="center"/>
    </xf>
    <xf numFmtId="0" fontId="1" fillId="7" borderId="71" xfId="0" applyFont="1" applyFill="1" applyBorder="1" applyAlignment="1">
      <alignment horizontal="center" vertical="center"/>
    </xf>
    <xf numFmtId="0" fontId="1" fillId="7" borderId="71" xfId="0" applyFont="1" applyFill="1" applyBorder="1" applyAlignment="1">
      <alignment horizontal="right" vertical="center"/>
    </xf>
    <xf numFmtId="0" fontId="1" fillId="7" borderId="44" xfId="0" applyFont="1" applyFill="1" applyBorder="1" applyAlignment="1">
      <alignment vertical="center"/>
    </xf>
    <xf numFmtId="0" fontId="19" fillId="6" borderId="63" xfId="0" applyFont="1" applyFill="1" applyBorder="1" applyAlignment="1">
      <alignment vertical="center" wrapText="1"/>
    </xf>
    <xf numFmtId="0" fontId="1" fillId="0" borderId="0" xfId="0" applyFont="1"/>
    <xf numFmtId="0" fontId="12" fillId="7" borderId="51" xfId="0" applyFont="1" applyFill="1" applyBorder="1" applyAlignment="1">
      <alignment horizontal="left" vertical="center" wrapText="1"/>
    </xf>
    <xf numFmtId="164" fontId="12" fillId="7" borderId="47" xfId="0" applyNumberFormat="1" applyFont="1" applyFill="1" applyBorder="1" applyAlignment="1">
      <alignment horizontal="right" vertical="center"/>
    </xf>
    <xf numFmtId="0" fontId="12" fillId="7" borderId="38" xfId="0" applyFont="1" applyFill="1" applyBorder="1" applyAlignment="1">
      <alignment horizontal="left" vertical="center"/>
    </xf>
    <xf numFmtId="0" fontId="22" fillId="6" borderId="52" xfId="0" applyFont="1" applyFill="1" applyBorder="1" applyAlignment="1">
      <alignment horizontal="left" vertical="center"/>
    </xf>
    <xf numFmtId="0" fontId="12" fillId="2" borderId="51" xfId="0" applyFont="1" applyFill="1" applyBorder="1" applyAlignment="1">
      <alignment horizontal="left" vertical="center" wrapText="1"/>
    </xf>
    <xf numFmtId="0" fontId="12" fillId="7" borderId="51" xfId="0" applyFont="1" applyFill="1" applyBorder="1" applyAlignment="1">
      <alignment horizontal="left" vertical="center"/>
    </xf>
    <xf numFmtId="0" fontId="22" fillId="2" borderId="16" xfId="0" applyFont="1" applyFill="1" applyBorder="1" applyAlignment="1">
      <alignment horizontal="left" vertical="center"/>
    </xf>
    <xf numFmtId="0" fontId="22" fillId="2" borderId="71" xfId="0" applyFont="1" applyFill="1" applyBorder="1" applyAlignment="1">
      <alignment horizontal="center" vertical="center"/>
    </xf>
    <xf numFmtId="164" fontId="22" fillId="2" borderId="71" xfId="0" applyNumberFormat="1" applyFont="1" applyFill="1" applyBorder="1" applyAlignment="1">
      <alignment horizontal="right" vertical="center"/>
    </xf>
    <xf numFmtId="0" fontId="1" fillId="2" borderId="51" xfId="0" applyFont="1" applyFill="1" applyBorder="1" applyAlignment="1">
      <alignment horizontal="left" vertical="center" wrapText="1"/>
    </xf>
    <xf numFmtId="164" fontId="1" fillId="2" borderId="47" xfId="0" applyNumberFormat="1" applyFont="1" applyFill="1" applyBorder="1" applyAlignment="1">
      <alignment horizontal="right" vertical="center" wrapText="1"/>
    </xf>
    <xf numFmtId="0" fontId="1" fillId="2" borderId="47" xfId="0" applyFont="1" applyFill="1" applyBorder="1"/>
    <xf numFmtId="167" fontId="1" fillId="2" borderId="47" xfId="0" applyNumberFormat="1" applyFont="1" applyFill="1" applyBorder="1"/>
    <xf numFmtId="0" fontId="19" fillId="2" borderId="51" xfId="0" applyFont="1" applyFill="1" applyBorder="1" applyAlignment="1">
      <alignment horizontal="left" vertical="center" wrapText="1"/>
    </xf>
    <xf numFmtId="0" fontId="1" fillId="2" borderId="1" xfId="0" applyFont="1" applyFill="1" applyBorder="1" applyAlignment="1">
      <alignment horizontal="center" wrapText="1"/>
    </xf>
    <xf numFmtId="2" fontId="1" fillId="2" borderId="1" xfId="0" applyNumberFormat="1" applyFont="1" applyFill="1" applyBorder="1"/>
    <xf numFmtId="0" fontId="1" fillId="2" borderId="16" xfId="0" applyFont="1" applyFill="1" applyBorder="1" applyAlignment="1">
      <alignment horizontal="left" vertical="center" wrapText="1"/>
    </xf>
    <xf numFmtId="167" fontId="1" fillId="2" borderId="1" xfId="0" applyNumberFormat="1" applyFont="1" applyFill="1" applyBorder="1"/>
    <xf numFmtId="164" fontId="1" fillId="2" borderId="1" xfId="0" applyNumberFormat="1" applyFont="1" applyFill="1" applyBorder="1" applyAlignment="1">
      <alignment horizontal="right" vertical="center" wrapText="1"/>
    </xf>
    <xf numFmtId="0" fontId="27" fillId="2" borderId="1" xfId="0" applyFont="1" applyFill="1" applyBorder="1" applyAlignment="1">
      <alignment horizontal="center" wrapText="1"/>
    </xf>
    <xf numFmtId="0" fontId="12" fillId="2" borderId="51" xfId="0" applyFont="1" applyFill="1" applyBorder="1" applyAlignment="1">
      <alignment vertical="center"/>
    </xf>
    <xf numFmtId="0" fontId="19" fillId="6" borderId="52" xfId="0" applyFont="1" applyFill="1" applyBorder="1" applyAlignment="1">
      <alignment horizontal="left" vertical="center"/>
    </xf>
    <xf numFmtId="0" fontId="1" fillId="2" borderId="1" xfId="0" applyFont="1" applyFill="1" applyBorder="1" applyAlignment="1">
      <alignment vertical="center" wrapText="1"/>
    </xf>
    <xf numFmtId="0" fontId="19" fillId="6" borderId="52" xfId="0" applyFont="1" applyFill="1" applyBorder="1" applyAlignment="1">
      <alignment vertical="center"/>
    </xf>
    <xf numFmtId="0" fontId="12" fillId="2" borderId="51" xfId="0" applyFont="1" applyFill="1" applyBorder="1" applyAlignment="1">
      <alignment vertical="center" wrapText="1"/>
    </xf>
    <xf numFmtId="167" fontId="1" fillId="2" borderId="47" xfId="0" applyNumberFormat="1" applyFont="1" applyFill="1" applyBorder="1" applyAlignment="1">
      <alignment vertical="center"/>
    </xf>
    <xf numFmtId="0" fontId="1" fillId="7" borderId="47" xfId="0" applyFont="1" applyFill="1" applyBorder="1" applyAlignment="1">
      <alignment horizontal="right" vertical="center"/>
    </xf>
    <xf numFmtId="0" fontId="0" fillId="7" borderId="38" xfId="0" applyFill="1" applyBorder="1" applyAlignment="1">
      <alignment vertical="center"/>
    </xf>
    <xf numFmtId="0" fontId="19" fillId="7" borderId="52" xfId="0" applyFont="1" applyFill="1" applyBorder="1" applyAlignment="1">
      <alignment vertical="center"/>
    </xf>
    <xf numFmtId="0" fontId="22" fillId="2" borderId="51" xfId="0" applyFont="1" applyFill="1" applyBorder="1" applyAlignment="1">
      <alignment vertical="center"/>
    </xf>
    <xf numFmtId="0" fontId="1" fillId="2" borderId="1" xfId="0" applyFont="1" applyFill="1" applyBorder="1" applyAlignment="1">
      <alignment horizontal="left"/>
    </xf>
    <xf numFmtId="0" fontId="1" fillId="7" borderId="97" xfId="0" applyFont="1" applyFill="1" applyBorder="1" applyAlignment="1">
      <alignment vertical="center" wrapText="1"/>
    </xf>
    <xf numFmtId="0" fontId="1" fillId="7" borderId="101" xfId="0" applyFont="1" applyFill="1" applyBorder="1" applyAlignment="1">
      <alignment vertical="center"/>
    </xf>
    <xf numFmtId="0" fontId="1" fillId="7" borderId="1" xfId="0" applyFont="1" applyFill="1" applyBorder="1" applyAlignment="1">
      <alignment vertical="center"/>
    </xf>
    <xf numFmtId="0" fontId="1" fillId="2" borderId="1" xfId="0" applyFont="1" applyFill="1" applyBorder="1" applyAlignment="1">
      <alignment horizontal="right"/>
    </xf>
    <xf numFmtId="0" fontId="1" fillId="2" borderId="52" xfId="0" applyFont="1" applyFill="1" applyBorder="1" applyAlignment="1">
      <alignment horizontal="left" vertical="center"/>
    </xf>
    <xf numFmtId="0" fontId="28" fillId="2" borderId="1" xfId="0" applyFont="1" applyFill="1" applyBorder="1" applyAlignment="1">
      <alignment vertical="center"/>
    </xf>
    <xf numFmtId="0" fontId="1" fillId="2" borderId="49" xfId="0" applyFont="1" applyFill="1" applyBorder="1" applyAlignment="1">
      <alignment horizontal="left" vertical="center"/>
    </xf>
    <xf numFmtId="0" fontId="4" fillId="0" borderId="53" xfId="0" applyFont="1" applyBorder="1"/>
    <xf numFmtId="0" fontId="12" fillId="2" borderId="49" xfId="0" applyFont="1" applyFill="1" applyBorder="1" applyAlignment="1">
      <alignment horizontal="left" vertical="center"/>
    </xf>
    <xf numFmtId="0" fontId="1" fillId="2" borderId="112" xfId="0" applyFont="1" applyFill="1" applyBorder="1" applyAlignment="1">
      <alignment horizontal="left" vertical="center"/>
    </xf>
    <xf numFmtId="0" fontId="4" fillId="0" borderId="113" xfId="0" applyFont="1" applyBorder="1"/>
    <xf numFmtId="0" fontId="4" fillId="0" borderId="88" xfId="0" applyFont="1" applyBorder="1"/>
    <xf numFmtId="0" fontId="4" fillId="0" borderId="114" xfId="0" applyFont="1" applyBorder="1"/>
    <xf numFmtId="0" fontId="1" fillId="2" borderId="41" xfId="0" applyFont="1" applyFill="1" applyBorder="1" applyAlignment="1">
      <alignment horizontal="left" vertical="center"/>
    </xf>
    <xf numFmtId="0" fontId="4" fillId="0" borderId="42" xfId="0" applyFont="1" applyBorder="1"/>
    <xf numFmtId="0" fontId="12" fillId="2" borderId="92" xfId="0" applyFont="1" applyFill="1" applyBorder="1" applyAlignment="1">
      <alignment horizontal="left" vertical="center"/>
    </xf>
    <xf numFmtId="0" fontId="4" fillId="0" borderId="60" xfId="0" applyFont="1" applyBorder="1"/>
    <xf numFmtId="0" fontId="1" fillId="2" borderId="92" xfId="0" applyFont="1" applyFill="1" applyBorder="1" applyAlignment="1">
      <alignment horizontal="left" vertical="center"/>
    </xf>
    <xf numFmtId="0" fontId="15" fillId="2" borderId="41" xfId="0" applyFont="1" applyFill="1" applyBorder="1" applyAlignment="1">
      <alignment horizontal="left" vertical="center" wrapText="1"/>
    </xf>
    <xf numFmtId="0" fontId="4" fillId="0" borderId="50" xfId="0" applyFont="1" applyBorder="1"/>
    <xf numFmtId="0" fontId="1" fillId="2" borderId="18" xfId="0" applyFont="1" applyFill="1" applyBorder="1" applyAlignment="1">
      <alignment horizontal="left" vertical="center"/>
    </xf>
    <xf numFmtId="0" fontId="4" fillId="0" borderId="20" xfId="0" applyFont="1" applyBorder="1"/>
    <xf numFmtId="0" fontId="4" fillId="0" borderId="22" xfId="0" applyFont="1" applyBorder="1"/>
    <xf numFmtId="0" fontId="20" fillId="2" borderId="2" xfId="0" applyFont="1" applyFill="1" applyBorder="1" applyAlignment="1">
      <alignment horizontal="center" vertical="center"/>
    </xf>
    <xf numFmtId="0" fontId="4" fillId="0" borderId="3" xfId="0" applyFont="1" applyBorder="1"/>
    <xf numFmtId="0" fontId="4" fillId="0" borderId="4" xfId="0" applyFont="1" applyBorder="1"/>
    <xf numFmtId="0" fontId="21" fillId="3" borderId="10" xfId="0" applyFont="1" applyFill="1" applyBorder="1" applyAlignment="1">
      <alignment horizontal="left" vertical="center"/>
    </xf>
    <xf numFmtId="0" fontId="4" fillId="0" borderId="12" xfId="0" applyFont="1" applyBorder="1"/>
    <xf numFmtId="0" fontId="4" fillId="0" borderId="14" xfId="0" applyFont="1" applyBorder="1"/>
    <xf numFmtId="0" fontId="15" fillId="2" borderId="66" xfId="0" applyFont="1" applyFill="1" applyBorder="1" applyAlignment="1">
      <alignment horizontal="left" vertical="center" wrapText="1"/>
    </xf>
    <xf numFmtId="0" fontId="4" fillId="0" borderId="65" xfId="0" applyFont="1" applyBorder="1"/>
    <xf numFmtId="0" fontId="15" fillId="2" borderId="48" xfId="0" applyFont="1" applyFill="1" applyBorder="1" applyAlignment="1">
      <alignment horizontal="left" vertical="center" wrapText="1"/>
    </xf>
    <xf numFmtId="0" fontId="15" fillId="2" borderId="2" xfId="0" applyFont="1" applyFill="1" applyBorder="1" applyAlignment="1">
      <alignment horizontal="center" vertical="center"/>
    </xf>
    <xf numFmtId="0" fontId="14" fillId="3" borderId="10" xfId="0" applyFont="1" applyFill="1" applyBorder="1" applyAlignment="1">
      <alignment horizontal="left" vertical="center"/>
    </xf>
    <xf numFmtId="0" fontId="1" fillId="2" borderId="58" xfId="0" applyFont="1" applyFill="1" applyBorder="1" applyAlignment="1">
      <alignment horizontal="left" vertical="center"/>
    </xf>
    <xf numFmtId="0" fontId="4" fillId="0" borderId="59" xfId="0" applyFont="1" applyBorder="1"/>
    <xf numFmtId="0" fontId="9" fillId="2" borderId="29" xfId="0" applyFont="1" applyFill="1" applyBorder="1" applyAlignment="1">
      <alignment horizontal="center" vertical="center"/>
    </xf>
    <xf numFmtId="0" fontId="4" fillId="0" borderId="31" xfId="0" applyFont="1" applyBorder="1"/>
    <xf numFmtId="0" fontId="4" fillId="0" borderId="32" xfId="0" applyFont="1" applyBorder="1"/>
    <xf numFmtId="0" fontId="12" fillId="2" borderId="23" xfId="0" applyFont="1" applyFill="1" applyBorder="1" applyAlignment="1">
      <alignment horizontal="center" vertical="center" wrapText="1"/>
    </xf>
    <xf numFmtId="0" fontId="4" fillId="0" borderId="25" xfId="0" applyFont="1" applyBorder="1"/>
    <xf numFmtId="0" fontId="4" fillId="0" borderId="27" xfId="0" applyFont="1" applyBorder="1"/>
    <xf numFmtId="0" fontId="14" fillId="3" borderId="5" xfId="0" applyFont="1" applyFill="1" applyBorder="1" applyAlignment="1">
      <alignment horizontal="left" vertical="center"/>
    </xf>
    <xf numFmtId="0" fontId="4" fillId="0" borderId="6" xfId="0" applyFont="1" applyBorder="1"/>
    <xf numFmtId="0" fontId="4" fillId="0" borderId="7" xfId="0" applyFont="1" applyBorder="1"/>
    <xf numFmtId="0" fontId="1" fillId="2" borderId="49" xfId="0" applyFont="1" applyFill="1" applyBorder="1" applyAlignment="1">
      <alignment horizontal="center" vertical="center"/>
    </xf>
    <xf numFmtId="0" fontId="8"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9" xfId="0" applyFont="1" applyBorder="1"/>
    <xf numFmtId="0" fontId="4" fillId="0" borderId="11" xfId="0" applyFont="1" applyBorder="1"/>
    <xf numFmtId="0" fontId="4" fillId="0" borderId="13" xfId="0" applyFont="1" applyBorder="1"/>
    <xf numFmtId="0" fontId="0" fillId="0" borderId="0" xfId="0"/>
    <xf numFmtId="0" fontId="4" fillId="0" borderId="15" xfId="0" applyFont="1" applyBorder="1"/>
    <xf numFmtId="0" fontId="4" fillId="0" borderId="17" xfId="0" applyFont="1" applyBorder="1"/>
    <xf numFmtId="0" fontId="4" fillId="0" borderId="19" xfId="0" applyFont="1" applyBorder="1"/>
    <xf numFmtId="0" fontId="4" fillId="0" borderId="21" xfId="0" applyFont="1" applyBorder="1"/>
    <xf numFmtId="0" fontId="15" fillId="2" borderId="41" xfId="0" applyFont="1" applyFill="1" applyBorder="1" applyAlignment="1">
      <alignment horizontal="left" vertical="center"/>
    </xf>
    <xf numFmtId="0" fontId="13" fillId="2"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7" fillId="2" borderId="5" xfId="0" applyFont="1" applyFill="1" applyBorder="1" applyAlignment="1">
      <alignment horizontal="left" vertical="center"/>
    </xf>
    <xf numFmtId="0" fontId="10" fillId="2" borderId="24" xfId="0" applyFont="1" applyFill="1" applyBorder="1" applyAlignment="1">
      <alignment horizontal="center" vertical="center"/>
    </xf>
    <xf numFmtId="0" fontId="4" fillId="0" borderId="26" xfId="0" applyFont="1" applyBorder="1"/>
    <xf numFmtId="0" fontId="13" fillId="3" borderId="35" xfId="0" applyFont="1" applyFill="1" applyBorder="1" applyAlignment="1">
      <alignment horizontal="center" vertical="center"/>
    </xf>
    <xf numFmtId="0" fontId="4" fillId="0" borderId="37" xfId="0" applyFont="1" applyBorder="1"/>
    <xf numFmtId="0" fontId="4" fillId="0" borderId="39" xfId="0" applyFont="1" applyBorder="1"/>
    <xf numFmtId="0" fontId="1" fillId="2" borderId="48"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4" fillId="3" borderId="23" xfId="0" applyFont="1" applyFill="1" applyBorder="1" applyAlignment="1">
      <alignment horizontal="center" vertical="center"/>
    </xf>
    <xf numFmtId="0" fontId="12" fillId="2" borderId="41" xfId="0" applyFont="1" applyFill="1" applyBorder="1" applyAlignment="1">
      <alignment horizontal="left" vertical="center" wrapText="1"/>
    </xf>
    <xf numFmtId="0" fontId="19" fillId="2" borderId="74" xfId="0" applyFont="1" applyFill="1" applyBorder="1" applyAlignment="1">
      <alignment horizontal="center" vertical="center"/>
    </xf>
    <xf numFmtId="0" fontId="4" fillId="0" borderId="75" xfId="0" applyFont="1" applyBorder="1"/>
    <xf numFmtId="0" fontId="21" fillId="3" borderId="85" xfId="0" applyFont="1" applyFill="1" applyBorder="1" applyAlignment="1">
      <alignment horizontal="left" vertical="center"/>
    </xf>
    <xf numFmtId="0" fontId="4" fillId="0" borderId="86" xfId="0" applyFont="1" applyBorder="1"/>
    <xf numFmtId="0" fontId="1" fillId="2" borderId="48" xfId="0" applyFont="1" applyFill="1" applyBorder="1" applyAlignment="1">
      <alignment horizontal="left" vertical="center"/>
    </xf>
    <xf numFmtId="0" fontId="1" fillId="2" borderId="58" xfId="0" applyFont="1" applyFill="1" applyBorder="1" applyAlignment="1">
      <alignment horizontal="left" vertical="center" wrapText="1"/>
    </xf>
    <xf numFmtId="0" fontId="15" fillId="2" borderId="48" xfId="0" applyFont="1" applyFill="1" applyBorder="1" applyAlignment="1">
      <alignment horizontal="center" vertical="center" wrapText="1"/>
    </xf>
    <xf numFmtId="0" fontId="12" fillId="2" borderId="41" xfId="0" applyFont="1" applyFill="1" applyBorder="1" applyAlignment="1">
      <alignment horizontal="left" vertical="center"/>
    </xf>
    <xf numFmtId="0" fontId="1" fillId="2" borderId="79" xfId="0" applyFont="1" applyFill="1" applyBorder="1" applyAlignment="1">
      <alignment horizontal="left" vertical="center" wrapText="1"/>
    </xf>
    <xf numFmtId="0" fontId="4" fillId="0" borderId="82" xfId="0" applyFont="1" applyBorder="1"/>
    <xf numFmtId="0" fontId="1" fillId="2" borderId="79" xfId="0" applyFont="1" applyFill="1" applyBorder="1" applyAlignment="1">
      <alignment horizontal="center" vertical="center"/>
    </xf>
    <xf numFmtId="0" fontId="0" fillId="2" borderId="79" xfId="0" applyFill="1" applyBorder="1" applyAlignment="1">
      <alignment horizontal="left" vertical="center"/>
    </xf>
    <xf numFmtId="0" fontId="1" fillId="6" borderId="79" xfId="0" applyFont="1" applyFill="1" applyBorder="1" applyAlignment="1">
      <alignment horizontal="center" vertical="center"/>
    </xf>
    <xf numFmtId="0" fontId="1" fillId="2" borderId="79" xfId="0" applyFont="1" applyFill="1" applyBorder="1" applyAlignment="1">
      <alignment horizontal="left" vertical="center"/>
    </xf>
    <xf numFmtId="0" fontId="21" fillId="3" borderId="49" xfId="0" applyFont="1" applyFill="1" applyBorder="1" applyAlignment="1">
      <alignment horizontal="left" vertical="center"/>
    </xf>
    <xf numFmtId="0" fontId="2" fillId="2" borderId="34" xfId="0" applyFont="1" applyFill="1" applyBorder="1" applyAlignment="1">
      <alignment horizontal="left" vertical="center"/>
    </xf>
    <xf numFmtId="0" fontId="2" fillId="2" borderId="48" xfId="0" applyFont="1" applyFill="1" applyBorder="1" applyAlignment="1">
      <alignment horizontal="left" vertical="center"/>
    </xf>
    <xf numFmtId="0" fontId="2" fillId="2" borderId="41" xfId="0" applyFont="1" applyFill="1" applyBorder="1" applyAlignment="1">
      <alignment horizontal="left" vertical="center"/>
    </xf>
    <xf numFmtId="0" fontId="2" fillId="5" borderId="23" xfId="0" applyFont="1" applyFill="1" applyBorder="1" applyAlignment="1">
      <alignment horizontal="center" vertical="center"/>
    </xf>
    <xf numFmtId="0" fontId="11" fillId="2" borderId="28" xfId="0" applyFont="1" applyFill="1" applyBorder="1" applyAlignment="1">
      <alignment horizontal="center" vertical="center"/>
    </xf>
    <xf numFmtId="0" fontId="4" fillId="0" borderId="36" xfId="0" applyFont="1" applyBorder="1"/>
    <xf numFmtId="0" fontId="4" fillId="0" borderId="43" xfId="0" applyFont="1" applyBorder="1"/>
    <xf numFmtId="164" fontId="2" fillId="2" borderId="34" xfId="0" applyNumberFormat="1" applyFont="1" applyFill="1" applyBorder="1" applyAlignment="1">
      <alignment horizontal="left" vertical="center"/>
    </xf>
    <xf numFmtId="0" fontId="8" fillId="4" borderId="10" xfId="0" applyFont="1" applyFill="1" applyBorder="1" applyAlignment="1">
      <alignment horizontal="center" vertical="center"/>
    </xf>
    <xf numFmtId="0" fontId="9" fillId="2" borderId="18" xfId="0" applyFont="1" applyFill="1" applyBorder="1" applyAlignment="1">
      <alignment horizontal="left" vertical="center"/>
    </xf>
    <xf numFmtId="0" fontId="25" fillId="2" borderId="102" xfId="0" applyFont="1" applyFill="1" applyBorder="1" applyAlignment="1">
      <alignment horizontal="center" vertical="center" wrapText="1"/>
    </xf>
    <xf numFmtId="0" fontId="4" fillId="0" borderId="103" xfId="0" applyFont="1" applyBorder="1"/>
    <xf numFmtId="0" fontId="2" fillId="2" borderId="34" xfId="0" applyFont="1" applyFill="1" applyBorder="1" applyAlignment="1">
      <alignment horizontal="center" vertical="center"/>
    </xf>
    <xf numFmtId="0" fontId="2" fillId="2" borderId="74" xfId="0" applyFont="1" applyFill="1" applyBorder="1" applyAlignment="1">
      <alignment horizontal="left" vertical="center"/>
    </xf>
    <xf numFmtId="0" fontId="2" fillId="2" borderId="48" xfId="0" applyFont="1" applyFill="1" applyBorder="1" applyAlignment="1">
      <alignment horizontal="center" vertical="center"/>
    </xf>
    <xf numFmtId="0" fontId="11" fillId="2" borderId="98" xfId="0" applyFont="1" applyFill="1" applyBorder="1" applyAlignment="1">
      <alignment horizontal="center" vertical="center"/>
    </xf>
    <xf numFmtId="0" fontId="4" fillId="0" borderId="100" xfId="0" applyFont="1" applyBorder="1"/>
    <xf numFmtId="0" fontId="1" fillId="2" borderId="64" xfId="0" applyFont="1" applyFill="1" applyBorder="1" applyAlignment="1">
      <alignment horizontal="left" vertical="center"/>
    </xf>
    <xf numFmtId="0" fontId="19" fillId="2" borderId="49" xfId="0" applyFont="1" applyFill="1" applyBorder="1" applyAlignment="1">
      <alignment horizontal="left" vertical="center"/>
    </xf>
    <xf numFmtId="0" fontId="1" fillId="2" borderId="117" xfId="0" applyFont="1" applyFill="1" applyBorder="1" applyAlignment="1">
      <alignment horizontal="left" vertical="center"/>
    </xf>
    <xf numFmtId="0" fontId="4" fillId="0" borderId="119" xfId="0" applyFont="1" applyBorder="1"/>
    <xf numFmtId="0" fontId="1" fillId="2" borderId="118" xfId="0" applyFont="1" applyFill="1" applyBorder="1" applyAlignment="1">
      <alignment horizontal="left" vertical="center" wrapText="1"/>
    </xf>
    <xf numFmtId="0" fontId="4" fillId="0" borderId="120" xfId="0" applyFont="1" applyBorder="1"/>
    <xf numFmtId="0" fontId="1" fillId="2" borderId="78" xfId="0" applyFont="1" applyFill="1" applyBorder="1" applyAlignment="1">
      <alignment horizontal="left" vertical="center"/>
    </xf>
    <xf numFmtId="0" fontId="4" fillId="0" borderId="81" xfId="0" applyFont="1" applyBorder="1"/>
    <xf numFmtId="0" fontId="12" fillId="7" borderId="78" xfId="0" applyFont="1" applyFill="1" applyBorder="1" applyAlignment="1">
      <alignment horizontal="left" vertical="center" wrapText="1"/>
    </xf>
    <xf numFmtId="0" fontId="12" fillId="7" borderId="79" xfId="0" applyFont="1" applyFill="1" applyBorder="1" applyAlignment="1">
      <alignment horizontal="right" vertical="center"/>
    </xf>
    <xf numFmtId="0" fontId="12" fillId="7" borderId="79" xfId="0" applyFont="1" applyFill="1" applyBorder="1" applyAlignment="1">
      <alignment horizontal="center" vertical="center" wrapText="1"/>
    </xf>
    <xf numFmtId="0" fontId="12" fillId="7" borderId="79" xfId="0" applyFont="1" applyFill="1" applyBorder="1" applyAlignment="1">
      <alignment horizontal="left" vertical="center"/>
    </xf>
    <xf numFmtId="0" fontId="12" fillId="7" borderId="87" xfId="0" applyFont="1" applyFill="1" applyBorder="1" applyAlignment="1">
      <alignment horizontal="left" vertical="center" wrapText="1"/>
    </xf>
    <xf numFmtId="0" fontId="4" fillId="0" borderId="89" xfId="0" applyFont="1" applyBorder="1"/>
    <xf numFmtId="0" fontId="12" fillId="7" borderId="79" xfId="0" applyFont="1" applyFill="1" applyBorder="1" applyAlignment="1">
      <alignment horizontal="center" vertical="center"/>
    </xf>
    <xf numFmtId="0" fontId="23" fillId="3" borderId="10" xfId="0" applyFont="1" applyFill="1" applyBorder="1" applyAlignment="1">
      <alignment horizontal="left" vertical="center"/>
    </xf>
    <xf numFmtId="0" fontId="1" fillId="2" borderId="95" xfId="0" applyFont="1" applyFill="1" applyBorder="1" applyAlignment="1">
      <alignment horizontal="center" vertical="center"/>
    </xf>
    <xf numFmtId="0" fontId="4" fillId="0" borderId="96" xfId="0" applyFont="1" applyBorder="1"/>
    <xf numFmtId="0" fontId="1" fillId="2" borderId="34" xfId="0" applyFont="1" applyFill="1" applyBorder="1" applyAlignment="1">
      <alignment horizontal="center" vertical="center"/>
    </xf>
    <xf numFmtId="0" fontId="4" fillId="0" borderId="91" xfId="0" applyFont="1" applyBorder="1"/>
    <xf numFmtId="0" fontId="18" fillId="3" borderId="58" xfId="0" applyFont="1" applyFill="1" applyBorder="1" applyAlignment="1">
      <alignment horizontal="center" vertical="center"/>
    </xf>
    <xf numFmtId="0" fontId="4" fillId="0" borderId="93" xfId="0" applyFont="1" applyBorder="1"/>
    <xf numFmtId="0" fontId="1" fillId="2" borderId="104" xfId="0" applyFont="1" applyFill="1" applyBorder="1" applyAlignment="1">
      <alignment horizontal="center" vertical="center"/>
    </xf>
    <xf numFmtId="0" fontId="4" fillId="0" borderId="105" xfId="0" applyFont="1" applyBorder="1"/>
    <xf numFmtId="0" fontId="23" fillId="3" borderId="5" xfId="0" applyFont="1" applyFill="1" applyBorder="1" applyAlignment="1">
      <alignment horizontal="left" vertical="center"/>
    </xf>
    <xf numFmtId="0" fontId="1" fillId="2" borderId="58" xfId="0" applyFont="1" applyFill="1" applyBorder="1" applyAlignment="1">
      <alignment horizontal="center" vertical="center"/>
    </xf>
    <xf numFmtId="0" fontId="1" fillId="2" borderId="64" xfId="0" applyFont="1" applyFill="1" applyBorder="1" applyAlignment="1">
      <alignment horizontal="center" vertical="center"/>
    </xf>
    <xf numFmtId="0" fontId="19" fillId="6" borderId="118" xfId="0" applyFont="1" applyFill="1" applyBorder="1" applyAlignment="1">
      <alignment horizontal="left" vertical="center"/>
    </xf>
    <xf numFmtId="0" fontId="1" fillId="7" borderId="117" xfId="0" applyFont="1" applyFill="1" applyBorder="1" applyAlignment="1">
      <alignment horizontal="left" vertical="center"/>
    </xf>
    <xf numFmtId="0" fontId="1" fillId="7" borderId="79" xfId="0" applyFont="1" applyFill="1" applyBorder="1" applyAlignment="1">
      <alignment horizontal="center" vertical="center"/>
    </xf>
    <xf numFmtId="0" fontId="22" fillId="2" borderId="18" xfId="0" applyFont="1" applyFill="1" applyBorder="1" applyAlignment="1">
      <alignment horizontal="left" vertical="center"/>
    </xf>
    <xf numFmtId="164" fontId="1" fillId="2" borderId="79" xfId="0" applyNumberFormat="1" applyFont="1" applyFill="1" applyBorder="1" applyAlignment="1">
      <alignment horizontal="right" vertical="center"/>
    </xf>
    <xf numFmtId="0" fontId="1" fillId="7" borderId="78" xfId="0" applyFont="1" applyFill="1" applyBorder="1" applyAlignment="1">
      <alignment horizontal="left" vertical="center" wrapText="1"/>
    </xf>
    <xf numFmtId="164" fontId="1" fillId="7" borderId="79" xfId="0" applyNumberFormat="1" applyFont="1" applyFill="1" applyBorder="1" applyAlignment="1">
      <alignment horizontal="right" vertical="center"/>
    </xf>
    <xf numFmtId="0" fontId="16" fillId="3"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9" fillId="6" borderId="54" xfId="0" applyFont="1" applyFill="1" applyBorder="1" applyAlignment="1">
      <alignment horizontal="center" vertical="center" wrapText="1"/>
    </xf>
    <xf numFmtId="0" fontId="4" fillId="0" borderId="55" xfId="0" applyFont="1" applyBorder="1"/>
    <xf numFmtId="0" fontId="4" fillId="0" borderId="56" xfId="0" applyFont="1" applyBorder="1"/>
    <xf numFmtId="164" fontId="12" fillId="2" borderId="79" xfId="0" applyNumberFormat="1" applyFont="1" applyFill="1" applyBorder="1" applyAlignment="1">
      <alignment horizontal="right" vertical="center"/>
    </xf>
    <xf numFmtId="0" fontId="12" fillId="2" borderId="79" xfId="0" applyFont="1" applyFill="1" applyBorder="1" applyAlignment="1">
      <alignment horizontal="center" vertical="center"/>
    </xf>
    <xf numFmtId="0" fontId="12" fillId="2" borderId="118" xfId="0" applyFont="1" applyFill="1" applyBorder="1" applyAlignment="1">
      <alignment horizontal="left" vertical="center" wrapText="1"/>
    </xf>
    <xf numFmtId="0" fontId="12" fillId="2" borderId="117" xfId="0" applyFont="1" applyFill="1" applyBorder="1" applyAlignment="1">
      <alignment horizontal="left" vertical="center"/>
    </xf>
    <xf numFmtId="0" fontId="12" fillId="2" borderId="112" xfId="0" applyFont="1" applyFill="1" applyBorder="1" applyAlignment="1">
      <alignment horizontal="left" vertical="center"/>
    </xf>
    <xf numFmtId="0" fontId="4" fillId="0" borderId="125" xfId="0" applyFont="1" applyBorder="1"/>
    <xf numFmtId="0" fontId="4" fillId="0" borderId="126" xfId="0" applyFont="1" applyBorder="1"/>
    <xf numFmtId="0" fontId="12" fillId="2" borderId="78" xfId="0" applyFont="1" applyFill="1" applyBorder="1" applyAlignment="1">
      <alignment horizontal="left" vertical="center" wrapText="1"/>
    </xf>
    <xf numFmtId="0" fontId="23" fillId="3" borderId="10" xfId="0" applyFont="1" applyFill="1" applyBorder="1" applyAlignment="1">
      <alignment horizontal="left"/>
    </xf>
    <xf numFmtId="164" fontId="12" fillId="7" borderId="79" xfId="0" applyNumberFormat="1" applyFont="1" applyFill="1" applyBorder="1" applyAlignment="1">
      <alignment horizontal="right" vertical="center" wrapText="1"/>
    </xf>
    <xf numFmtId="0" fontId="1" fillId="2" borderId="78" xfId="0" applyFont="1" applyFill="1" applyBorder="1" applyAlignment="1">
      <alignment horizontal="left" vertical="center" wrapText="1"/>
    </xf>
    <xf numFmtId="0" fontId="20" fillId="2" borderId="49" xfId="0" applyFont="1" applyFill="1" applyBorder="1" applyAlignment="1">
      <alignment horizontal="center" vertical="center"/>
    </xf>
    <xf numFmtId="0" fontId="19" fillId="2" borderId="124" xfId="0" applyFont="1" applyFill="1" applyBorder="1" applyAlignment="1">
      <alignment horizontal="left" vertical="center"/>
    </xf>
    <xf numFmtId="0" fontId="19" fillId="6" borderId="49" xfId="0" applyFont="1" applyFill="1" applyBorder="1" applyAlignment="1">
      <alignment horizontal="center" vertical="center" wrapText="1"/>
    </xf>
    <xf numFmtId="0" fontId="26" fillId="2" borderId="49" xfId="0" applyFont="1" applyFill="1" applyBorder="1" applyAlignment="1">
      <alignment horizontal="left" vertical="center"/>
    </xf>
    <xf numFmtId="0" fontId="18" fillId="3" borderId="10" xfId="0" applyFont="1" applyFill="1" applyBorder="1" applyAlignment="1">
      <alignment horizontal="center" vertical="center"/>
    </xf>
    <xf numFmtId="0" fontId="12" fillId="7" borderId="49" xfId="0" applyFont="1" applyFill="1" applyBorder="1" applyAlignment="1">
      <alignment horizontal="center" vertical="center"/>
    </xf>
    <xf numFmtId="0" fontId="19" fillId="2" borderId="112" xfId="0" applyFont="1" applyFill="1" applyBorder="1" applyAlignment="1">
      <alignment horizontal="center" vertical="center" wrapText="1"/>
    </xf>
    <xf numFmtId="0" fontId="4" fillId="0" borderId="127" xfId="0" applyFont="1" applyBorder="1"/>
    <xf numFmtId="0" fontId="4" fillId="0" borderId="128" xfId="0" applyFont="1" applyBorder="1"/>
    <xf numFmtId="0" fontId="22" fillId="2" borderId="78" xfId="0" applyFont="1" applyFill="1" applyBorder="1" applyAlignment="1">
      <alignment horizontal="left" vertical="center"/>
    </xf>
    <xf numFmtId="0" fontId="1" fillId="2" borderId="79" xfId="0" applyFont="1" applyFill="1" applyBorder="1" applyAlignment="1">
      <alignment horizontal="right" vertical="center"/>
    </xf>
    <xf numFmtId="0" fontId="1" fillId="7" borderId="79" xfId="0" applyFont="1" applyFill="1" applyBorder="1" applyAlignment="1">
      <alignment horizontal="right" vertical="center"/>
    </xf>
    <xf numFmtId="0" fontId="1" fillId="2" borderId="79" xfId="0" applyFont="1" applyFill="1" applyBorder="1" applyAlignment="1">
      <alignment vertical="center"/>
    </xf>
    <xf numFmtId="0" fontId="22" fillId="7" borderId="78" xfId="0" applyFont="1" applyFill="1" applyBorder="1" applyAlignment="1">
      <alignment horizontal="left" vertical="center" wrapText="1"/>
    </xf>
    <xf numFmtId="0" fontId="19" fillId="2" borderId="2" xfId="0" applyFont="1" applyFill="1" applyBorder="1" applyAlignment="1">
      <alignment horizontal="center"/>
    </xf>
    <xf numFmtId="0" fontId="1" fillId="2" borderId="2" xfId="0" applyFont="1" applyFill="1" applyBorder="1" applyAlignment="1">
      <alignment horizontal="center"/>
    </xf>
    <xf numFmtId="0" fontId="1" fillId="2" borderId="129" xfId="0" applyFont="1" applyFill="1" applyBorder="1" applyAlignment="1">
      <alignment horizontal="center" wrapText="1"/>
    </xf>
    <xf numFmtId="0" fontId="4" fillId="0" borderId="130" xfId="0" applyFont="1" applyBorder="1"/>
    <xf numFmtId="0" fontId="1" fillId="2" borderId="2" xfId="0" applyFont="1" applyFill="1" applyBorder="1" applyAlignment="1">
      <alignment horizontal="left"/>
    </xf>
    <xf numFmtId="0" fontId="25" fillId="2" borderId="7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pPr>
            <a:r>
              <a:t>Open Loop Gain, Phase Plot</a:t>
            </a:r>
          </a:p>
        </c:rich>
      </c:tx>
      <c:overlay val="0"/>
    </c:title>
    <c:autoTitleDeleted val="0"/>
    <c:plotArea>
      <c:layout/>
      <c:scatterChart>
        <c:scatterStyle val="lineMarker"/>
        <c:varyColors val="0"/>
        <c:ser>
          <c:idx val="0"/>
          <c:order val="0"/>
          <c:spPr>
            <a:ln w="47625">
              <a:noFill/>
            </a:ln>
          </c:spPr>
          <c:marker>
            <c:symbol val="circle"/>
            <c:size val="7"/>
            <c:spPr>
              <a:solidFill>
                <a:srgbClr val="4F81BD"/>
              </a:solidFill>
              <a:ln cmpd="sng">
                <a:solidFill>
                  <a:srgbClr val="4F81BD"/>
                </a:solidFill>
              </a:ln>
            </c:spPr>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LIST'!$K$79:$K$109</c:f>
              <c:numCache>
                <c:formatCode>General</c:formatCode>
                <c:ptCount val="31"/>
                <c:pt idx="0">
                  <c:v>55.661791436392917</c:v>
                </c:pt>
                <c:pt idx="1">
                  <c:v>55.269180366260677</c:v>
                </c:pt>
                <c:pt idx="2">
                  <c:v>54.711591517179073</c:v>
                </c:pt>
                <c:pt idx="3">
                  <c:v>53.952579629883218</c:v>
                </c:pt>
                <c:pt idx="4">
                  <c:v>52.969072586627647</c:v>
                </c:pt>
                <c:pt idx="5">
                  <c:v>51.759344923375075</c:v>
                </c:pt>
                <c:pt idx="6">
                  <c:v>50.343639211682259</c:v>
                </c:pt>
                <c:pt idx="7">
                  <c:v>48.756984295766443</c:v>
                </c:pt>
                <c:pt idx="8">
                  <c:v>47.038985507584322</c:v>
                </c:pt>
                <c:pt idx="9">
                  <c:v>45.225805588522476</c:v>
                </c:pt>
                <c:pt idx="10">
                  <c:v>43.346294762888888</c:v>
                </c:pt>
                <c:pt idx="11">
                  <c:v>41.421397636259414</c:v>
                </c:pt>
                <c:pt idx="12">
                  <c:v>39.46517421077948</c:v>
                </c:pt>
                <c:pt idx="13">
                  <c:v>37.486194390285455</c:v>
                </c:pt>
                <c:pt idx="14">
                  <c:v>35.488674156052319</c:v>
                </c:pt>
                <c:pt idx="15">
                  <c:v>33.473115253042508</c:v>
                </c:pt>
                <c:pt idx="16">
                  <c:v>31.436384891115861</c:v>
                </c:pt>
                <c:pt idx="17">
                  <c:v>29.371230556570222</c:v>
                </c:pt>
                <c:pt idx="18">
                  <c:v>27.265269917375484</c:v>
                </c:pt>
                <c:pt idx="19">
                  <c:v>25.099626858579398</c:v>
                </c:pt>
                <c:pt idx="20">
                  <c:v>22.847708917301613</c:v>
                </c:pt>
                <c:pt idx="21">
                  <c:v>20.475186175168076</c:v>
                </c:pt>
                <c:pt idx="22">
                  <c:v>17.942784021131452</c:v>
                </c:pt>
                <c:pt idx="23">
                  <c:v>15.213177876912304</c:v>
                </c:pt>
                <c:pt idx="24">
                  <c:v>12.261005842631093</c:v>
                </c:pt>
                <c:pt idx="25">
                  <c:v>9.0815078041528903</c:v>
                </c:pt>
                <c:pt idx="26">
                  <c:v>5.6923260129053999</c:v>
                </c:pt>
                <c:pt idx="27">
                  <c:v>2.1271958730299927</c:v>
                </c:pt>
                <c:pt idx="28">
                  <c:v>-1.5741825370788332</c:v>
                </c:pt>
                <c:pt idx="29">
                  <c:v>-5.3746231296567011</c:v>
                </c:pt>
                <c:pt idx="30">
                  <c:v>-9.2438228782448952</c:v>
                </c:pt>
              </c:numCache>
            </c:numRef>
          </c:yVal>
          <c:smooth val="1"/>
          <c:extLst>
            <c:ext xmlns:c16="http://schemas.microsoft.com/office/drawing/2014/chart" uri="{C3380CC4-5D6E-409C-BE32-E72D297353CC}">
              <c16:uniqueId val="{00000000-E923-42ED-8EE0-E5DE6C4B0CFB}"/>
            </c:ext>
          </c:extLst>
        </c:ser>
        <c:dLbls>
          <c:showLegendKey val="0"/>
          <c:showVal val="0"/>
          <c:showCatName val="0"/>
          <c:showSerName val="0"/>
          <c:showPercent val="0"/>
          <c:showBubbleSize val="0"/>
        </c:dLbls>
        <c:axId val="1997097870"/>
        <c:axId val="602113758"/>
      </c:scatterChart>
      <c:valAx>
        <c:axId val="1997097870"/>
        <c:scaling>
          <c:orientation val="minMax"/>
        </c:scaling>
        <c:delete val="0"/>
        <c:axPos val="b"/>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pPr>
            <a:endParaRPr lang="LID4096"/>
          </a:p>
        </c:txPr>
        <c:crossAx val="602113758"/>
        <c:crosses val="autoZero"/>
        <c:crossBetween val="midCat"/>
      </c:valAx>
      <c:valAx>
        <c:axId val="602113758"/>
        <c:scaling>
          <c:orientation val="minMax"/>
        </c:scaling>
        <c:delete val="0"/>
        <c:axPos val="l"/>
        <c:majorGridlines>
          <c:spPr>
            <a:ln>
              <a:solidFill>
                <a:srgbClr val="B7B7B7"/>
              </a:solidFill>
            </a:ln>
          </c:spPr>
        </c:majorGridlines>
        <c:minorGridlines>
          <c:spPr>
            <a:ln>
              <a:solidFill>
                <a:srgbClr val="CCCCCC"/>
              </a:solidFill>
            </a:ln>
          </c:spPr>
        </c:minorGridlines>
        <c:title>
          <c:tx>
            <c:rich>
              <a:bodyPr/>
              <a:lstStyle/>
              <a:p>
                <a:pPr lvl="0">
                  <a:defRPr b="1" i="0"/>
                </a:pPr>
                <a:r>
                  <a:t>Frequency (Hz)</a:t>
                </a:r>
              </a:p>
            </c:rich>
          </c:tx>
          <c:overlay val="0"/>
        </c:title>
        <c:numFmt formatCode="General" sourceLinked="1"/>
        <c:majorTickMark val="cross"/>
        <c:minorTickMark val="cross"/>
        <c:tickLblPos val="nextTo"/>
        <c:spPr>
          <a:ln w="47625">
            <a:noFill/>
          </a:ln>
        </c:spPr>
        <c:txPr>
          <a:bodyPr/>
          <a:lstStyle/>
          <a:p>
            <a:pPr lvl="0">
              <a:defRPr b="0"/>
            </a:pPr>
            <a:endParaRPr lang="LID4096"/>
          </a:p>
        </c:txPr>
        <c:crossAx val="1997097870"/>
        <c:crosses val="autoZero"/>
        <c:crossBetween val="midCat"/>
      </c:valAx>
      <c:spPr>
        <a:solidFill>
          <a:srgbClr val="FFFFFF"/>
        </a:solidFill>
      </c:spPr>
    </c:plotArea>
    <c:legend>
      <c:legendPos val="b"/>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8658225" cy="4914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252</xdr:row>
      <xdr:rowOff>180975</xdr:rowOff>
    </xdr:from>
    <xdr:ext cx="8801100" cy="4191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85" workbookViewId="0">
      <selection activeCell="C98" sqref="C98:C99"/>
    </sheetView>
  </sheetViews>
  <sheetFormatPr defaultColWidth="14.44140625" defaultRowHeight="15" customHeight="1"/>
  <cols>
    <col min="1" max="1" width="3.6640625" customWidth="1"/>
    <col min="2" max="2" width="59.6640625" customWidth="1"/>
    <col min="3" max="3" width="12.6640625" customWidth="1"/>
    <col min="4" max="4" width="12.33203125" customWidth="1"/>
    <col min="5" max="5" width="12.6640625" customWidth="1"/>
    <col min="6" max="6" width="37.109375" customWidth="1"/>
    <col min="7" max="7" width="36.88671875" customWidth="1"/>
    <col min="8" max="26" width="9.109375" customWidth="1"/>
  </cols>
  <sheetData>
    <row r="1" spans="1:26" ht="37.5" customHeight="1">
      <c r="A1" s="1"/>
      <c r="B1" s="256" t="s">
        <v>0</v>
      </c>
      <c r="C1" s="222"/>
      <c r="D1" s="222"/>
      <c r="E1" s="222"/>
      <c r="F1" s="223"/>
      <c r="G1" s="1"/>
      <c r="H1" s="1"/>
      <c r="I1" s="1"/>
      <c r="J1" s="1"/>
      <c r="K1" s="1"/>
      <c r="L1" s="1"/>
      <c r="M1" s="1"/>
      <c r="N1" s="1"/>
      <c r="O1" s="1"/>
      <c r="P1" s="1"/>
      <c r="Q1" s="1"/>
      <c r="R1" s="1"/>
      <c r="S1" s="1"/>
      <c r="T1" s="1"/>
      <c r="U1" s="1"/>
      <c r="V1" s="1"/>
      <c r="W1" s="1"/>
      <c r="X1" s="1"/>
      <c r="Y1" s="1"/>
      <c r="Z1" s="1"/>
    </row>
    <row r="2" spans="1:26" ht="17.25" customHeight="1">
      <c r="A2" s="1"/>
      <c r="B2" s="3" t="s">
        <v>1</v>
      </c>
      <c r="C2" s="4" t="s">
        <v>2</v>
      </c>
      <c r="D2" s="5"/>
      <c r="E2" s="6"/>
      <c r="F2" s="7"/>
      <c r="G2" s="1"/>
      <c r="H2" s="1"/>
      <c r="I2" s="1"/>
      <c r="J2" s="1"/>
      <c r="K2" s="1"/>
      <c r="L2" s="1"/>
      <c r="M2" s="1"/>
      <c r="N2" s="1"/>
      <c r="O2" s="1"/>
      <c r="P2" s="1"/>
      <c r="Q2" s="1"/>
      <c r="R2" s="1"/>
      <c r="S2" s="1"/>
      <c r="T2" s="1"/>
      <c r="U2" s="1"/>
      <c r="V2" s="1"/>
      <c r="W2" s="1"/>
      <c r="X2" s="1"/>
      <c r="Y2" s="1"/>
      <c r="Z2" s="1"/>
    </row>
    <row r="3" spans="1:26" ht="14.25" customHeight="1">
      <c r="A3" s="1"/>
      <c r="B3" s="257" t="s">
        <v>3</v>
      </c>
      <c r="C3" s="241"/>
      <c r="D3" s="241"/>
      <c r="E3" s="241"/>
      <c r="F3" s="242"/>
      <c r="G3" s="1"/>
      <c r="H3" s="1"/>
      <c r="I3" s="1"/>
      <c r="J3" s="1"/>
      <c r="K3" s="1"/>
      <c r="L3" s="1"/>
      <c r="M3" s="1"/>
      <c r="N3" s="1"/>
      <c r="O3" s="1"/>
      <c r="P3" s="1"/>
      <c r="Q3" s="1"/>
      <c r="R3" s="1"/>
      <c r="S3" s="1"/>
      <c r="T3" s="1"/>
      <c r="U3" s="1"/>
      <c r="V3" s="1"/>
      <c r="W3" s="1"/>
      <c r="X3" s="1"/>
      <c r="Y3" s="1"/>
      <c r="Z3" s="1"/>
    </row>
    <row r="4" spans="1:26" ht="15" customHeight="1">
      <c r="A4" s="1"/>
      <c r="B4" s="245" t="s">
        <v>4</v>
      </c>
      <c r="C4" s="246"/>
      <c r="D4" s="246"/>
      <c r="E4" s="246"/>
      <c r="F4" s="247"/>
      <c r="G4" s="1"/>
      <c r="H4" s="1"/>
      <c r="I4" s="1"/>
      <c r="J4" s="1"/>
      <c r="K4" s="1"/>
      <c r="L4" s="1"/>
      <c r="M4" s="1"/>
      <c r="N4" s="1"/>
      <c r="O4" s="1"/>
      <c r="P4" s="1"/>
      <c r="Q4" s="1"/>
      <c r="R4" s="1"/>
      <c r="S4" s="1"/>
      <c r="T4" s="1"/>
      <c r="U4" s="1"/>
      <c r="V4" s="1"/>
      <c r="W4" s="1"/>
      <c r="X4" s="1"/>
      <c r="Y4" s="1"/>
      <c r="Z4" s="1"/>
    </row>
    <row r="5" spans="1:26" ht="14.25" customHeight="1">
      <c r="A5" s="1"/>
      <c r="B5" s="248"/>
      <c r="C5" s="249"/>
      <c r="D5" s="249"/>
      <c r="E5" s="249"/>
      <c r="F5" s="250"/>
      <c r="G5" s="1"/>
      <c r="H5" s="1"/>
      <c r="I5" s="1"/>
      <c r="J5" s="1"/>
      <c r="K5" s="1"/>
      <c r="L5" s="1"/>
      <c r="M5" s="1"/>
      <c r="N5" s="1"/>
      <c r="O5" s="1"/>
      <c r="P5" s="1"/>
      <c r="Q5" s="1"/>
      <c r="R5" s="1"/>
      <c r="S5" s="1"/>
      <c r="T5" s="1"/>
      <c r="U5" s="1"/>
      <c r="V5" s="1"/>
      <c r="W5" s="1"/>
      <c r="X5" s="1"/>
      <c r="Y5" s="1"/>
      <c r="Z5" s="1"/>
    </row>
    <row r="6" spans="1:26" ht="14.25" customHeight="1">
      <c r="A6" s="1"/>
      <c r="B6" s="248"/>
      <c r="C6" s="249"/>
      <c r="D6" s="249"/>
      <c r="E6" s="249"/>
      <c r="F6" s="250"/>
      <c r="G6" s="1"/>
      <c r="H6" s="1"/>
      <c r="I6" s="1"/>
      <c r="J6" s="1"/>
      <c r="K6" s="1"/>
      <c r="L6" s="1"/>
      <c r="M6" s="1"/>
      <c r="N6" s="1"/>
      <c r="O6" s="1"/>
      <c r="P6" s="1"/>
      <c r="Q6" s="1"/>
      <c r="R6" s="1"/>
      <c r="S6" s="1"/>
      <c r="T6" s="1"/>
      <c r="U6" s="1"/>
      <c r="V6" s="1"/>
      <c r="W6" s="1"/>
      <c r="X6" s="1"/>
      <c r="Y6" s="1"/>
      <c r="Z6" s="1"/>
    </row>
    <row r="7" spans="1:26" ht="14.25" customHeight="1">
      <c r="A7" s="1"/>
      <c r="B7" s="251"/>
      <c r="C7" s="252"/>
      <c r="D7" s="252"/>
      <c r="E7" s="252"/>
      <c r="F7" s="253"/>
      <c r="G7" s="1"/>
      <c r="H7" s="1"/>
      <c r="I7" s="1"/>
      <c r="J7" s="1"/>
      <c r="K7" s="1"/>
      <c r="L7" s="1"/>
      <c r="M7" s="1"/>
      <c r="N7" s="1"/>
      <c r="O7" s="1"/>
      <c r="P7" s="1"/>
      <c r="Q7" s="1"/>
      <c r="R7" s="1"/>
      <c r="S7" s="1"/>
      <c r="T7" s="1"/>
      <c r="U7" s="1"/>
      <c r="V7" s="1"/>
      <c r="W7" s="1"/>
      <c r="X7" s="1"/>
      <c r="Y7" s="1"/>
      <c r="Z7" s="1"/>
    </row>
    <row r="8" spans="1:26" ht="45" customHeight="1">
      <c r="A8" s="1"/>
      <c r="B8" s="244" t="s">
        <v>8</v>
      </c>
      <c r="C8" s="241"/>
      <c r="D8" s="241"/>
      <c r="E8" s="241"/>
      <c r="F8" s="242"/>
      <c r="G8" s="1"/>
      <c r="H8" s="1"/>
      <c r="I8" s="1"/>
      <c r="J8" s="1"/>
      <c r="K8" s="1"/>
      <c r="L8" s="1"/>
      <c r="M8" s="1"/>
      <c r="N8" s="1"/>
      <c r="O8" s="1"/>
      <c r="P8" s="1"/>
      <c r="Q8" s="1"/>
      <c r="R8" s="1"/>
      <c r="S8" s="1"/>
      <c r="T8" s="1"/>
      <c r="U8" s="1"/>
      <c r="V8" s="1"/>
      <c r="W8" s="1"/>
      <c r="X8" s="1"/>
      <c r="Y8" s="1"/>
      <c r="Z8" s="1"/>
    </row>
    <row r="9" spans="1:26" ht="14.25" customHeight="1">
      <c r="A9" s="1"/>
      <c r="B9" s="258" t="s">
        <v>9</v>
      </c>
      <c r="C9" s="222"/>
      <c r="D9" s="222"/>
      <c r="E9" s="222"/>
      <c r="F9" s="259"/>
      <c r="G9" s="1"/>
      <c r="H9" s="1"/>
      <c r="I9" s="1"/>
      <c r="J9" s="1"/>
      <c r="K9" s="1"/>
      <c r="L9" s="1"/>
      <c r="M9" s="1"/>
      <c r="N9" s="1"/>
      <c r="O9" s="1"/>
      <c r="P9" s="1"/>
      <c r="Q9" s="1"/>
      <c r="R9" s="1"/>
      <c r="S9" s="1"/>
      <c r="T9" s="1"/>
      <c r="U9" s="1"/>
      <c r="V9" s="1"/>
      <c r="W9" s="1"/>
      <c r="X9" s="1"/>
      <c r="Y9" s="1"/>
      <c r="Z9" s="1"/>
    </row>
    <row r="10" spans="1:26" ht="15.75" customHeight="1">
      <c r="A10" s="1"/>
      <c r="B10" s="234" t="s">
        <v>11</v>
      </c>
      <c r="C10" s="235"/>
      <c r="D10" s="235"/>
      <c r="E10" s="235"/>
      <c r="F10" s="236"/>
      <c r="G10" s="1"/>
      <c r="H10" s="1"/>
      <c r="I10" s="1"/>
      <c r="J10" s="1"/>
      <c r="K10" s="1"/>
      <c r="L10" s="1"/>
      <c r="M10" s="1"/>
      <c r="N10" s="1"/>
      <c r="O10" s="1"/>
      <c r="P10" s="1"/>
      <c r="Q10" s="1"/>
      <c r="R10" s="1"/>
      <c r="S10" s="1"/>
      <c r="T10" s="1"/>
      <c r="U10" s="1"/>
      <c r="V10" s="1"/>
      <c r="W10" s="1"/>
      <c r="X10" s="1"/>
      <c r="Y10" s="1"/>
      <c r="Z10" s="1"/>
    </row>
    <row r="11" spans="1:26" ht="60" customHeight="1">
      <c r="A11" s="1"/>
      <c r="B11" s="237" t="s">
        <v>13</v>
      </c>
      <c r="C11" s="238"/>
      <c r="D11" s="238"/>
      <c r="E11" s="238"/>
      <c r="F11" s="239"/>
      <c r="G11" s="1"/>
      <c r="H11" s="1"/>
      <c r="I11" s="1"/>
      <c r="J11" s="1"/>
      <c r="K11" s="1"/>
      <c r="L11" s="1"/>
      <c r="M11" s="1"/>
      <c r="N11" s="1"/>
      <c r="O11" s="1"/>
      <c r="P11" s="1"/>
      <c r="Q11" s="1"/>
      <c r="R11" s="1"/>
      <c r="S11" s="1"/>
      <c r="T11" s="1"/>
      <c r="U11" s="1"/>
      <c r="V11" s="1"/>
      <c r="W11" s="1"/>
      <c r="X11" s="1"/>
      <c r="Y11" s="1"/>
      <c r="Z11" s="1"/>
    </row>
    <row r="12" spans="1:26" ht="15" customHeight="1">
      <c r="A12" s="1"/>
      <c r="B12" s="260" t="s">
        <v>14</v>
      </c>
      <c r="C12" s="261"/>
      <c r="D12" s="261"/>
      <c r="E12" s="261"/>
      <c r="F12" s="262"/>
      <c r="G12" s="1"/>
      <c r="H12" s="1"/>
      <c r="I12" s="1"/>
      <c r="J12" s="1"/>
      <c r="K12" s="1"/>
      <c r="L12" s="1"/>
      <c r="M12" s="1"/>
      <c r="N12" s="1"/>
      <c r="O12" s="1"/>
      <c r="P12" s="1"/>
      <c r="Q12" s="1"/>
      <c r="R12" s="1"/>
      <c r="S12" s="1"/>
      <c r="T12" s="1"/>
      <c r="U12" s="1"/>
      <c r="V12" s="1"/>
      <c r="W12" s="1"/>
      <c r="X12" s="1"/>
      <c r="Y12" s="1"/>
      <c r="Z12" s="1"/>
    </row>
    <row r="13" spans="1:26" ht="15.75" customHeight="1">
      <c r="A13" s="1"/>
      <c r="B13" s="251"/>
      <c r="C13" s="252"/>
      <c r="D13" s="252"/>
      <c r="E13" s="252"/>
      <c r="F13" s="253"/>
      <c r="G13" s="1"/>
      <c r="H13" s="1"/>
      <c r="I13" s="1"/>
      <c r="J13" s="1"/>
      <c r="K13" s="1"/>
      <c r="L13" s="1"/>
      <c r="M13" s="1"/>
      <c r="N13" s="1"/>
      <c r="O13" s="1"/>
      <c r="P13" s="1"/>
      <c r="Q13" s="1"/>
      <c r="R13" s="1"/>
      <c r="S13" s="1"/>
      <c r="T13" s="1"/>
      <c r="U13" s="1"/>
      <c r="V13" s="1"/>
      <c r="W13" s="1"/>
      <c r="X13" s="1"/>
      <c r="Y13" s="1"/>
      <c r="Z13" s="1"/>
    </row>
    <row r="14" spans="1:26" ht="15.75" customHeight="1">
      <c r="A14" s="1"/>
      <c r="B14" s="255"/>
      <c r="C14" s="222"/>
      <c r="D14" s="222"/>
      <c r="E14" s="222"/>
      <c r="F14" s="223"/>
      <c r="G14" s="1"/>
      <c r="H14" s="1"/>
      <c r="I14" s="1"/>
      <c r="J14" s="1"/>
      <c r="K14" s="1"/>
      <c r="L14" s="1"/>
      <c r="M14" s="1"/>
      <c r="N14" s="1"/>
      <c r="O14" s="1"/>
      <c r="P14" s="1"/>
      <c r="Q14" s="1"/>
      <c r="R14" s="1"/>
      <c r="S14" s="1"/>
      <c r="T14" s="1"/>
      <c r="U14" s="1"/>
      <c r="V14" s="1"/>
      <c r="W14" s="1"/>
      <c r="X14" s="1"/>
      <c r="Y14" s="1"/>
      <c r="Z14" s="1"/>
    </row>
    <row r="15" spans="1:26" ht="14.25" customHeight="1">
      <c r="A15" s="1"/>
      <c r="B15" s="240" t="s">
        <v>16</v>
      </c>
      <c r="C15" s="241"/>
      <c r="D15" s="241"/>
      <c r="E15" s="241"/>
      <c r="F15" s="242"/>
      <c r="G15" s="1"/>
      <c r="H15" s="1"/>
      <c r="I15" s="1"/>
      <c r="J15" s="1"/>
      <c r="K15" s="1"/>
      <c r="L15" s="1"/>
      <c r="M15" s="1"/>
      <c r="N15" s="1"/>
      <c r="O15" s="1"/>
      <c r="P15" s="1"/>
      <c r="Q15" s="1"/>
      <c r="R15" s="1"/>
      <c r="S15" s="1"/>
      <c r="T15" s="1"/>
      <c r="U15" s="1"/>
      <c r="V15" s="1"/>
      <c r="W15" s="1"/>
      <c r="X15" s="1"/>
      <c r="Y15" s="1"/>
      <c r="Z15" s="1"/>
    </row>
    <row r="16" spans="1:26" ht="14.25" customHeight="1">
      <c r="A16" s="1"/>
      <c r="B16" s="14" t="s">
        <v>18</v>
      </c>
      <c r="C16" s="16" t="s">
        <v>19</v>
      </c>
      <c r="D16" s="243" t="s">
        <v>20</v>
      </c>
      <c r="E16" s="217"/>
      <c r="F16" s="212"/>
      <c r="G16" s="1"/>
      <c r="H16" s="1"/>
      <c r="I16" s="1"/>
      <c r="J16" s="1"/>
      <c r="K16" s="1"/>
      <c r="L16" s="1"/>
      <c r="M16" s="1"/>
      <c r="N16" s="1"/>
      <c r="O16" s="1"/>
      <c r="P16" s="1"/>
      <c r="Q16" s="1"/>
      <c r="R16" s="1"/>
      <c r="S16" s="1"/>
      <c r="T16" s="1"/>
      <c r="U16" s="1"/>
      <c r="V16" s="1"/>
      <c r="W16" s="1"/>
      <c r="X16" s="1"/>
      <c r="Y16" s="1"/>
      <c r="Z16" s="1"/>
    </row>
    <row r="17" spans="1:26" ht="14.25" customHeight="1">
      <c r="A17" s="1"/>
      <c r="B17" s="18" t="s">
        <v>23</v>
      </c>
      <c r="C17" s="16">
        <v>180</v>
      </c>
      <c r="D17" s="204" t="str">
        <f>IF(Vin_type="AC","VAC","VDC")</f>
        <v>VAC</v>
      </c>
      <c r="E17" s="217"/>
      <c r="F17" s="212"/>
      <c r="G17" s="1"/>
      <c r="H17" s="1"/>
      <c r="I17" s="1"/>
      <c r="J17" s="1"/>
      <c r="K17" s="1"/>
      <c r="L17" s="1"/>
      <c r="M17" s="1"/>
      <c r="N17" s="1"/>
      <c r="O17" s="1"/>
      <c r="P17" s="1"/>
      <c r="Q17" s="1"/>
      <c r="R17" s="1"/>
      <c r="S17" s="1"/>
      <c r="T17" s="1"/>
      <c r="U17" s="1"/>
      <c r="V17" s="1"/>
      <c r="W17" s="1"/>
      <c r="X17" s="1"/>
      <c r="Y17" s="1"/>
      <c r="Z17" s="1"/>
    </row>
    <row r="18" spans="1:26" ht="18.75" customHeight="1">
      <c r="A18" s="1"/>
      <c r="B18" s="18" t="s">
        <v>28</v>
      </c>
      <c r="C18" s="16">
        <v>240</v>
      </c>
      <c r="D18" s="21" t="str">
        <f>IF(Vin_type="AC","VAC","VDC")</f>
        <v>VAC</v>
      </c>
      <c r="E18" s="254" t="str">
        <f>IF(C18&lt;C17,"VINPUTmax must be &gt;VINPUTmin","")</f>
        <v/>
      </c>
      <c r="F18" s="212"/>
      <c r="G18" s="1"/>
      <c r="H18" s="1"/>
      <c r="I18" s="1"/>
      <c r="J18" s="1"/>
      <c r="K18" s="1"/>
      <c r="L18" s="1"/>
      <c r="M18" s="1"/>
      <c r="N18" s="1"/>
      <c r="O18" s="1"/>
      <c r="P18" s="1"/>
      <c r="Q18" s="1"/>
      <c r="R18" s="1"/>
      <c r="S18" s="1"/>
      <c r="T18" s="1"/>
      <c r="U18" s="1"/>
      <c r="V18" s="1"/>
      <c r="W18" s="1"/>
      <c r="X18" s="1"/>
      <c r="Y18" s="1"/>
      <c r="Z18" s="1"/>
    </row>
    <row r="19" spans="1:26" ht="45" customHeight="1">
      <c r="A19" s="1"/>
      <c r="B19" s="18" t="s">
        <v>32</v>
      </c>
      <c r="C19" s="22">
        <v>230</v>
      </c>
      <c r="D19" s="21" t="str">
        <f>IF(Vin_type="AC","VAC","VDC")</f>
        <v>VAC</v>
      </c>
      <c r="E19" s="216" t="str">
        <f>IF(Vinput_nom&lt;Vinput_min,"Select a NOMINAL voltage greater than the minimum input voltage",IF(Vinput_nom&gt;Vinput_max,"Select a NOMINAL voltage less than the maximum input voltage.",""))</f>
        <v/>
      </c>
      <c r="F19" s="212"/>
      <c r="G19" s="1"/>
      <c r="H19" s="1"/>
      <c r="I19" s="1"/>
      <c r="J19" s="1"/>
      <c r="K19" s="1"/>
      <c r="L19" s="1"/>
      <c r="M19" s="1"/>
      <c r="N19" s="1"/>
      <c r="O19" s="1"/>
      <c r="P19" s="1"/>
      <c r="Q19" s="1"/>
      <c r="R19" s="1"/>
      <c r="S19" s="1"/>
      <c r="T19" s="1"/>
      <c r="U19" s="1"/>
      <c r="V19" s="1"/>
      <c r="W19" s="1"/>
      <c r="X19" s="1"/>
      <c r="Y19" s="1"/>
      <c r="Z19" s="1"/>
    </row>
    <row r="20" spans="1:26" ht="18.75" customHeight="1">
      <c r="A20" s="1"/>
      <c r="B20" s="18" t="s">
        <v>40</v>
      </c>
      <c r="C20" s="16">
        <v>50</v>
      </c>
      <c r="D20" s="21" t="s">
        <v>41</v>
      </c>
      <c r="E20" s="211" t="s">
        <v>42</v>
      </c>
      <c r="F20" s="212"/>
      <c r="G20" s="1"/>
      <c r="H20" s="1"/>
      <c r="I20" s="1"/>
      <c r="J20" s="1"/>
      <c r="K20" s="1"/>
      <c r="L20" s="1"/>
      <c r="M20" s="1"/>
      <c r="N20" s="1"/>
      <c r="O20" s="1"/>
      <c r="P20" s="1"/>
      <c r="Q20" s="1"/>
      <c r="R20" s="1"/>
      <c r="S20" s="1"/>
      <c r="T20" s="1"/>
      <c r="U20" s="1"/>
      <c r="V20" s="1"/>
      <c r="W20" s="1"/>
      <c r="X20" s="1"/>
      <c r="Y20" s="1"/>
      <c r="Z20" s="1"/>
    </row>
    <row r="21" spans="1:26" ht="60" customHeight="1">
      <c r="A21" s="1"/>
      <c r="B21" s="27" t="s">
        <v>44</v>
      </c>
      <c r="C21" s="28">
        <v>175</v>
      </c>
      <c r="D21" s="29" t="str">
        <f>IF(Vin_type="AC","VAC","VDC")</f>
        <v>VAC</v>
      </c>
      <c r="E21" s="229" t="str">
        <f>IF(Vinput_run&gt;Vinput_min,"Low-line start-up voltage must be less than or equal to the minimum input voltage","")</f>
        <v/>
      </c>
      <c r="F21" s="220"/>
      <c r="G21" s="1"/>
      <c r="H21" s="1"/>
      <c r="I21" s="1"/>
      <c r="J21" s="1"/>
      <c r="K21" s="1"/>
      <c r="L21" s="1"/>
      <c r="M21" s="1"/>
      <c r="N21" s="1"/>
      <c r="O21" s="1"/>
      <c r="P21" s="1"/>
      <c r="Q21" s="1"/>
      <c r="R21" s="1"/>
      <c r="S21" s="1"/>
      <c r="T21" s="1"/>
      <c r="U21" s="1"/>
      <c r="V21" s="1"/>
      <c r="W21" s="1"/>
      <c r="X21" s="1"/>
      <c r="Y21" s="1"/>
      <c r="Z21" s="1"/>
    </row>
    <row r="22" spans="1:26" ht="15.75" customHeight="1">
      <c r="A22" s="1"/>
      <c r="B22" s="230" t="str">
        <f>IF(Vinput_nom&lt;Vinput_min,"DO NOT CONTINUE UNTIL NOMINAL INPUT VOLTAGE IS INCREASED",IF(Vinput_nom&gt;Vinput_max,"DO NOT CONTINUE UNTIL NOMINAL INPUT VOLTAGE IS DECREASED",""))</f>
        <v/>
      </c>
      <c r="C22" s="222"/>
      <c r="D22" s="222"/>
      <c r="E22" s="222"/>
      <c r="F22" s="223"/>
      <c r="G22" s="1"/>
      <c r="H22" s="1"/>
      <c r="I22" s="1"/>
      <c r="J22" s="1"/>
      <c r="K22" s="1"/>
      <c r="L22" s="1"/>
      <c r="M22" s="1"/>
      <c r="N22" s="1"/>
      <c r="O22" s="1"/>
      <c r="P22" s="1"/>
      <c r="Q22" s="1"/>
      <c r="R22" s="1"/>
      <c r="S22" s="1"/>
      <c r="T22" s="1"/>
      <c r="U22" s="1"/>
      <c r="V22" s="1"/>
      <c r="W22" s="1"/>
      <c r="X22" s="1"/>
      <c r="Y22" s="1"/>
      <c r="Z22" s="1"/>
    </row>
    <row r="23" spans="1:26" ht="14.25" customHeight="1">
      <c r="A23" s="1"/>
      <c r="B23" s="231" t="s">
        <v>55</v>
      </c>
      <c r="C23" s="225"/>
      <c r="D23" s="225"/>
      <c r="E23" s="225"/>
      <c r="F23" s="226"/>
      <c r="G23" s="1"/>
      <c r="H23" s="1"/>
      <c r="I23" s="1"/>
      <c r="J23" s="1"/>
      <c r="K23" s="1"/>
      <c r="L23" s="1"/>
      <c r="M23" s="1"/>
      <c r="N23" s="1"/>
      <c r="O23" s="1"/>
      <c r="P23" s="1"/>
      <c r="Q23" s="1"/>
      <c r="R23" s="1"/>
      <c r="S23" s="1"/>
      <c r="T23" s="1"/>
      <c r="U23" s="1"/>
      <c r="V23" s="1"/>
      <c r="W23" s="1"/>
      <c r="X23" s="1"/>
      <c r="Y23" s="1"/>
      <c r="Z23" s="1"/>
    </row>
    <row r="24" spans="1:26" ht="14.25" customHeight="1">
      <c r="A24" s="1"/>
      <c r="B24" s="31" t="s">
        <v>61</v>
      </c>
      <c r="C24" s="16">
        <v>40</v>
      </c>
      <c r="D24" s="204" t="s">
        <v>63</v>
      </c>
      <c r="E24" s="217"/>
      <c r="F24" s="212"/>
      <c r="G24" s="1"/>
      <c r="H24" s="1"/>
      <c r="I24" s="1"/>
      <c r="J24" s="1"/>
      <c r="K24" s="1"/>
      <c r="L24" s="1"/>
      <c r="M24" s="1"/>
      <c r="N24" s="1"/>
      <c r="O24" s="1"/>
      <c r="P24" s="1"/>
      <c r="Q24" s="1"/>
      <c r="R24" s="1"/>
      <c r="S24" s="1"/>
      <c r="T24" s="1"/>
      <c r="U24" s="1"/>
      <c r="V24" s="1"/>
      <c r="W24" s="1"/>
      <c r="X24" s="1"/>
      <c r="Y24" s="1"/>
      <c r="Z24" s="1"/>
    </row>
    <row r="25" spans="1:26" ht="14.25" customHeight="1">
      <c r="A25" s="1"/>
      <c r="B25" s="31" t="s">
        <v>65</v>
      </c>
      <c r="C25" s="16">
        <v>1.2</v>
      </c>
      <c r="D25" s="232" t="s">
        <v>66</v>
      </c>
      <c r="E25" s="233"/>
      <c r="F25" s="214"/>
      <c r="G25" s="1"/>
      <c r="H25" s="1"/>
      <c r="I25" s="1"/>
      <c r="J25" s="1"/>
      <c r="K25" s="1"/>
      <c r="L25" s="1"/>
      <c r="M25" s="1"/>
      <c r="N25" s="1"/>
      <c r="O25" s="1"/>
      <c r="P25" s="1"/>
      <c r="Q25" s="1"/>
      <c r="R25" s="1"/>
      <c r="S25" s="1"/>
      <c r="T25" s="1"/>
      <c r="U25" s="1"/>
      <c r="V25" s="1"/>
      <c r="W25" s="1"/>
      <c r="X25" s="1"/>
      <c r="Y25" s="1"/>
      <c r="Z25" s="1"/>
    </row>
    <row r="26" spans="1:26" ht="36.75" customHeight="1">
      <c r="A26" s="1"/>
      <c r="B26" s="31" t="s">
        <v>70</v>
      </c>
      <c r="C26" s="16">
        <v>1.26</v>
      </c>
      <c r="D26" s="35" t="s">
        <v>66</v>
      </c>
      <c r="E26" s="216" t="str">
        <f>IF(Iocc_target&lt;1.05*Iout,"Recommend target to be a minimum of 5% higher than rated Iout","")</f>
        <v/>
      </c>
      <c r="F26" s="212"/>
      <c r="G26" s="1"/>
      <c r="H26" s="1"/>
      <c r="I26" s="1"/>
      <c r="J26" s="1"/>
      <c r="K26" s="1"/>
      <c r="L26" s="1"/>
      <c r="M26" s="1"/>
      <c r="N26" s="1"/>
      <c r="O26" s="1"/>
      <c r="P26" s="1"/>
      <c r="Q26" s="1"/>
      <c r="R26" s="1"/>
      <c r="S26" s="1"/>
      <c r="T26" s="1"/>
      <c r="U26" s="1"/>
      <c r="V26" s="1"/>
      <c r="W26" s="1"/>
      <c r="X26" s="1"/>
      <c r="Y26" s="1"/>
      <c r="Z26" s="1"/>
    </row>
    <row r="27" spans="1:26" ht="60" customHeight="1">
      <c r="A27" s="1"/>
      <c r="B27" s="38" t="s">
        <v>72</v>
      </c>
      <c r="C27" s="16">
        <v>38</v>
      </c>
      <c r="D27" s="21" t="s">
        <v>63</v>
      </c>
      <c r="E27" s="227" t="str">
        <f>IF(C27&gt;=Vout_cv,"Minimum output voltage in CC mode must be less than regulated output voltage","")</f>
        <v/>
      </c>
      <c r="F27" s="228"/>
      <c r="G27" s="1"/>
      <c r="H27" s="1"/>
      <c r="I27" s="1"/>
      <c r="J27" s="1"/>
      <c r="K27" s="1"/>
      <c r="L27" s="1"/>
      <c r="M27" s="1"/>
      <c r="N27" s="1"/>
      <c r="O27" s="1"/>
      <c r="P27" s="1"/>
      <c r="Q27" s="1"/>
      <c r="R27" s="1"/>
      <c r="S27" s="1"/>
      <c r="T27" s="1"/>
      <c r="U27" s="1"/>
      <c r="V27" s="1"/>
      <c r="W27" s="1"/>
      <c r="X27" s="1"/>
      <c r="Y27" s="1"/>
      <c r="Z27" s="1"/>
    </row>
    <row r="28" spans="1:26" ht="45" customHeight="1">
      <c r="A28" s="1"/>
      <c r="B28" s="38" t="s">
        <v>82</v>
      </c>
      <c r="C28" s="16">
        <v>0.05</v>
      </c>
      <c r="D28" s="204" t="s">
        <v>37</v>
      </c>
      <c r="E28" s="217"/>
      <c r="F28" s="212"/>
      <c r="G28" s="1"/>
      <c r="H28" s="1"/>
      <c r="I28" s="1"/>
      <c r="J28" s="1"/>
      <c r="K28" s="1"/>
      <c r="L28" s="1"/>
      <c r="M28" s="1"/>
      <c r="N28" s="1"/>
      <c r="O28" s="1"/>
      <c r="P28" s="1"/>
      <c r="Q28" s="1"/>
      <c r="R28" s="1"/>
      <c r="S28" s="1"/>
      <c r="T28" s="1"/>
      <c r="U28" s="1"/>
      <c r="V28" s="1"/>
      <c r="W28" s="1"/>
      <c r="X28" s="1"/>
      <c r="Y28" s="1"/>
      <c r="Z28" s="1"/>
    </row>
    <row r="29" spans="1:26" ht="18.75" customHeight="1">
      <c r="A29" s="1"/>
      <c r="B29" s="38" t="s">
        <v>83</v>
      </c>
      <c r="C29" s="16">
        <v>80</v>
      </c>
      <c r="D29" s="204" t="s">
        <v>84</v>
      </c>
      <c r="E29" s="217"/>
      <c r="F29" s="212"/>
      <c r="G29" s="1"/>
      <c r="H29" s="1"/>
      <c r="I29" s="1"/>
      <c r="J29" s="1"/>
      <c r="K29" s="1"/>
      <c r="L29" s="1"/>
      <c r="M29" s="1"/>
      <c r="N29" s="1"/>
      <c r="O29" s="1"/>
      <c r="P29" s="1"/>
      <c r="Q29" s="1"/>
      <c r="R29" s="1"/>
      <c r="S29" s="1"/>
      <c r="T29" s="1"/>
      <c r="U29" s="1"/>
      <c r="V29" s="1"/>
      <c r="W29" s="1"/>
      <c r="X29" s="1"/>
      <c r="Y29" s="1"/>
      <c r="Z29" s="1"/>
    </row>
    <row r="30" spans="1:26" ht="45" customHeight="1">
      <c r="A30" s="1"/>
      <c r="B30" s="38" t="s">
        <v>85</v>
      </c>
      <c r="C30" s="16">
        <v>90</v>
      </c>
      <c r="D30" s="21" t="s">
        <v>86</v>
      </c>
      <c r="E30" s="216" t="str">
        <f>IF(fmax_target&gt;100,"Desired switching frequency must be lower than 100 kHz",IF(fmax_target&lt;0.17,"Desired switching frequency must be higher than 170 Hz",""))</f>
        <v/>
      </c>
      <c r="F30" s="212"/>
      <c r="G30" s="1"/>
      <c r="H30" s="1"/>
      <c r="I30" s="1"/>
      <c r="J30" s="1"/>
      <c r="K30" s="1"/>
      <c r="L30" s="1"/>
      <c r="M30" s="1"/>
      <c r="N30" s="1"/>
      <c r="O30" s="1"/>
      <c r="P30" s="1"/>
      <c r="Q30" s="1"/>
      <c r="R30" s="1"/>
      <c r="S30" s="1"/>
      <c r="T30" s="1"/>
      <c r="U30" s="1"/>
      <c r="V30" s="1"/>
      <c r="W30" s="1"/>
      <c r="X30" s="1"/>
      <c r="Y30" s="1"/>
      <c r="Z30" s="1"/>
    </row>
    <row r="31" spans="1:26" ht="18.75" customHeight="1">
      <c r="A31" s="1"/>
      <c r="B31" s="18" t="s">
        <v>87</v>
      </c>
      <c r="C31" s="16">
        <v>40.799999999999997</v>
      </c>
      <c r="D31" s="21" t="s">
        <v>37</v>
      </c>
      <c r="E31" s="216" t="str">
        <f>IF(Vout_ovp&lt;=C24,"Vout_ovp must be &gt;Vout","")</f>
        <v/>
      </c>
      <c r="F31" s="212"/>
      <c r="G31" s="1"/>
      <c r="H31" s="1"/>
      <c r="I31" s="1"/>
      <c r="J31" s="1"/>
      <c r="K31" s="1"/>
      <c r="L31" s="1"/>
      <c r="M31" s="1"/>
      <c r="N31" s="1"/>
      <c r="O31" s="1"/>
      <c r="P31" s="1"/>
      <c r="Q31" s="1"/>
      <c r="R31" s="1"/>
      <c r="S31" s="1"/>
      <c r="T31" s="1"/>
      <c r="U31" s="1"/>
      <c r="V31" s="1"/>
      <c r="W31" s="1"/>
      <c r="X31" s="1"/>
      <c r="Y31" s="1"/>
      <c r="Z31" s="1"/>
    </row>
    <row r="32" spans="1:26" ht="18.75" customHeight="1">
      <c r="A32" s="1"/>
      <c r="B32" s="18" t="s">
        <v>91</v>
      </c>
      <c r="C32" s="16">
        <v>1.2</v>
      </c>
      <c r="D32" s="204" t="s">
        <v>66</v>
      </c>
      <c r="E32" s="217"/>
      <c r="F32" s="212"/>
      <c r="G32" s="1"/>
      <c r="H32" s="1"/>
      <c r="I32" s="1"/>
      <c r="J32" s="1"/>
      <c r="K32" s="1"/>
      <c r="L32" s="1"/>
      <c r="M32" s="1"/>
      <c r="N32" s="1"/>
      <c r="O32" s="1"/>
      <c r="P32" s="1"/>
      <c r="Q32" s="1"/>
      <c r="R32" s="1"/>
      <c r="S32" s="1"/>
      <c r="T32" s="1"/>
      <c r="U32" s="1"/>
      <c r="V32" s="1"/>
      <c r="W32" s="1"/>
      <c r="X32" s="1"/>
      <c r="Y32" s="1"/>
      <c r="Z32" s="1"/>
    </row>
    <row r="33" spans="1:26" ht="37.5" customHeight="1">
      <c r="A33" s="1"/>
      <c r="B33" s="38" t="s">
        <v>92</v>
      </c>
      <c r="C33" s="16">
        <v>20</v>
      </c>
      <c r="D33" s="204" t="s">
        <v>93</v>
      </c>
      <c r="E33" s="217"/>
      <c r="F33" s="212"/>
      <c r="G33" s="1"/>
      <c r="H33" s="1"/>
      <c r="I33" s="1"/>
      <c r="J33" s="1"/>
      <c r="K33" s="1"/>
      <c r="L33" s="1"/>
      <c r="M33" s="1"/>
      <c r="N33" s="1"/>
      <c r="O33" s="1"/>
      <c r="P33" s="1"/>
      <c r="Q33" s="1"/>
      <c r="R33" s="1"/>
      <c r="S33" s="1"/>
      <c r="T33" s="1"/>
      <c r="U33" s="1"/>
      <c r="V33" s="1"/>
      <c r="W33" s="1"/>
      <c r="X33" s="1"/>
      <c r="Y33" s="1"/>
      <c r="Z33" s="1"/>
    </row>
    <row r="34" spans="1:26" ht="18.75" customHeight="1">
      <c r="A34" s="1"/>
      <c r="B34" s="27" t="s">
        <v>94</v>
      </c>
      <c r="C34" s="44">
        <v>20</v>
      </c>
      <c r="D34" s="218" t="s">
        <v>98</v>
      </c>
      <c r="E34" s="219"/>
      <c r="F34" s="220"/>
      <c r="G34" s="1"/>
      <c r="H34" s="1"/>
      <c r="I34" s="1"/>
      <c r="J34" s="1"/>
      <c r="K34" s="1"/>
      <c r="L34" s="1"/>
      <c r="M34" s="1"/>
      <c r="N34" s="1"/>
      <c r="O34" s="1"/>
      <c r="P34" s="1"/>
      <c r="Q34" s="1"/>
      <c r="R34" s="1"/>
      <c r="S34" s="1"/>
      <c r="T34" s="1"/>
      <c r="U34" s="1"/>
      <c r="V34" s="1"/>
      <c r="W34" s="1"/>
      <c r="X34" s="1"/>
      <c r="Y34" s="1"/>
      <c r="Z34" s="1"/>
    </row>
    <row r="35" spans="1:26" ht="15" customHeight="1">
      <c r="A35" s="1"/>
      <c r="B35" s="221" t="str">
        <f>IF(fmax_target&gt;100,"DO NOT CONTINUE UNTIL DESIRED SWITCHING FREQUENCY VALUE IS DECREASED",IF(fmax_target&lt;0.17,"DO NOT CONTINUE UNTIL DESIRED SWITCHING FREQUENCY VALUE IS INCREASED",""))</f>
        <v/>
      </c>
      <c r="C35" s="222"/>
      <c r="D35" s="222"/>
      <c r="E35" s="222"/>
      <c r="F35" s="223"/>
      <c r="G35" s="1"/>
      <c r="H35" s="1"/>
      <c r="I35" s="1"/>
      <c r="J35" s="1"/>
      <c r="K35" s="1"/>
      <c r="L35" s="1"/>
      <c r="M35" s="1"/>
      <c r="N35" s="1"/>
      <c r="O35" s="1"/>
      <c r="P35" s="1"/>
      <c r="Q35" s="1"/>
      <c r="R35" s="1"/>
      <c r="S35" s="1"/>
      <c r="T35" s="1"/>
      <c r="U35" s="1"/>
      <c r="V35" s="1"/>
      <c r="W35" s="1"/>
      <c r="X35" s="1"/>
      <c r="Y35" s="1"/>
      <c r="Z35" s="1"/>
    </row>
    <row r="36" spans="1:26" ht="14.25" customHeight="1">
      <c r="A36" s="1"/>
      <c r="B36" s="265" t="s">
        <v>105</v>
      </c>
      <c r="C36" s="238"/>
      <c r="D36" s="238"/>
      <c r="E36" s="238"/>
      <c r="F36" s="239"/>
      <c r="G36" s="46"/>
      <c r="H36" s="1"/>
      <c r="I36" s="1"/>
      <c r="J36" s="1"/>
      <c r="K36" s="1"/>
      <c r="L36" s="1"/>
      <c r="M36" s="1"/>
      <c r="N36" s="1"/>
      <c r="O36" s="1"/>
      <c r="P36" s="1"/>
      <c r="Q36" s="1"/>
      <c r="R36" s="1"/>
      <c r="S36" s="1"/>
      <c r="T36" s="1"/>
      <c r="U36" s="1"/>
      <c r="V36" s="1"/>
      <c r="W36" s="1"/>
      <c r="X36" s="1"/>
      <c r="Y36" s="1"/>
      <c r="Z36" s="1"/>
    </row>
    <row r="37" spans="1:26" ht="15" customHeight="1">
      <c r="A37" s="1"/>
      <c r="B37" s="48" t="s">
        <v>107</v>
      </c>
      <c r="C37" s="267" t="s">
        <v>108</v>
      </c>
      <c r="D37" s="268"/>
      <c r="E37" s="267" t="s">
        <v>113</v>
      </c>
      <c r="F37" s="239"/>
      <c r="G37" s="46"/>
      <c r="H37" s="1"/>
      <c r="I37" s="1"/>
      <c r="J37" s="1"/>
      <c r="K37" s="1"/>
      <c r="L37" s="1"/>
      <c r="M37" s="1"/>
      <c r="N37" s="1"/>
      <c r="O37" s="1"/>
      <c r="P37" s="1"/>
      <c r="Q37" s="1"/>
      <c r="R37" s="1"/>
      <c r="S37" s="1"/>
      <c r="T37" s="1"/>
      <c r="U37" s="1"/>
      <c r="V37" s="1"/>
      <c r="W37" s="1"/>
      <c r="X37" s="1"/>
      <c r="Y37" s="1"/>
      <c r="Z37" s="1"/>
    </row>
    <row r="38" spans="1:26" ht="15" customHeight="1">
      <c r="A38" s="1"/>
      <c r="B38" s="224" t="s">
        <v>116</v>
      </c>
      <c r="C38" s="225"/>
      <c r="D38" s="225"/>
      <c r="E38" s="225"/>
      <c r="F38" s="226"/>
      <c r="G38" s="46"/>
      <c r="H38" s="1"/>
      <c r="I38" s="1"/>
      <c r="J38" s="1"/>
      <c r="K38" s="1"/>
      <c r="L38" s="1"/>
      <c r="M38" s="1"/>
      <c r="N38" s="1"/>
      <c r="O38" s="1"/>
      <c r="P38" s="1"/>
      <c r="Q38" s="1"/>
      <c r="R38" s="1"/>
      <c r="S38" s="1"/>
      <c r="T38" s="1"/>
      <c r="U38" s="1"/>
      <c r="V38" s="1"/>
      <c r="W38" s="1"/>
      <c r="X38" s="1"/>
      <c r="Y38" s="1"/>
      <c r="Z38" s="1"/>
    </row>
    <row r="39" spans="1:26" ht="49.5" customHeight="1">
      <c r="A39" s="1"/>
      <c r="B39" s="49" t="s">
        <v>121</v>
      </c>
      <c r="C39" s="50">
        <v>180</v>
      </c>
      <c r="D39" s="51" t="s">
        <v>37</v>
      </c>
      <c r="E39" s="266" t="s">
        <v>125</v>
      </c>
      <c r="F39" s="212"/>
      <c r="G39" s="46"/>
      <c r="H39" s="1"/>
      <c r="I39" s="1"/>
      <c r="J39" s="1"/>
      <c r="K39" s="1"/>
      <c r="L39" s="1"/>
      <c r="M39" s="1"/>
      <c r="N39" s="1"/>
      <c r="O39" s="1"/>
      <c r="P39" s="1"/>
      <c r="Q39" s="1"/>
      <c r="R39" s="1"/>
      <c r="S39" s="1"/>
      <c r="T39" s="1"/>
      <c r="U39" s="1"/>
      <c r="V39" s="1"/>
      <c r="W39" s="1"/>
      <c r="X39" s="1"/>
      <c r="Y39" s="1"/>
      <c r="Z39" s="1"/>
    </row>
    <row r="40" spans="1:26" ht="102" customHeight="1">
      <c r="A40" s="1"/>
      <c r="B40" s="18" t="s">
        <v>128</v>
      </c>
      <c r="C40" s="52">
        <f>Cbulk_rcmd</f>
        <v>27.450980392156854</v>
      </c>
      <c r="D40" s="21" t="s">
        <v>59</v>
      </c>
      <c r="E40" s="264" t="s">
        <v>129</v>
      </c>
      <c r="F40" s="212"/>
      <c r="G40" s="46"/>
      <c r="H40" s="1"/>
      <c r="I40" s="1"/>
      <c r="J40" s="1"/>
      <c r="K40" s="1"/>
      <c r="L40" s="1"/>
      <c r="M40" s="1"/>
      <c r="N40" s="1"/>
      <c r="O40" s="1"/>
      <c r="P40" s="1"/>
      <c r="Q40" s="1"/>
      <c r="R40" s="1"/>
      <c r="S40" s="1"/>
      <c r="T40" s="1"/>
      <c r="U40" s="1"/>
      <c r="V40" s="1"/>
      <c r="W40" s="1"/>
      <c r="X40" s="1"/>
      <c r="Y40" s="1"/>
      <c r="Z40" s="1"/>
    </row>
    <row r="41" spans="1:26" ht="30" customHeight="1">
      <c r="A41" s="1"/>
      <c r="B41" s="27" t="s">
        <v>132</v>
      </c>
      <c r="C41" s="54">
        <v>28</v>
      </c>
      <c r="D41" s="29" t="s">
        <v>59</v>
      </c>
      <c r="E41" s="263" t="s">
        <v>133</v>
      </c>
      <c r="F41" s="220"/>
      <c r="G41" s="46"/>
      <c r="H41" s="1"/>
      <c r="I41" s="1"/>
      <c r="J41" s="1"/>
      <c r="K41" s="1"/>
      <c r="L41" s="1"/>
      <c r="M41" s="1"/>
      <c r="N41" s="1"/>
      <c r="O41" s="1"/>
      <c r="P41" s="1"/>
      <c r="Q41" s="1"/>
      <c r="R41" s="1"/>
      <c r="S41" s="1"/>
      <c r="T41" s="1"/>
      <c r="U41" s="1"/>
      <c r="V41" s="1"/>
      <c r="W41" s="1"/>
      <c r="X41" s="1"/>
      <c r="Y41" s="1"/>
      <c r="Z41" s="1"/>
    </row>
    <row r="42" spans="1:26" ht="18.75" customHeight="1">
      <c r="A42" s="1"/>
      <c r="B42" s="224" t="s">
        <v>135</v>
      </c>
      <c r="C42" s="225"/>
      <c r="D42" s="225"/>
      <c r="E42" s="225"/>
      <c r="F42" s="226"/>
      <c r="G42" s="1"/>
      <c r="H42" s="1"/>
      <c r="I42" s="1"/>
      <c r="J42" s="1"/>
      <c r="K42" s="1"/>
      <c r="L42" s="1"/>
      <c r="M42" s="1"/>
      <c r="N42" s="1"/>
      <c r="O42" s="1"/>
      <c r="P42" s="1"/>
      <c r="Q42" s="1"/>
      <c r="R42" s="1"/>
      <c r="S42" s="1"/>
      <c r="T42" s="1"/>
      <c r="U42" s="1"/>
      <c r="V42" s="1"/>
      <c r="W42" s="1"/>
      <c r="X42" s="1"/>
      <c r="Y42" s="1"/>
      <c r="Z42" s="1"/>
    </row>
    <row r="43" spans="1:26" ht="30" customHeight="1">
      <c r="A43" s="1"/>
      <c r="B43" s="27" t="s">
        <v>137</v>
      </c>
      <c r="C43" s="44">
        <v>0.8</v>
      </c>
      <c r="D43" s="29" t="s">
        <v>37</v>
      </c>
      <c r="E43" s="263" t="s">
        <v>138</v>
      </c>
      <c r="F43" s="220"/>
      <c r="G43" s="1"/>
      <c r="H43" s="1"/>
      <c r="I43" s="1"/>
      <c r="J43" s="1"/>
      <c r="K43" s="1"/>
      <c r="L43" s="1"/>
      <c r="M43" s="1"/>
      <c r="N43" s="1"/>
      <c r="O43" s="1"/>
      <c r="P43" s="1"/>
      <c r="Q43" s="1"/>
      <c r="R43" s="1"/>
      <c r="S43" s="1"/>
      <c r="T43" s="1"/>
      <c r="U43" s="1"/>
      <c r="V43" s="1"/>
      <c r="W43" s="1"/>
      <c r="X43" s="1"/>
      <c r="Y43" s="1"/>
      <c r="Z43" s="1"/>
    </row>
    <row r="44" spans="1:26" ht="18.75" customHeight="1">
      <c r="A44" s="1"/>
      <c r="B44" s="224" t="s">
        <v>139</v>
      </c>
      <c r="C44" s="225"/>
      <c r="D44" s="225"/>
      <c r="E44" s="225"/>
      <c r="F44" s="226"/>
      <c r="G44" s="1"/>
      <c r="H44" s="1"/>
      <c r="I44" s="1"/>
      <c r="J44" s="1"/>
      <c r="K44" s="1"/>
      <c r="L44" s="1"/>
      <c r="M44" s="1"/>
      <c r="N44" s="1"/>
      <c r="O44" s="1"/>
      <c r="P44" s="1"/>
      <c r="Q44" s="1"/>
      <c r="R44" s="1"/>
      <c r="S44" s="1"/>
      <c r="T44" s="1"/>
      <c r="U44" s="1"/>
      <c r="V44" s="1"/>
      <c r="W44" s="1"/>
      <c r="X44" s="1"/>
      <c r="Y44" s="1"/>
      <c r="Z44" s="1"/>
    </row>
    <row r="45" spans="1:26" ht="30" customHeight="1">
      <c r="A45" s="1"/>
      <c r="B45" s="27" t="s">
        <v>140</v>
      </c>
      <c r="C45" s="44">
        <v>0</v>
      </c>
      <c r="D45" s="29" t="s">
        <v>141</v>
      </c>
      <c r="E45" s="263" t="s">
        <v>142</v>
      </c>
      <c r="F45" s="220"/>
      <c r="G45" s="1"/>
      <c r="H45" s="1"/>
      <c r="I45" s="1"/>
      <c r="J45" s="1"/>
      <c r="K45" s="1"/>
      <c r="L45" s="1"/>
      <c r="M45" s="1"/>
      <c r="N45" s="1"/>
      <c r="O45" s="1"/>
      <c r="P45" s="1"/>
      <c r="Q45" s="1"/>
      <c r="R45" s="1"/>
      <c r="S45" s="1"/>
      <c r="T45" s="1"/>
      <c r="U45" s="1"/>
      <c r="V45" s="1"/>
      <c r="W45" s="1"/>
      <c r="X45" s="1"/>
      <c r="Y45" s="1"/>
      <c r="Z45" s="1"/>
    </row>
    <row r="46" spans="1:26" ht="14.25" customHeight="1">
      <c r="A46" s="1"/>
      <c r="B46" s="1"/>
      <c r="C46" s="57"/>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269" t="s">
        <v>143</v>
      </c>
      <c r="C47" s="270"/>
      <c r="D47" s="270"/>
      <c r="E47" s="270"/>
      <c r="F47" s="228"/>
      <c r="G47" s="1"/>
      <c r="H47" s="1"/>
      <c r="I47" s="1"/>
      <c r="J47" s="1"/>
      <c r="K47" s="1"/>
      <c r="L47" s="1"/>
      <c r="M47" s="1"/>
      <c r="N47" s="1"/>
      <c r="O47" s="1"/>
      <c r="P47" s="1"/>
      <c r="Q47" s="1"/>
      <c r="R47" s="1"/>
      <c r="S47" s="1"/>
      <c r="T47" s="1"/>
      <c r="U47" s="1"/>
      <c r="V47" s="1"/>
      <c r="W47" s="1"/>
      <c r="X47" s="1"/>
      <c r="Y47" s="1"/>
      <c r="Z47" s="1"/>
    </row>
    <row r="48" spans="1:26" ht="18.75" customHeight="1">
      <c r="A48" s="1"/>
      <c r="B48" s="38" t="s">
        <v>153</v>
      </c>
      <c r="C48" s="58">
        <f>Nps_ideal</f>
        <v>5.0752197666189875</v>
      </c>
      <c r="D48" s="59"/>
      <c r="E48" s="211" t="s">
        <v>155</v>
      </c>
      <c r="F48" s="212"/>
      <c r="G48" s="1"/>
      <c r="H48" s="1"/>
      <c r="I48" s="1"/>
      <c r="J48" s="1"/>
      <c r="K48" s="1"/>
      <c r="L48" s="1"/>
      <c r="M48" s="1"/>
      <c r="N48" s="1"/>
      <c r="O48" s="1"/>
      <c r="P48" s="1"/>
      <c r="Q48" s="1"/>
      <c r="R48" s="1"/>
      <c r="S48" s="1"/>
      <c r="T48" s="1"/>
      <c r="U48" s="1"/>
      <c r="V48" s="1"/>
      <c r="W48" s="1"/>
      <c r="X48" s="1"/>
      <c r="Y48" s="1"/>
      <c r="Z48" s="1"/>
    </row>
    <row r="49" spans="1:26" ht="60" customHeight="1">
      <c r="A49" s="1"/>
      <c r="B49" s="38" t="s">
        <v>157</v>
      </c>
      <c r="C49" s="61">
        <v>5.0750000000000002</v>
      </c>
      <c r="D49" s="63" t="s">
        <v>160</v>
      </c>
      <c r="E49" s="216" t="str">
        <f>IF(C49&gt;1.01*Nps_ideal,"Using a higher Nps than ideal may result in better efficiency but may limit operation at low input voltage",IF(C49&lt;0.99*Nps_ideal,"Using a lower Nps than ideal may result in deeper DCM operation at max load and may result in lower efficiency"," "))</f>
        <v xml:space="preserve"> </v>
      </c>
      <c r="F49" s="212"/>
      <c r="G49" s="1"/>
      <c r="H49" s="1"/>
      <c r="I49" s="1"/>
      <c r="J49" s="1"/>
      <c r="K49" s="1"/>
      <c r="L49" s="1"/>
      <c r="M49" s="1"/>
      <c r="N49" s="1"/>
      <c r="O49" s="1"/>
      <c r="P49" s="1"/>
      <c r="Q49" s="1"/>
      <c r="R49" s="1"/>
      <c r="S49" s="1"/>
      <c r="T49" s="1"/>
      <c r="U49" s="1"/>
      <c r="V49" s="1"/>
      <c r="W49" s="1"/>
      <c r="X49" s="1"/>
      <c r="Y49" s="1"/>
      <c r="Z49" s="1"/>
    </row>
    <row r="50" spans="1:26" ht="14.25" customHeight="1">
      <c r="A50" s="1"/>
      <c r="B50" s="224" t="s">
        <v>162</v>
      </c>
      <c r="C50" s="225"/>
      <c r="D50" s="225"/>
      <c r="E50" s="225"/>
      <c r="F50" s="226"/>
      <c r="G50" s="1"/>
      <c r="H50" s="1"/>
      <c r="I50" s="1"/>
      <c r="J50" s="1"/>
      <c r="K50" s="1"/>
      <c r="L50" s="1"/>
      <c r="M50" s="1"/>
      <c r="N50" s="1"/>
      <c r="O50" s="1"/>
      <c r="P50" s="1"/>
      <c r="Q50" s="1"/>
      <c r="R50" s="1"/>
      <c r="S50" s="1"/>
      <c r="T50" s="1"/>
      <c r="U50" s="1"/>
      <c r="V50" s="1"/>
      <c r="W50" s="1"/>
      <c r="X50" s="1"/>
      <c r="Y50" s="1"/>
      <c r="Z50" s="1"/>
    </row>
    <row r="51" spans="1:26" ht="14.25" customHeight="1">
      <c r="A51" s="1"/>
      <c r="B51" s="18" t="s">
        <v>165</v>
      </c>
      <c r="C51" s="68">
        <f>Rcs_rcmd</f>
        <v>0.62006489796633679</v>
      </c>
      <c r="D51" s="21" t="s">
        <v>168</v>
      </c>
      <c r="E51" s="211" t="s">
        <v>169</v>
      </c>
      <c r="F51" s="212"/>
      <c r="G51" s="69"/>
      <c r="H51" s="1"/>
      <c r="I51" s="1"/>
      <c r="J51" s="1"/>
      <c r="K51" s="1"/>
      <c r="L51" s="1"/>
      <c r="M51" s="1"/>
      <c r="N51" s="1"/>
      <c r="O51" s="1"/>
      <c r="P51" s="1"/>
      <c r="Q51" s="1"/>
      <c r="R51" s="1"/>
      <c r="S51" s="1"/>
      <c r="T51" s="1"/>
      <c r="U51" s="1"/>
      <c r="V51" s="1"/>
      <c r="W51" s="1"/>
      <c r="X51" s="1"/>
      <c r="Y51" s="1"/>
      <c r="Z51" s="1"/>
    </row>
    <row r="52" spans="1:26" ht="14.25" customHeight="1">
      <c r="A52" s="1"/>
      <c r="B52" s="27" t="s">
        <v>173</v>
      </c>
      <c r="C52" s="70">
        <v>0.62</v>
      </c>
      <c r="D52" s="29" t="s">
        <v>168</v>
      </c>
      <c r="E52" s="271" t="s">
        <v>176</v>
      </c>
      <c r="F52" s="220"/>
      <c r="G52" s="69" t="str">
        <f>IF(Iocc&lt;Iocc_target,"Iocc will be less than target Iocc because Rcs is greater than recommended value","")</f>
        <v/>
      </c>
      <c r="H52" s="1"/>
      <c r="I52" s="1"/>
      <c r="J52" s="1"/>
      <c r="K52" s="1"/>
      <c r="L52" s="1"/>
      <c r="M52" s="1"/>
      <c r="N52" s="1"/>
      <c r="O52" s="1"/>
      <c r="P52" s="1"/>
      <c r="Q52" s="1"/>
      <c r="R52" s="1"/>
      <c r="S52" s="1"/>
      <c r="T52" s="1"/>
      <c r="U52" s="1"/>
      <c r="V52" s="1"/>
      <c r="W52" s="1"/>
      <c r="X52" s="1"/>
      <c r="Y52" s="1"/>
      <c r="Z52" s="1"/>
    </row>
    <row r="53" spans="1:26" ht="20.25" customHeight="1">
      <c r="A53" s="1"/>
      <c r="B53" s="269" t="s">
        <v>178</v>
      </c>
      <c r="C53" s="270"/>
      <c r="D53" s="270"/>
      <c r="E53" s="270"/>
      <c r="F53" s="228"/>
      <c r="G53" s="1"/>
      <c r="H53" s="1"/>
      <c r="I53" s="1"/>
      <c r="J53" s="1"/>
      <c r="K53" s="1"/>
      <c r="L53" s="1"/>
      <c r="M53" s="1"/>
      <c r="N53" s="1"/>
      <c r="O53" s="1"/>
      <c r="P53" s="1"/>
      <c r="Q53" s="1"/>
      <c r="R53" s="1"/>
      <c r="S53" s="1"/>
      <c r="T53" s="1"/>
      <c r="U53" s="1"/>
      <c r="V53" s="1"/>
      <c r="W53" s="1"/>
      <c r="X53" s="1"/>
      <c r="Y53" s="1"/>
      <c r="Z53" s="1"/>
    </row>
    <row r="54" spans="1:26" ht="18.75" customHeight="1">
      <c r="A54" s="1"/>
      <c r="B54" s="18" t="s">
        <v>179</v>
      </c>
      <c r="C54" s="68">
        <f>Lp_rcmd</f>
        <v>871.38948780604665</v>
      </c>
      <c r="D54" s="73" t="s">
        <v>180</v>
      </c>
      <c r="E54" s="215"/>
      <c r="F54" s="214"/>
      <c r="G54" s="69"/>
      <c r="H54" s="1"/>
      <c r="I54" s="1"/>
      <c r="J54" s="1"/>
      <c r="K54" s="1"/>
      <c r="L54" s="1"/>
      <c r="M54" s="1"/>
      <c r="N54" s="1"/>
      <c r="O54" s="1"/>
      <c r="P54" s="1"/>
      <c r="Q54" s="1"/>
      <c r="R54" s="1"/>
      <c r="S54" s="1"/>
      <c r="T54" s="1"/>
      <c r="U54" s="1"/>
      <c r="V54" s="1"/>
      <c r="W54" s="1"/>
      <c r="X54" s="1"/>
      <c r="Y54" s="1"/>
      <c r="Z54" s="1"/>
    </row>
    <row r="55" spans="1:26" ht="60" customHeight="1">
      <c r="A55" s="1"/>
      <c r="B55" s="18" t="s">
        <v>183</v>
      </c>
      <c r="C55" s="75">
        <v>900</v>
      </c>
      <c r="D55" s="77" t="s">
        <v>180</v>
      </c>
      <c r="E55" s="216" t="str">
        <f>IF(ton_min&lt;tonmin_limit,"Increase the Primary Inductance to meet minimum on-time, tCSLEB, requirement, otherwise OVP fault at high input voltage may result","")</f>
        <v/>
      </c>
      <c r="F55" s="212"/>
      <c r="G55" s="69" t="str">
        <f>IF(fmax&gt;100,"fmax &gt; 100kHz Design exceeds capability of part",IF(fmax&lt;32,"Design will operate only in the AM range, not all features may be available",""))</f>
        <v/>
      </c>
      <c r="H55" s="1"/>
      <c r="I55" s="1"/>
      <c r="J55" s="1"/>
      <c r="K55" s="1"/>
      <c r="L55" s="1"/>
      <c r="M55" s="1"/>
      <c r="N55" s="1"/>
      <c r="O55" s="1"/>
      <c r="P55" s="1"/>
      <c r="Q55" s="1"/>
      <c r="R55" s="1"/>
      <c r="S55" s="1"/>
      <c r="T55" s="1"/>
      <c r="U55" s="1"/>
      <c r="V55" s="1"/>
      <c r="W55" s="1"/>
      <c r="X55" s="1"/>
      <c r="Y55" s="1"/>
      <c r="Z55" s="1"/>
    </row>
    <row r="56" spans="1:26" ht="18.75" customHeight="1">
      <c r="A56" s="1"/>
      <c r="B56" s="18" t="s">
        <v>186</v>
      </c>
      <c r="C56" s="68">
        <f>Npa_rcmd</f>
        <v>21.059893048128341</v>
      </c>
      <c r="D56" s="272" t="s">
        <v>187</v>
      </c>
      <c r="E56" s="233"/>
      <c r="F56" s="214"/>
      <c r="G56" s="1"/>
      <c r="H56" s="1"/>
      <c r="I56" s="1"/>
      <c r="J56" s="1"/>
      <c r="K56" s="1"/>
      <c r="L56" s="1"/>
      <c r="M56" s="1"/>
      <c r="N56" s="1"/>
      <c r="O56" s="1"/>
      <c r="P56" s="1"/>
      <c r="Q56" s="1"/>
      <c r="R56" s="1"/>
      <c r="S56" s="1"/>
      <c r="T56" s="1"/>
      <c r="U56" s="1"/>
      <c r="V56" s="1"/>
      <c r="W56" s="1"/>
      <c r="X56" s="1"/>
      <c r="Y56" s="1"/>
      <c r="Z56" s="1"/>
    </row>
    <row r="57" spans="1:26" ht="60" customHeight="1">
      <c r="A57" s="1"/>
      <c r="B57" s="27" t="s">
        <v>191</v>
      </c>
      <c r="C57" s="70">
        <v>20</v>
      </c>
      <c r="D57" s="79" t="s">
        <v>192</v>
      </c>
      <c r="E57" s="273" t="str">
        <f>IF(VDD&gt;25,"VDD may exceed its ABS MAX rating due to the targetted minimum output voltage during constant current regulation, a zener clamp is needed on VDD.  This will impact efficiency",IF(VDD&lt;9,"Decrease Primary to Auxiliary Turns Ratio",""))</f>
        <v/>
      </c>
      <c r="F57" s="220"/>
      <c r="G57" s="1"/>
      <c r="H57" s="1"/>
      <c r="I57" s="1"/>
      <c r="J57" s="1"/>
      <c r="K57" s="1"/>
      <c r="L57" s="1"/>
      <c r="M57" s="1"/>
      <c r="N57" s="1"/>
      <c r="O57" s="1"/>
      <c r="P57" s="1"/>
      <c r="Q57" s="1"/>
      <c r="R57" s="1"/>
      <c r="S57" s="1"/>
      <c r="T57" s="1"/>
      <c r="U57" s="1"/>
      <c r="V57" s="1"/>
      <c r="W57" s="1"/>
      <c r="X57" s="1"/>
      <c r="Y57" s="1"/>
      <c r="Z57" s="1"/>
    </row>
    <row r="58" spans="1:26" ht="18.75" customHeight="1">
      <c r="A58" s="1"/>
      <c r="B58" s="224" t="s">
        <v>195</v>
      </c>
      <c r="C58" s="225"/>
      <c r="D58" s="225"/>
      <c r="E58" s="225"/>
      <c r="F58" s="226"/>
      <c r="G58" s="1"/>
      <c r="H58" s="1"/>
      <c r="I58" s="1"/>
      <c r="J58" s="1"/>
      <c r="K58" s="1"/>
      <c r="L58" s="1"/>
      <c r="M58" s="1"/>
      <c r="N58" s="1"/>
      <c r="O58" s="1"/>
      <c r="P58" s="1"/>
      <c r="Q58" s="1"/>
      <c r="R58" s="1"/>
      <c r="S58" s="1"/>
      <c r="T58" s="1"/>
      <c r="U58" s="1"/>
      <c r="V58" s="1"/>
      <c r="W58" s="1"/>
      <c r="X58" s="1"/>
      <c r="Y58" s="1"/>
      <c r="Z58" s="1"/>
    </row>
    <row r="59" spans="1:26" ht="18.75" customHeight="1">
      <c r="A59" s="1"/>
      <c r="B59" s="83" t="s">
        <v>196</v>
      </c>
      <c r="C59" s="68">
        <f>Vds_min_rating</f>
        <v>710.41263146040558</v>
      </c>
      <c r="D59" s="87" t="s">
        <v>37</v>
      </c>
      <c r="E59" s="274"/>
      <c r="F59" s="212"/>
      <c r="G59" s="1"/>
      <c r="H59" s="1"/>
      <c r="I59" s="1"/>
      <c r="J59" s="1"/>
      <c r="K59" s="1"/>
      <c r="L59" s="1"/>
      <c r="M59" s="1"/>
      <c r="N59" s="1"/>
      <c r="O59" s="1"/>
      <c r="P59" s="1"/>
      <c r="Q59" s="1"/>
      <c r="R59" s="1"/>
      <c r="S59" s="1"/>
      <c r="T59" s="1"/>
      <c r="U59" s="1"/>
      <c r="V59" s="1"/>
      <c r="W59" s="1"/>
      <c r="X59" s="1"/>
      <c r="Y59" s="1"/>
      <c r="Z59" s="1"/>
    </row>
    <row r="60" spans="1:26" ht="47.25" customHeight="1">
      <c r="A60" s="1"/>
      <c r="B60" s="18" t="s">
        <v>208</v>
      </c>
      <c r="C60" s="16">
        <v>900</v>
      </c>
      <c r="D60" s="21" t="s">
        <v>37</v>
      </c>
      <c r="E60" s="216" t="str">
        <f>IF(VDS_derating&gt;0.95,"Excessive leakage inductance voltage spikes during switching may result in exceeding the VDS rating of the FET ","")</f>
        <v/>
      </c>
      <c r="F60" s="212"/>
      <c r="G60" s="69"/>
      <c r="H60" s="1"/>
      <c r="I60" s="1"/>
      <c r="J60" s="1"/>
      <c r="K60" s="1"/>
      <c r="L60" s="1"/>
      <c r="M60" s="1"/>
      <c r="N60" s="1"/>
      <c r="O60" s="1"/>
      <c r="P60" s="1"/>
      <c r="Q60" s="1"/>
      <c r="R60" s="1"/>
      <c r="S60" s="1"/>
      <c r="T60" s="1"/>
      <c r="U60" s="1"/>
      <c r="V60" s="1"/>
      <c r="W60" s="1"/>
      <c r="X60" s="1"/>
      <c r="Y60" s="1"/>
      <c r="Z60" s="1"/>
    </row>
    <row r="61" spans="1:26" ht="30" customHeight="1">
      <c r="A61" s="1"/>
      <c r="B61" s="18" t="s">
        <v>212</v>
      </c>
      <c r="C61" s="16">
        <v>55</v>
      </c>
      <c r="D61" s="204" t="s">
        <v>213</v>
      </c>
      <c r="E61" s="217"/>
      <c r="F61" s="212"/>
      <c r="G61" s="69" t="str">
        <f>IF((1-((tres_actual*us)*(fmax*kHz))-Ddemag_cc)&lt;(1-((2.1*us)*(fmax*kHz))-Ddemag_cc),"Design will not Valley Switch","")</f>
        <v/>
      </c>
      <c r="H61" s="1"/>
      <c r="I61" s="1"/>
      <c r="J61" s="1"/>
      <c r="K61" s="1"/>
      <c r="L61" s="1"/>
      <c r="M61" s="1"/>
      <c r="N61" s="1"/>
      <c r="O61" s="1"/>
      <c r="P61" s="1"/>
      <c r="Q61" s="1"/>
      <c r="R61" s="1"/>
      <c r="S61" s="1"/>
      <c r="T61" s="1"/>
      <c r="U61" s="1"/>
      <c r="V61" s="1"/>
      <c r="W61" s="1"/>
      <c r="X61" s="1"/>
      <c r="Y61" s="1"/>
      <c r="Z61" s="1"/>
    </row>
    <row r="62" spans="1:26" ht="30" customHeight="1">
      <c r="A62" s="1"/>
      <c r="B62" s="18" t="s">
        <v>217</v>
      </c>
      <c r="C62" s="16">
        <v>8</v>
      </c>
      <c r="D62" s="204" t="s">
        <v>168</v>
      </c>
      <c r="E62" s="217"/>
      <c r="F62" s="212"/>
      <c r="G62" s="1"/>
      <c r="H62" s="1"/>
      <c r="I62" s="1"/>
      <c r="J62" s="1"/>
      <c r="K62" s="1"/>
      <c r="L62" s="1"/>
      <c r="M62" s="1"/>
      <c r="N62" s="1"/>
      <c r="O62" s="1"/>
      <c r="P62" s="1"/>
      <c r="Q62" s="1"/>
      <c r="R62" s="1"/>
      <c r="S62" s="1"/>
      <c r="T62" s="1"/>
      <c r="U62" s="1"/>
      <c r="V62" s="1"/>
      <c r="W62" s="1"/>
      <c r="X62" s="1"/>
      <c r="Y62" s="1"/>
      <c r="Z62" s="1"/>
    </row>
    <row r="63" spans="1:26" ht="30" customHeight="1">
      <c r="A63" s="1"/>
      <c r="B63" s="18" t="s">
        <v>218</v>
      </c>
      <c r="C63" s="16">
        <v>32</v>
      </c>
      <c r="D63" s="204" t="s">
        <v>219</v>
      </c>
      <c r="E63" s="217"/>
      <c r="F63" s="212"/>
      <c r="G63" s="1"/>
      <c r="H63" s="1"/>
      <c r="I63" s="1"/>
      <c r="J63" s="1"/>
      <c r="K63" s="1"/>
      <c r="L63" s="1"/>
      <c r="M63" s="1"/>
      <c r="N63" s="1"/>
      <c r="O63" s="1"/>
      <c r="P63" s="1"/>
      <c r="Q63" s="1"/>
      <c r="R63" s="1"/>
      <c r="S63" s="1"/>
      <c r="T63" s="1"/>
      <c r="U63" s="1"/>
      <c r="V63" s="1"/>
      <c r="W63" s="1"/>
      <c r="X63" s="1"/>
      <c r="Y63" s="1"/>
      <c r="Z63" s="1"/>
    </row>
    <row r="64" spans="1:26" ht="30" customHeight="1">
      <c r="A64" s="1"/>
      <c r="B64" s="18" t="s">
        <v>223</v>
      </c>
      <c r="C64" s="16">
        <v>56</v>
      </c>
      <c r="D64" s="204" t="s">
        <v>219</v>
      </c>
      <c r="E64" s="217"/>
      <c r="F64" s="212"/>
      <c r="G64" s="1"/>
      <c r="H64" s="1"/>
      <c r="I64" s="1"/>
      <c r="J64" s="1"/>
      <c r="K64" s="1"/>
      <c r="L64" s="1"/>
      <c r="M64" s="1"/>
      <c r="N64" s="1"/>
      <c r="O64" s="1"/>
      <c r="P64" s="1"/>
      <c r="Q64" s="1"/>
      <c r="R64" s="1"/>
      <c r="S64" s="1"/>
      <c r="T64" s="1"/>
      <c r="U64" s="1"/>
      <c r="V64" s="1"/>
      <c r="W64" s="1"/>
      <c r="X64" s="1"/>
      <c r="Y64" s="1"/>
      <c r="Z64" s="1"/>
    </row>
    <row r="65" spans="1:26" ht="18.75" customHeight="1">
      <c r="A65" s="1"/>
      <c r="B65" s="27" t="s">
        <v>224</v>
      </c>
      <c r="C65" s="44">
        <v>38</v>
      </c>
      <c r="D65" s="218" t="s">
        <v>225</v>
      </c>
      <c r="E65" s="219"/>
      <c r="F65" s="220"/>
      <c r="G65" s="1"/>
      <c r="H65" s="1"/>
      <c r="I65" s="1"/>
      <c r="J65" s="1"/>
      <c r="K65" s="1"/>
      <c r="L65" s="1"/>
      <c r="M65" s="1"/>
      <c r="N65" s="1"/>
      <c r="O65" s="1"/>
      <c r="P65" s="1"/>
      <c r="Q65" s="1"/>
      <c r="R65" s="1"/>
      <c r="S65" s="1"/>
      <c r="T65" s="1"/>
      <c r="U65" s="1"/>
      <c r="V65" s="1"/>
      <c r="W65" s="1"/>
      <c r="X65" s="1"/>
      <c r="Y65" s="1"/>
      <c r="Z65" s="1"/>
    </row>
    <row r="66" spans="1:26" ht="14.25" customHeight="1">
      <c r="A66" s="1"/>
      <c r="B66" s="96"/>
      <c r="C66" s="98"/>
      <c r="D66" s="96"/>
      <c r="E66" s="96"/>
      <c r="F66" s="96"/>
      <c r="G66" s="96"/>
      <c r="H66" s="96"/>
      <c r="I66" s="96"/>
      <c r="J66" s="96"/>
      <c r="K66" s="96"/>
      <c r="L66" s="96"/>
      <c r="M66" s="96"/>
      <c r="N66" s="1"/>
      <c r="O66" s="1"/>
      <c r="P66" s="1"/>
      <c r="Q66" s="1"/>
      <c r="R66" s="1"/>
      <c r="S66" s="1"/>
      <c r="T66" s="1"/>
      <c r="U66" s="1"/>
      <c r="V66" s="1"/>
      <c r="W66" s="1"/>
      <c r="X66" s="1"/>
      <c r="Y66" s="1"/>
      <c r="Z66" s="1"/>
    </row>
    <row r="67" spans="1:26" ht="14.25" customHeight="1">
      <c r="A67" s="1"/>
      <c r="B67" s="224" t="s">
        <v>231</v>
      </c>
      <c r="C67" s="225"/>
      <c r="D67" s="225"/>
      <c r="E67" s="225"/>
      <c r="F67" s="226"/>
      <c r="G67" s="1"/>
      <c r="H67" s="1"/>
      <c r="I67" s="1"/>
      <c r="J67" s="1"/>
      <c r="K67" s="1"/>
      <c r="L67" s="1"/>
      <c r="M67" s="1"/>
      <c r="N67" s="1"/>
      <c r="O67" s="1"/>
      <c r="P67" s="1"/>
      <c r="Q67" s="1"/>
      <c r="R67" s="1"/>
      <c r="S67" s="1"/>
      <c r="T67" s="1"/>
      <c r="U67" s="1"/>
      <c r="V67" s="1"/>
      <c r="W67" s="1"/>
      <c r="X67" s="1"/>
      <c r="Y67" s="1"/>
      <c r="Z67" s="1"/>
    </row>
    <row r="68" spans="1:26" ht="14.25" customHeight="1">
      <c r="A68" s="1"/>
      <c r="B68" s="18" t="s">
        <v>235</v>
      </c>
      <c r="C68" s="68">
        <f>Cout_rcmd</f>
        <v>470</v>
      </c>
      <c r="D68" s="21" t="s">
        <v>59</v>
      </c>
      <c r="E68" s="211" t="s">
        <v>236</v>
      </c>
      <c r="F68" s="212"/>
      <c r="G68" s="1"/>
      <c r="H68" s="1"/>
      <c r="I68" s="1"/>
      <c r="J68" s="1"/>
      <c r="K68" s="1"/>
      <c r="L68" s="1"/>
      <c r="M68" s="1"/>
      <c r="N68" s="1"/>
      <c r="O68" s="1"/>
      <c r="P68" s="1"/>
      <c r="Q68" s="1"/>
      <c r="R68" s="1"/>
      <c r="S68" s="1"/>
      <c r="T68" s="1"/>
      <c r="U68" s="1"/>
      <c r="V68" s="1"/>
      <c r="W68" s="1"/>
      <c r="X68" s="1"/>
      <c r="Y68" s="1"/>
      <c r="Z68" s="1"/>
    </row>
    <row r="69" spans="1:26" ht="14.25" customHeight="1">
      <c r="A69" s="1"/>
      <c r="B69" s="18" t="s">
        <v>238</v>
      </c>
      <c r="C69" s="75">
        <v>470</v>
      </c>
      <c r="D69" s="21" t="s">
        <v>59</v>
      </c>
      <c r="E69" s="211" t="s">
        <v>239</v>
      </c>
      <c r="F69" s="212"/>
      <c r="G69" s="1"/>
      <c r="H69" s="1"/>
      <c r="I69" s="1"/>
      <c r="J69" s="1"/>
      <c r="K69" s="1"/>
      <c r="L69" s="1"/>
      <c r="M69" s="1"/>
      <c r="N69" s="1"/>
      <c r="O69" s="1"/>
      <c r="P69" s="1"/>
      <c r="Q69" s="1"/>
      <c r="R69" s="1"/>
      <c r="S69" s="1"/>
      <c r="T69" s="1"/>
      <c r="U69" s="1"/>
      <c r="V69" s="1"/>
      <c r="W69" s="1"/>
      <c r="X69" s="1"/>
      <c r="Y69" s="1"/>
      <c r="Z69" s="1"/>
    </row>
    <row r="70" spans="1:26" ht="14.25" customHeight="1">
      <c r="A70" s="1"/>
      <c r="B70" s="18" t="s">
        <v>242</v>
      </c>
      <c r="C70" s="68">
        <f>ESRrcmd</f>
        <v>12.643465737100032</v>
      </c>
      <c r="D70" s="21" t="s">
        <v>141</v>
      </c>
      <c r="E70" s="211" t="s">
        <v>245</v>
      </c>
      <c r="F70" s="212"/>
      <c r="G70" s="1"/>
      <c r="H70" s="1"/>
      <c r="I70" s="1"/>
      <c r="J70" s="1"/>
      <c r="K70" s="1"/>
      <c r="L70" s="1"/>
      <c r="M70" s="1"/>
      <c r="N70" s="1"/>
      <c r="O70" s="1"/>
      <c r="P70" s="1"/>
      <c r="Q70" s="1"/>
      <c r="R70" s="1"/>
      <c r="S70" s="1"/>
      <c r="T70" s="1"/>
      <c r="U70" s="1"/>
      <c r="V70" s="1"/>
      <c r="W70" s="1"/>
      <c r="X70" s="1"/>
      <c r="Y70" s="1"/>
      <c r="Z70" s="1"/>
    </row>
    <row r="71" spans="1:26" ht="14.25" customHeight="1">
      <c r="A71" s="1"/>
      <c r="B71" s="27" t="s">
        <v>247</v>
      </c>
      <c r="C71" s="70">
        <v>12</v>
      </c>
      <c r="D71" s="29" t="s">
        <v>141</v>
      </c>
      <c r="E71" s="271" t="s">
        <v>249</v>
      </c>
      <c r="F71" s="220"/>
      <c r="G71" s="1"/>
      <c r="H71" s="1"/>
      <c r="I71" s="1"/>
      <c r="J71" s="1"/>
      <c r="K71" s="1"/>
      <c r="L71" s="1"/>
      <c r="M71" s="1"/>
      <c r="N71" s="1"/>
      <c r="O71" s="1"/>
      <c r="P71" s="1"/>
      <c r="Q71" s="1"/>
      <c r="R71" s="1"/>
      <c r="S71" s="1"/>
      <c r="T71" s="1"/>
      <c r="U71" s="1"/>
      <c r="V71" s="1"/>
      <c r="W71" s="1"/>
      <c r="X71" s="1"/>
      <c r="Y71" s="1"/>
      <c r="Z71" s="1"/>
    </row>
    <row r="72" spans="1:26" ht="14.25" customHeight="1">
      <c r="A72" s="1"/>
      <c r="B72" s="269" t="s">
        <v>251</v>
      </c>
      <c r="C72" s="270"/>
      <c r="D72" s="270"/>
      <c r="E72" s="270"/>
      <c r="F72" s="228"/>
      <c r="G72" s="1"/>
      <c r="H72" s="1"/>
      <c r="I72" s="1"/>
      <c r="J72" s="1"/>
      <c r="K72" s="1"/>
      <c r="L72" s="1"/>
      <c r="M72" s="1"/>
      <c r="N72" s="1"/>
      <c r="O72" s="1"/>
      <c r="P72" s="1"/>
      <c r="Q72" s="1"/>
      <c r="R72" s="1"/>
      <c r="S72" s="1"/>
      <c r="T72" s="1"/>
      <c r="U72" s="1"/>
      <c r="V72" s="1"/>
      <c r="W72" s="1"/>
      <c r="X72" s="1"/>
      <c r="Y72" s="1"/>
      <c r="Z72" s="1"/>
    </row>
    <row r="73" spans="1:26" ht="14.25" customHeight="1">
      <c r="A73" s="1"/>
      <c r="B73" s="27" t="s">
        <v>252</v>
      </c>
      <c r="C73" s="44">
        <v>1.1000000000000001</v>
      </c>
      <c r="D73" s="29" t="s">
        <v>37</v>
      </c>
      <c r="E73" s="105" t="s">
        <v>253</v>
      </c>
      <c r="F73" s="106" t="s">
        <v>254</v>
      </c>
      <c r="G73" s="1"/>
      <c r="H73" s="1"/>
      <c r="I73" s="1"/>
      <c r="J73" s="1"/>
      <c r="K73" s="1"/>
      <c r="L73" s="1"/>
      <c r="M73" s="1"/>
      <c r="N73" s="1"/>
      <c r="O73" s="1"/>
      <c r="P73" s="1"/>
      <c r="Q73" s="1"/>
      <c r="R73" s="1"/>
      <c r="S73" s="1"/>
      <c r="T73" s="1"/>
      <c r="U73" s="1"/>
      <c r="V73" s="1"/>
      <c r="W73" s="1"/>
      <c r="X73" s="1"/>
      <c r="Y73" s="1"/>
      <c r="Z73" s="1"/>
    </row>
    <row r="74" spans="1:26" ht="14.25" customHeight="1">
      <c r="A74" s="1"/>
      <c r="B74" s="224" t="s">
        <v>256</v>
      </c>
      <c r="C74" s="225"/>
      <c r="D74" s="225"/>
      <c r="E74" s="225"/>
      <c r="F74" s="226"/>
      <c r="G74" s="1"/>
      <c r="H74" s="1"/>
      <c r="I74" s="1"/>
      <c r="J74" s="1"/>
      <c r="K74" s="1"/>
      <c r="L74" s="1"/>
      <c r="M74" s="1"/>
      <c r="N74" s="1"/>
      <c r="O74" s="1"/>
      <c r="P74" s="1"/>
      <c r="Q74" s="1"/>
      <c r="R74" s="1"/>
      <c r="S74" s="1"/>
      <c r="T74" s="1"/>
      <c r="U74" s="1"/>
      <c r="V74" s="1"/>
      <c r="W74" s="1"/>
      <c r="X74" s="1"/>
      <c r="Y74" s="1"/>
      <c r="Z74" s="1"/>
    </row>
    <row r="75" spans="1:26" ht="14.25" customHeight="1">
      <c r="A75" s="1"/>
      <c r="B75" s="78" t="s">
        <v>259</v>
      </c>
      <c r="C75" s="109">
        <v>1.2</v>
      </c>
      <c r="D75" s="232" t="s">
        <v>37</v>
      </c>
      <c r="E75" s="233"/>
      <c r="F75" s="214"/>
      <c r="G75" s="1"/>
      <c r="H75" s="1"/>
      <c r="I75" s="1"/>
      <c r="J75" s="1"/>
      <c r="K75" s="1"/>
      <c r="L75" s="1"/>
      <c r="M75" s="1"/>
      <c r="N75" s="1"/>
      <c r="O75" s="1"/>
      <c r="P75" s="1"/>
      <c r="Q75" s="1"/>
      <c r="R75" s="1"/>
      <c r="S75" s="1"/>
      <c r="T75" s="1"/>
      <c r="U75" s="1"/>
      <c r="V75" s="1"/>
      <c r="W75" s="1"/>
      <c r="X75" s="1"/>
      <c r="Y75" s="1"/>
      <c r="Z75" s="1"/>
    </row>
    <row r="76" spans="1:26" ht="14.25" customHeight="1">
      <c r="A76" s="1"/>
      <c r="B76" s="224" t="s">
        <v>261</v>
      </c>
      <c r="C76" s="225"/>
      <c r="D76" s="225"/>
      <c r="E76" s="225"/>
      <c r="F76" s="226"/>
      <c r="G76" s="1"/>
      <c r="H76" s="1"/>
      <c r="I76" s="1"/>
      <c r="J76" s="1"/>
      <c r="K76" s="1"/>
      <c r="L76" s="1"/>
      <c r="M76" s="1"/>
      <c r="N76" s="1"/>
      <c r="O76" s="1"/>
      <c r="P76" s="1"/>
      <c r="Q76" s="1"/>
      <c r="R76" s="1"/>
      <c r="S76" s="1"/>
      <c r="T76" s="1"/>
      <c r="U76" s="1"/>
      <c r="V76" s="1"/>
      <c r="W76" s="1"/>
      <c r="X76" s="1"/>
      <c r="Y76" s="1"/>
      <c r="Z76" s="1"/>
    </row>
    <row r="77" spans="1:26" ht="14.25" customHeight="1">
      <c r="A77" s="1"/>
      <c r="B77" s="18" t="s">
        <v>262</v>
      </c>
      <c r="C77" s="68">
        <f>Rvs1_rcmd</f>
        <v>44.2</v>
      </c>
      <c r="D77" s="21" t="s">
        <v>263</v>
      </c>
      <c r="E77" s="211" t="s">
        <v>264</v>
      </c>
      <c r="F77" s="212"/>
      <c r="G77" s="1"/>
      <c r="H77" s="1"/>
      <c r="I77" s="1"/>
      <c r="J77" s="1"/>
      <c r="K77" s="1"/>
      <c r="L77" s="1"/>
      <c r="M77" s="1"/>
      <c r="N77" s="1"/>
      <c r="O77" s="1"/>
      <c r="P77" s="1"/>
      <c r="Q77" s="1"/>
      <c r="R77" s="1"/>
      <c r="S77" s="1"/>
      <c r="T77" s="1"/>
      <c r="U77" s="1"/>
      <c r="V77" s="1"/>
      <c r="W77" s="1"/>
      <c r="X77" s="1"/>
      <c r="Y77" s="1"/>
      <c r="Z77" s="1"/>
    </row>
    <row r="78" spans="1:26" ht="14.25" customHeight="1">
      <c r="A78" s="1"/>
      <c r="B78" s="78" t="s">
        <v>266</v>
      </c>
      <c r="C78" s="112">
        <v>44.2</v>
      </c>
      <c r="D78" s="29" t="s">
        <v>263</v>
      </c>
      <c r="E78" s="215" t="s">
        <v>268</v>
      </c>
      <c r="F78" s="214"/>
      <c r="G78" s="1"/>
      <c r="H78" s="1"/>
      <c r="I78" s="1"/>
      <c r="J78" s="1"/>
      <c r="K78" s="1"/>
      <c r="L78" s="1"/>
      <c r="M78" s="1"/>
      <c r="N78" s="1"/>
      <c r="O78" s="1"/>
      <c r="P78" s="1"/>
      <c r="Q78" s="1"/>
      <c r="R78" s="1"/>
      <c r="S78" s="1"/>
      <c r="T78" s="1"/>
      <c r="U78" s="1"/>
      <c r="V78" s="1"/>
      <c r="W78" s="1"/>
      <c r="X78" s="1"/>
      <c r="Y78" s="1"/>
      <c r="Z78" s="1"/>
    </row>
    <row r="79" spans="1:26" ht="14.25" customHeight="1">
      <c r="A79" s="1"/>
      <c r="B79" s="224" t="s">
        <v>269</v>
      </c>
      <c r="C79" s="225"/>
      <c r="D79" s="225"/>
      <c r="E79" s="225"/>
      <c r="F79" s="226"/>
      <c r="G79" s="1"/>
      <c r="H79" s="1"/>
      <c r="I79" s="1"/>
      <c r="J79" s="1"/>
      <c r="K79" s="1"/>
      <c r="L79" s="1"/>
      <c r="M79" s="1"/>
      <c r="N79" s="1"/>
      <c r="O79" s="1"/>
      <c r="P79" s="1"/>
      <c r="Q79" s="1"/>
      <c r="R79" s="1"/>
      <c r="S79" s="1"/>
      <c r="T79" s="1"/>
      <c r="U79" s="1"/>
      <c r="V79" s="1"/>
      <c r="W79" s="1"/>
      <c r="X79" s="1"/>
      <c r="Y79" s="1"/>
      <c r="Z79" s="1"/>
    </row>
    <row r="80" spans="1:26" ht="14.25" customHeight="1">
      <c r="A80" s="1"/>
      <c r="B80" s="18" t="s">
        <v>272</v>
      </c>
      <c r="C80" s="68">
        <f>Rvs2_rcmd</f>
        <v>36.5</v>
      </c>
      <c r="D80" s="21" t="s">
        <v>263</v>
      </c>
      <c r="E80" s="211" t="s">
        <v>273</v>
      </c>
      <c r="F80" s="212"/>
      <c r="G80" s="1"/>
      <c r="H80" s="1"/>
      <c r="I80" s="1"/>
      <c r="J80" s="1"/>
      <c r="K80" s="1"/>
      <c r="L80" s="1"/>
      <c r="M80" s="1"/>
      <c r="N80" s="1"/>
      <c r="O80" s="1"/>
      <c r="P80" s="1"/>
      <c r="Q80" s="1"/>
      <c r="R80" s="1"/>
      <c r="S80" s="1"/>
      <c r="T80" s="1"/>
      <c r="U80" s="1"/>
      <c r="V80" s="1"/>
      <c r="W80" s="1"/>
      <c r="X80" s="1"/>
      <c r="Y80" s="1"/>
      <c r="Z80" s="1"/>
    </row>
    <row r="81" spans="1:26" ht="14.25" customHeight="1">
      <c r="A81" s="1"/>
      <c r="B81" s="78" t="s">
        <v>274</v>
      </c>
      <c r="C81" s="112">
        <v>36.5</v>
      </c>
      <c r="D81" s="29" t="s">
        <v>263</v>
      </c>
      <c r="E81" s="215" t="s">
        <v>277</v>
      </c>
      <c r="F81" s="214"/>
      <c r="G81" s="1"/>
      <c r="H81" s="1"/>
      <c r="I81" s="1"/>
      <c r="J81" s="1"/>
      <c r="K81" s="1"/>
      <c r="L81" s="1"/>
      <c r="M81" s="1"/>
      <c r="N81" s="1"/>
      <c r="O81" s="1"/>
      <c r="P81" s="1"/>
      <c r="Q81" s="1"/>
      <c r="R81" s="1"/>
      <c r="S81" s="1"/>
      <c r="T81" s="1"/>
      <c r="U81" s="1"/>
      <c r="V81" s="1"/>
      <c r="W81" s="1"/>
      <c r="X81" s="1"/>
      <c r="Y81" s="1"/>
      <c r="Z81" s="1"/>
    </row>
    <row r="82" spans="1:26" ht="14.25" customHeight="1">
      <c r="A82" s="1"/>
      <c r="B82" s="224" t="s">
        <v>278</v>
      </c>
      <c r="C82" s="225"/>
      <c r="D82" s="225"/>
      <c r="E82" s="225"/>
      <c r="F82" s="226"/>
      <c r="G82" s="1"/>
      <c r="H82" s="1"/>
      <c r="I82" s="1"/>
      <c r="J82" s="1"/>
      <c r="K82" s="1"/>
      <c r="L82" s="1"/>
      <c r="M82" s="1"/>
      <c r="N82" s="1"/>
      <c r="O82" s="1"/>
      <c r="P82" s="1"/>
      <c r="Q82" s="1"/>
      <c r="R82" s="1"/>
      <c r="S82" s="1"/>
      <c r="T82" s="1"/>
      <c r="U82" s="1"/>
      <c r="V82" s="1"/>
      <c r="W82" s="1"/>
      <c r="X82" s="1"/>
      <c r="Y82" s="1"/>
      <c r="Z82" s="1"/>
    </row>
    <row r="83" spans="1:26" ht="14.25" customHeight="1">
      <c r="A83" s="1"/>
      <c r="B83" s="18" t="s">
        <v>279</v>
      </c>
      <c r="C83" s="68">
        <f>Rlc_rcmd</f>
        <v>1.62</v>
      </c>
      <c r="D83" s="21" t="s">
        <v>263</v>
      </c>
      <c r="E83" s="211" t="s">
        <v>281</v>
      </c>
      <c r="F83" s="212"/>
      <c r="G83" s="1"/>
      <c r="H83" s="1"/>
      <c r="I83" s="1"/>
      <c r="J83" s="1"/>
      <c r="K83" s="1"/>
      <c r="L83" s="1"/>
      <c r="M83" s="1"/>
      <c r="N83" s="1"/>
      <c r="O83" s="1"/>
      <c r="P83" s="1"/>
      <c r="Q83" s="1"/>
      <c r="R83" s="1"/>
      <c r="S83" s="1"/>
      <c r="T83" s="1"/>
      <c r="U83" s="1"/>
      <c r="V83" s="1"/>
      <c r="W83" s="1"/>
      <c r="X83" s="1"/>
      <c r="Y83" s="1"/>
      <c r="Z83" s="1"/>
    </row>
    <row r="84" spans="1:26" ht="14.25" customHeight="1">
      <c r="A84" s="1"/>
      <c r="B84" s="78" t="s">
        <v>282</v>
      </c>
      <c r="C84" s="112">
        <v>1.62</v>
      </c>
      <c r="D84" s="115" t="s">
        <v>263</v>
      </c>
      <c r="E84" s="213" t="s">
        <v>285</v>
      </c>
      <c r="F84" s="214"/>
      <c r="G84" s="1"/>
      <c r="H84" s="1"/>
      <c r="I84" s="1"/>
      <c r="J84" s="1"/>
      <c r="K84" s="1"/>
      <c r="L84" s="1"/>
      <c r="M84" s="1"/>
      <c r="N84" s="1"/>
      <c r="O84" s="1"/>
      <c r="P84" s="1"/>
      <c r="Q84" s="1"/>
      <c r="R84" s="1"/>
      <c r="S84" s="1"/>
      <c r="T84" s="1"/>
      <c r="U84" s="1"/>
      <c r="V84" s="1"/>
      <c r="W84" s="1"/>
      <c r="X84" s="1"/>
      <c r="Y84" s="1"/>
      <c r="Z84" s="1"/>
    </row>
    <row r="85" spans="1:26" ht="14.25" customHeight="1">
      <c r="A85" s="1"/>
      <c r="B85" s="281" t="s">
        <v>290</v>
      </c>
      <c r="C85" s="217"/>
      <c r="D85" s="217"/>
      <c r="E85" s="217"/>
      <c r="F85" s="205"/>
      <c r="G85" s="1"/>
      <c r="H85" s="1"/>
      <c r="I85" s="1"/>
      <c r="J85" s="1"/>
      <c r="K85" s="1"/>
      <c r="L85" s="1"/>
      <c r="M85" s="1"/>
      <c r="N85" s="1"/>
      <c r="O85" s="1"/>
      <c r="P85" s="1"/>
      <c r="Q85" s="1"/>
      <c r="R85" s="1"/>
      <c r="S85" s="1"/>
      <c r="T85" s="1"/>
      <c r="U85" s="1"/>
      <c r="V85" s="1"/>
      <c r="W85" s="1"/>
      <c r="X85" s="1"/>
      <c r="Y85" s="1"/>
      <c r="Z85" s="1"/>
    </row>
    <row r="86" spans="1:26" ht="14.25" customHeight="1">
      <c r="A86" s="1"/>
      <c r="B86" s="119" t="s">
        <v>292</v>
      </c>
      <c r="C86" s="50">
        <v>2.4950000000000001</v>
      </c>
      <c r="D86" s="121" t="s">
        <v>37</v>
      </c>
      <c r="E86" s="206" t="s">
        <v>293</v>
      </c>
      <c r="F86" s="205"/>
      <c r="G86" s="1"/>
      <c r="H86" s="1"/>
      <c r="I86" s="1"/>
      <c r="J86" s="1"/>
      <c r="K86" s="1"/>
      <c r="L86" s="1"/>
      <c r="M86" s="1"/>
      <c r="N86" s="1"/>
      <c r="O86" s="1"/>
      <c r="P86" s="1"/>
      <c r="Q86" s="1"/>
      <c r="R86" s="1"/>
      <c r="S86" s="1"/>
      <c r="T86" s="1"/>
      <c r="U86" s="1"/>
      <c r="V86" s="1"/>
      <c r="W86" s="1"/>
      <c r="X86" s="1"/>
      <c r="Y86" s="1"/>
      <c r="Z86" s="1"/>
    </row>
    <row r="87" spans="1:26" ht="14.25" customHeight="1">
      <c r="A87" s="1"/>
      <c r="B87" s="119" t="s">
        <v>294</v>
      </c>
      <c r="C87" s="50">
        <v>4</v>
      </c>
      <c r="D87" s="121" t="s">
        <v>295</v>
      </c>
      <c r="E87" s="206" t="s">
        <v>296</v>
      </c>
      <c r="F87" s="205"/>
      <c r="G87" s="1"/>
      <c r="H87" s="1"/>
      <c r="I87" s="1"/>
      <c r="J87" s="1"/>
      <c r="K87" s="1"/>
      <c r="L87" s="1"/>
      <c r="M87" s="1"/>
      <c r="N87" s="1"/>
      <c r="O87" s="1"/>
      <c r="P87" s="1"/>
      <c r="Q87" s="1"/>
      <c r="R87" s="1"/>
      <c r="S87" s="1"/>
      <c r="T87" s="1"/>
      <c r="U87" s="1"/>
      <c r="V87" s="1"/>
      <c r="W87" s="1"/>
      <c r="X87" s="1"/>
      <c r="Y87" s="1"/>
      <c r="Z87" s="1"/>
    </row>
    <row r="88" spans="1:26" ht="14.25" customHeight="1">
      <c r="A88" s="1"/>
      <c r="B88" s="116" t="s">
        <v>299</v>
      </c>
      <c r="C88" s="110">
        <f>Rfb2_rcmd</f>
        <v>44.2</v>
      </c>
      <c r="D88" s="116" t="s">
        <v>300</v>
      </c>
      <c r="E88" s="204" t="s">
        <v>301</v>
      </c>
      <c r="F88" s="205"/>
      <c r="G88" s="1"/>
      <c r="H88" s="1"/>
      <c r="I88" s="1"/>
      <c r="J88" s="1"/>
      <c r="K88" s="1"/>
      <c r="L88" s="1"/>
      <c r="M88" s="1"/>
      <c r="N88" s="1"/>
      <c r="O88" s="1"/>
      <c r="P88" s="1"/>
      <c r="Q88" s="1"/>
      <c r="R88" s="1"/>
      <c r="S88" s="1"/>
      <c r="T88" s="1"/>
      <c r="U88" s="1"/>
      <c r="V88" s="1"/>
      <c r="W88" s="1"/>
      <c r="X88" s="1"/>
      <c r="Y88" s="1"/>
      <c r="Z88" s="1"/>
    </row>
    <row r="89" spans="1:26" ht="14.25" customHeight="1">
      <c r="A89" s="1"/>
      <c r="B89" s="116" t="s">
        <v>302</v>
      </c>
      <c r="C89" s="16">
        <v>44.2</v>
      </c>
      <c r="D89" s="116" t="s">
        <v>304</v>
      </c>
      <c r="E89" s="204" t="s">
        <v>305</v>
      </c>
      <c r="F89" s="205"/>
      <c r="G89" s="1"/>
      <c r="H89" s="1"/>
      <c r="I89" s="1"/>
      <c r="J89" s="1"/>
      <c r="K89" s="1"/>
      <c r="L89" s="1"/>
      <c r="M89" s="1"/>
      <c r="N89" s="1"/>
      <c r="O89" s="1"/>
      <c r="P89" s="1"/>
      <c r="Q89" s="1"/>
      <c r="R89" s="1"/>
      <c r="S89" s="1"/>
      <c r="T89" s="1"/>
      <c r="U89" s="1"/>
      <c r="V89" s="1"/>
      <c r="W89" s="1"/>
      <c r="X89" s="1"/>
      <c r="Y89" s="1"/>
      <c r="Z89" s="1"/>
    </row>
    <row r="90" spans="1:26" ht="14.25" customHeight="1">
      <c r="A90" s="1"/>
      <c r="B90" s="116" t="s">
        <v>307</v>
      </c>
      <c r="C90" s="110">
        <f>Rfb1_rcmd</f>
        <v>649</v>
      </c>
      <c r="D90" s="116" t="s">
        <v>310</v>
      </c>
      <c r="E90" s="204" t="s">
        <v>311</v>
      </c>
      <c r="F90" s="205"/>
      <c r="G90" s="1"/>
      <c r="H90" s="1"/>
      <c r="I90" s="1"/>
      <c r="J90" s="1"/>
      <c r="K90" s="1"/>
      <c r="L90" s="1"/>
      <c r="M90" s="1"/>
      <c r="N90" s="1"/>
      <c r="O90" s="1"/>
      <c r="P90" s="1"/>
      <c r="Q90" s="1"/>
      <c r="R90" s="1"/>
      <c r="S90" s="1"/>
      <c r="T90" s="1"/>
      <c r="U90" s="1"/>
      <c r="V90" s="1"/>
      <c r="W90" s="1"/>
      <c r="X90" s="1"/>
      <c r="Y90" s="1"/>
      <c r="Z90" s="1"/>
    </row>
    <row r="91" spans="1:26" ht="14.25" customHeight="1">
      <c r="A91" s="1"/>
      <c r="B91" s="116" t="s">
        <v>312</v>
      </c>
      <c r="C91" s="16">
        <v>649</v>
      </c>
      <c r="D91" s="116" t="s">
        <v>313</v>
      </c>
      <c r="E91" s="204" t="s">
        <v>314</v>
      </c>
      <c r="F91" s="205"/>
      <c r="G91" s="1"/>
      <c r="H91" s="1"/>
      <c r="I91" s="1"/>
      <c r="J91" s="1"/>
      <c r="K91" s="1"/>
      <c r="L91" s="1"/>
      <c r="M91" s="1"/>
      <c r="N91" s="1"/>
      <c r="O91" s="1"/>
      <c r="P91" s="1"/>
      <c r="Q91" s="1"/>
      <c r="R91" s="1"/>
      <c r="S91" s="1"/>
      <c r="T91" s="1"/>
      <c r="U91" s="1"/>
      <c r="V91" s="1"/>
      <c r="W91" s="1"/>
      <c r="X91" s="1"/>
      <c r="Y91" s="1"/>
      <c r="Z91" s="1"/>
    </row>
    <row r="92" spans="1:26" ht="18.75" customHeight="1">
      <c r="A92" s="1"/>
      <c r="B92" s="275" t="s">
        <v>317</v>
      </c>
      <c r="C92" s="279">
        <v>100</v>
      </c>
      <c r="D92" s="280" t="s">
        <v>318</v>
      </c>
      <c r="E92" s="207" t="s">
        <v>321</v>
      </c>
      <c r="F92" s="208"/>
      <c r="G92" s="1"/>
      <c r="H92" s="1"/>
      <c r="I92" s="1"/>
      <c r="J92" s="1"/>
      <c r="K92" s="1"/>
      <c r="L92" s="1"/>
      <c r="M92" s="1"/>
      <c r="N92" s="1"/>
      <c r="O92" s="1"/>
      <c r="P92" s="1"/>
      <c r="Q92" s="1"/>
      <c r="R92" s="1"/>
      <c r="S92" s="1"/>
      <c r="T92" s="1"/>
      <c r="U92" s="1"/>
      <c r="V92" s="1"/>
      <c r="W92" s="1"/>
      <c r="X92" s="1"/>
      <c r="Y92" s="1"/>
      <c r="Z92" s="1"/>
    </row>
    <row r="93" spans="1:26" ht="14.25" customHeight="1">
      <c r="A93" s="1"/>
      <c r="B93" s="276"/>
      <c r="C93" s="276"/>
      <c r="D93" s="276"/>
      <c r="E93" s="209"/>
      <c r="F93" s="210"/>
      <c r="G93" s="1"/>
      <c r="H93" s="1"/>
      <c r="I93" s="1"/>
      <c r="J93" s="1"/>
      <c r="K93" s="1"/>
      <c r="L93" s="1"/>
      <c r="M93" s="1"/>
      <c r="N93" s="1"/>
      <c r="O93" s="1"/>
      <c r="P93" s="1"/>
      <c r="Q93" s="1"/>
      <c r="R93" s="1"/>
      <c r="S93" s="1"/>
      <c r="T93" s="1"/>
      <c r="U93" s="1"/>
      <c r="V93" s="1"/>
      <c r="W93" s="1"/>
      <c r="X93" s="1"/>
      <c r="Y93" s="1"/>
      <c r="Z93" s="1"/>
    </row>
    <row r="94" spans="1:26" ht="14.25" customHeight="1">
      <c r="A94" s="1"/>
      <c r="B94" s="116" t="s">
        <v>324</v>
      </c>
      <c r="C94" s="16">
        <v>5</v>
      </c>
      <c r="D94" s="116" t="s">
        <v>325</v>
      </c>
      <c r="E94" s="204" t="s">
        <v>326</v>
      </c>
      <c r="F94" s="205"/>
      <c r="G94" s="1"/>
      <c r="H94" s="1"/>
      <c r="I94" s="1"/>
      <c r="J94" s="1"/>
      <c r="K94" s="1"/>
      <c r="L94" s="1"/>
      <c r="M94" s="1"/>
      <c r="N94" s="1"/>
      <c r="O94" s="1"/>
      <c r="P94" s="1"/>
      <c r="Q94" s="1"/>
      <c r="R94" s="1"/>
      <c r="S94" s="1"/>
      <c r="T94" s="1"/>
      <c r="U94" s="1"/>
      <c r="V94" s="1"/>
      <c r="W94" s="1"/>
      <c r="X94" s="1"/>
      <c r="Y94" s="1"/>
      <c r="Z94" s="1"/>
    </row>
    <row r="95" spans="1:26" ht="14.25" customHeight="1">
      <c r="A95" s="1"/>
      <c r="B95" s="116" t="s">
        <v>327</v>
      </c>
      <c r="C95" s="16">
        <v>1000</v>
      </c>
      <c r="D95" s="127" t="s">
        <v>168</v>
      </c>
      <c r="E95" s="204" t="s">
        <v>329</v>
      </c>
      <c r="F95" s="205"/>
      <c r="G95" s="1"/>
      <c r="H95" s="1"/>
      <c r="I95" s="1"/>
      <c r="J95" s="1"/>
      <c r="K95" s="1"/>
      <c r="L95" s="1"/>
      <c r="M95" s="1"/>
      <c r="N95" s="1"/>
      <c r="O95" s="1"/>
      <c r="P95" s="1"/>
      <c r="Q95" s="1"/>
      <c r="R95" s="1"/>
      <c r="S95" s="1"/>
      <c r="T95" s="1"/>
      <c r="U95" s="1"/>
      <c r="V95" s="1"/>
      <c r="W95" s="1"/>
      <c r="X95" s="1"/>
      <c r="Y95" s="1"/>
      <c r="Z95" s="1"/>
    </row>
    <row r="96" spans="1:26" ht="14.25" customHeight="1">
      <c r="A96" s="1"/>
      <c r="B96" s="116" t="s">
        <v>330</v>
      </c>
      <c r="C96" s="16">
        <v>80</v>
      </c>
      <c r="D96" s="116" t="s">
        <v>86</v>
      </c>
      <c r="E96" s="204" t="s">
        <v>331</v>
      </c>
      <c r="F96" s="205"/>
      <c r="G96" s="1"/>
      <c r="H96" s="1"/>
      <c r="I96" s="1"/>
      <c r="J96" s="1"/>
      <c r="K96" s="1"/>
      <c r="L96" s="1"/>
      <c r="M96" s="1"/>
      <c r="N96" s="1"/>
      <c r="O96" s="1"/>
      <c r="P96" s="1"/>
      <c r="Q96" s="1"/>
      <c r="R96" s="1"/>
      <c r="S96" s="1"/>
      <c r="T96" s="1"/>
      <c r="U96" s="1"/>
      <c r="V96" s="1"/>
      <c r="W96" s="1"/>
      <c r="X96" s="1"/>
      <c r="Y96" s="1"/>
      <c r="Z96" s="1"/>
    </row>
    <row r="97" spans="1:26" ht="14.25" customHeight="1">
      <c r="A97" s="1"/>
      <c r="B97" s="116" t="s">
        <v>332</v>
      </c>
      <c r="C97" s="16">
        <v>1.4</v>
      </c>
      <c r="D97" s="116" t="s">
        <v>37</v>
      </c>
      <c r="E97" s="204" t="s">
        <v>333</v>
      </c>
      <c r="F97" s="205"/>
      <c r="G97" s="1"/>
      <c r="H97" s="1"/>
      <c r="I97" s="1"/>
      <c r="J97" s="1"/>
      <c r="K97" s="1"/>
      <c r="L97" s="1"/>
      <c r="M97" s="1"/>
      <c r="N97" s="1"/>
      <c r="O97" s="1"/>
      <c r="P97" s="1"/>
      <c r="Q97" s="1"/>
      <c r="R97" s="1"/>
      <c r="S97" s="1"/>
      <c r="T97" s="1"/>
      <c r="U97" s="1"/>
      <c r="V97" s="1"/>
      <c r="W97" s="1"/>
      <c r="X97" s="1"/>
      <c r="Y97" s="1"/>
      <c r="Z97" s="1"/>
    </row>
    <row r="98" spans="1:26" ht="18.75" customHeight="1">
      <c r="A98" s="1"/>
      <c r="B98" s="275" t="s">
        <v>336</v>
      </c>
      <c r="C98" s="277">
        <v>0</v>
      </c>
      <c r="D98" s="278" t="s">
        <v>59</v>
      </c>
      <c r="E98" s="207" t="s">
        <v>338</v>
      </c>
      <c r="F98" s="208"/>
      <c r="G98" s="1"/>
      <c r="H98" s="1"/>
      <c r="I98" s="1"/>
      <c r="J98" s="1"/>
      <c r="K98" s="1"/>
      <c r="L98" s="1"/>
      <c r="M98" s="1"/>
      <c r="N98" s="1"/>
      <c r="O98" s="1"/>
      <c r="P98" s="1"/>
      <c r="Q98" s="1"/>
      <c r="R98" s="1"/>
      <c r="S98" s="1"/>
      <c r="T98" s="1"/>
      <c r="U98" s="1"/>
      <c r="V98" s="1"/>
      <c r="W98" s="1"/>
      <c r="X98" s="1"/>
      <c r="Y98" s="1"/>
      <c r="Z98" s="1"/>
    </row>
    <row r="99" spans="1:26" ht="14.25" customHeight="1">
      <c r="A99" s="1"/>
      <c r="B99" s="276"/>
      <c r="C99" s="276"/>
      <c r="D99" s="276"/>
      <c r="E99" s="209"/>
      <c r="F99" s="210"/>
      <c r="G99" s="1"/>
      <c r="H99" s="1"/>
      <c r="I99" s="1"/>
      <c r="J99" s="1"/>
      <c r="K99" s="1"/>
      <c r="L99" s="1"/>
      <c r="M99" s="1"/>
      <c r="N99" s="1"/>
      <c r="O99" s="1"/>
      <c r="P99" s="1"/>
      <c r="Q99" s="1"/>
      <c r="R99" s="1"/>
      <c r="S99" s="1"/>
      <c r="T99" s="1"/>
      <c r="U99" s="1"/>
      <c r="V99" s="1"/>
      <c r="W99" s="1"/>
      <c r="X99" s="1"/>
      <c r="Y99" s="1"/>
      <c r="Z99" s="1"/>
    </row>
    <row r="100" spans="1:26" ht="14.25" customHeight="1">
      <c r="A100" s="1"/>
      <c r="B100" s="116" t="s">
        <v>340</v>
      </c>
      <c r="C100" s="16">
        <v>0</v>
      </c>
      <c r="D100" s="116" t="s">
        <v>341</v>
      </c>
      <c r="E100" s="204" t="s">
        <v>342</v>
      </c>
      <c r="F100" s="205"/>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16" t="s">
        <v>343</v>
      </c>
      <c r="C101" s="110">
        <f>Cfb_rcmd</f>
        <v>4.7E-2</v>
      </c>
      <c r="D101" s="116" t="s">
        <v>345</v>
      </c>
      <c r="E101" s="204" t="s">
        <v>347</v>
      </c>
      <c r="F101" s="205"/>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16" t="s">
        <v>348</v>
      </c>
      <c r="C102" s="16">
        <v>0.1</v>
      </c>
      <c r="D102" s="116" t="s">
        <v>349</v>
      </c>
      <c r="E102" s="204" t="s">
        <v>350</v>
      </c>
      <c r="F102" s="205"/>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16" t="s">
        <v>351</v>
      </c>
      <c r="C103" s="110">
        <f>R_fb4_rcmd</f>
        <v>22</v>
      </c>
      <c r="D103" s="116" t="s">
        <v>354</v>
      </c>
      <c r="E103" s="204" t="s">
        <v>355</v>
      </c>
      <c r="F103" s="205"/>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16" t="s">
        <v>356</v>
      </c>
      <c r="C104" s="16">
        <v>22</v>
      </c>
      <c r="D104" s="116" t="s">
        <v>357</v>
      </c>
      <c r="E104" s="204" t="s">
        <v>358</v>
      </c>
      <c r="F104" s="205"/>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16" t="s">
        <v>359</v>
      </c>
      <c r="C105" s="110">
        <f>Rtl_rcmd</f>
        <v>1.5</v>
      </c>
      <c r="D105" s="116" t="s">
        <v>360</v>
      </c>
      <c r="E105" s="204" t="s">
        <v>361</v>
      </c>
      <c r="F105" s="205"/>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16" t="s">
        <v>363</v>
      </c>
      <c r="C106" s="16">
        <v>6.1899999999999997E-2</v>
      </c>
      <c r="D106" s="116" t="s">
        <v>365</v>
      </c>
      <c r="E106" s="204" t="s">
        <v>366</v>
      </c>
      <c r="F106" s="205"/>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16" t="s">
        <v>367</v>
      </c>
      <c r="C107" s="110">
        <f>Cz_rcmd</f>
        <v>330</v>
      </c>
      <c r="D107" s="116" t="s">
        <v>213</v>
      </c>
      <c r="E107" s="204" t="s">
        <v>368</v>
      </c>
      <c r="F107" s="205"/>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16" t="s">
        <v>369</v>
      </c>
      <c r="C108" s="16">
        <v>330</v>
      </c>
      <c r="D108" s="116" t="s">
        <v>213</v>
      </c>
      <c r="E108" s="204" t="s">
        <v>370</v>
      </c>
      <c r="F108" s="205"/>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5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5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5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5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5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5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5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5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5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5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5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5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5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5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5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5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5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5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5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5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5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5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5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5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5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5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5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5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5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5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5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5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5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5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5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5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5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5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5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5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5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5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5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5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5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5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5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5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5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5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5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5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5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5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5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5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5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5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5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5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5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5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5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5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5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5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5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5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5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5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5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5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5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5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5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5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5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5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5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5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5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5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5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5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5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5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5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5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5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5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5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5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5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5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5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5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5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5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5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5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5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5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5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5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5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5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5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5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5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5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5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5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5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5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5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5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5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5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5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5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5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5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5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5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5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5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5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5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5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5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5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5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5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5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5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5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5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5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5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5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5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5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5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5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5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5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5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5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5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5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5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5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5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5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5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5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5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5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5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5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5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5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5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5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5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5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5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5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5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5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5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5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5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5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5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5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5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5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5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5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5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5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5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5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5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5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5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5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5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5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5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5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5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5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5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5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5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5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5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5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5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5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5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5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5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5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5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5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5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5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5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5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5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5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5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5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5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5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5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5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5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5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5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5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5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5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5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5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5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5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5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5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5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5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5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5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5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5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5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5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5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5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5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5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5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5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5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5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5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5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5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5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5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5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5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5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5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5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5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5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5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5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5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5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5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5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5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5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5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5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5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5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5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5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5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5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5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5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5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5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5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5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5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5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5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5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5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5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5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5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5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5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5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5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5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5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5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5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5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5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5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5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5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5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5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5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5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5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5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5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5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5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5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5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5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5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5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5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5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5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5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5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5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5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5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5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5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5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5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5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5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5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5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5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5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5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5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5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5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5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5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5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5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5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5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5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5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5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5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5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5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5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5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5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5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5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5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5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5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5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5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5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5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5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5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5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5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5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5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5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5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5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5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5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5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5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5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5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5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5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5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5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5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5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5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5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5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5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5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5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5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5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5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5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5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5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5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5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5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5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5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5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5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5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5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5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5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5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5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5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5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5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5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5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5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5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5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5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5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5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5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5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5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5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5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5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5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5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5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5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5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5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5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5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5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5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5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5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5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5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5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5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5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5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5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5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5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5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5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5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5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5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5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5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5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5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5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5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5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5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5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5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5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5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5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5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5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5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5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5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5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5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5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5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5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5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5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5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5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5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5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5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5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5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5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5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5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5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5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5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5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5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5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5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5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5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5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5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5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5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5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5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5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5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5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5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5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5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5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5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5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5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5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5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5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5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5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5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5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5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5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5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5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5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5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5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5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5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5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5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5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5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5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5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5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5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5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5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5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5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5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5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5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5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5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5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5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5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5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5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5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5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5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5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5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5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5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5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5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5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5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5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5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5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5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5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5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5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5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5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5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5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5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5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5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5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5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5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5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5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5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5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5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5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5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5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5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5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5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5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5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5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5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5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5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5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5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5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5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5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5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5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5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5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5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5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5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5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5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5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5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5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5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5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5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5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5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5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5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5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5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5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5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5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5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5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5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5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5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5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5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5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5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5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5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5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5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5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5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5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5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5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5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5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5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5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5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5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5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5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5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5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5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5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5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5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5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5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5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5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5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5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5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5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5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5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5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5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5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5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5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5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5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5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5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5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5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5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5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5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5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5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5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5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5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5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5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5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5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5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5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5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5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5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5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5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5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5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5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5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5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5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5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5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5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5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5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5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5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5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5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5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5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5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5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5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5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5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5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5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5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5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5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5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5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5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5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5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5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5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5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5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5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5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5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5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5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5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5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5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5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5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5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5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5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5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5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5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5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5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5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5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5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5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5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5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5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5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5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5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5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5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5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5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5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5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5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5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5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5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5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5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5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5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5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5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5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5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5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5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5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5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5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5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5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5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5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5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5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5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5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5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5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5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5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5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5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5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5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5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5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5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5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5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5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5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5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5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5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5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5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5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5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5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5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5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5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5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5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5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5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5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5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5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5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5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5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5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5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5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5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5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5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5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5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5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5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5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5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5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5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5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5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5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5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5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5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5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5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5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5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5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5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5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5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5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5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5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5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5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5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5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5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5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5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5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5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5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5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5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5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5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5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5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5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5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5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5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5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5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5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5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5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5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5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5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5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5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5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5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5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5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5">
    <mergeCell ref="B98:B99"/>
    <mergeCell ref="C98:C99"/>
    <mergeCell ref="D98:D99"/>
    <mergeCell ref="B92:B93"/>
    <mergeCell ref="C92:C93"/>
    <mergeCell ref="D92:D93"/>
    <mergeCell ref="E97:F97"/>
    <mergeCell ref="E96:F96"/>
    <mergeCell ref="B82:F82"/>
    <mergeCell ref="B85:F85"/>
    <mergeCell ref="E71:F71"/>
    <mergeCell ref="E70:F70"/>
    <mergeCell ref="B79:F79"/>
    <mergeCell ref="B72:F72"/>
    <mergeCell ref="E59:F59"/>
    <mergeCell ref="B47:F47"/>
    <mergeCell ref="B50:F50"/>
    <mergeCell ref="E68:F68"/>
    <mergeCell ref="B67:F67"/>
    <mergeCell ref="B74:F74"/>
    <mergeCell ref="B76:F76"/>
    <mergeCell ref="D75:F75"/>
    <mergeCell ref="E54:F54"/>
    <mergeCell ref="E55:F55"/>
    <mergeCell ref="B53:F53"/>
    <mergeCell ref="E52:F52"/>
    <mergeCell ref="E69:F69"/>
    <mergeCell ref="D64:F64"/>
    <mergeCell ref="D65:F65"/>
    <mergeCell ref="B58:F58"/>
    <mergeCell ref="D56:F56"/>
    <mergeCell ref="E57:F57"/>
    <mergeCell ref="D62:F62"/>
    <mergeCell ref="D63:F63"/>
    <mergeCell ref="E60:F60"/>
    <mergeCell ref="D61:F61"/>
    <mergeCell ref="E51:F51"/>
    <mergeCell ref="E49:F49"/>
    <mergeCell ref="E41:F41"/>
    <mergeCell ref="E40:F40"/>
    <mergeCell ref="B36:F36"/>
    <mergeCell ref="E39:F39"/>
    <mergeCell ref="B44:F44"/>
    <mergeCell ref="E43:F43"/>
    <mergeCell ref="E37:F37"/>
    <mergeCell ref="C37:D37"/>
    <mergeCell ref="E45:F45"/>
    <mergeCell ref="E48:F48"/>
    <mergeCell ref="B10:F10"/>
    <mergeCell ref="B11:F11"/>
    <mergeCell ref="B15:F15"/>
    <mergeCell ref="D16:F16"/>
    <mergeCell ref="B8:F8"/>
    <mergeCell ref="B4:F7"/>
    <mergeCell ref="E18:F18"/>
    <mergeCell ref="B14:F14"/>
    <mergeCell ref="B1:F1"/>
    <mergeCell ref="B3:F3"/>
    <mergeCell ref="B9:F9"/>
    <mergeCell ref="B12:F13"/>
    <mergeCell ref="D17:F17"/>
    <mergeCell ref="B42:F42"/>
    <mergeCell ref="E27:F27"/>
    <mergeCell ref="E19:F19"/>
    <mergeCell ref="E21:F21"/>
    <mergeCell ref="E20:F20"/>
    <mergeCell ref="B22:F22"/>
    <mergeCell ref="B23:F23"/>
    <mergeCell ref="D24:F24"/>
    <mergeCell ref="D25:F25"/>
    <mergeCell ref="E26:F26"/>
    <mergeCell ref="E31:F31"/>
    <mergeCell ref="E30:F30"/>
    <mergeCell ref="D32:F32"/>
    <mergeCell ref="D33:F33"/>
    <mergeCell ref="D34:F34"/>
    <mergeCell ref="D28:F28"/>
    <mergeCell ref="D29:F29"/>
    <mergeCell ref="B35:F35"/>
    <mergeCell ref="B38:F38"/>
    <mergeCell ref="E86:F86"/>
    <mergeCell ref="E92:F93"/>
    <mergeCell ref="E91:F91"/>
    <mergeCell ref="E83:F83"/>
    <mergeCell ref="E84:F84"/>
    <mergeCell ref="E88:F88"/>
    <mergeCell ref="E90:F90"/>
    <mergeCell ref="E89:F89"/>
    <mergeCell ref="E77:F77"/>
    <mergeCell ref="E78:F78"/>
    <mergeCell ref="E80:F80"/>
    <mergeCell ref="E81:F81"/>
    <mergeCell ref="E95:F95"/>
    <mergeCell ref="E94:F94"/>
    <mergeCell ref="E104:F104"/>
    <mergeCell ref="E105:F105"/>
    <mergeCell ref="E106:F106"/>
    <mergeCell ref="E107:F107"/>
    <mergeCell ref="E108:F108"/>
    <mergeCell ref="E103:F103"/>
    <mergeCell ref="E87:F87"/>
    <mergeCell ref="E100:F100"/>
    <mergeCell ref="E101:F101"/>
    <mergeCell ref="E98:F99"/>
    <mergeCell ref="E102:F102"/>
  </mergeCells>
  <dataValidations count="1">
    <dataValidation type="custom" allowBlank="1" showInputMessage="1" prompt="User must enter a value up to 100kHz" sqref="C30" xr:uid="{00000000-0002-0000-0000-000000000000}">
      <formula1>"&lt;100"</formula1>
    </dataValidation>
  </dataValidations>
  <pageMargins left="0.70866141732283472" right="0.70866141732283472" top="0.74803149606299213" bottom="0.74803149606299213"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'LOOKUP TABLES AND DROPDOWN LIST'!$B$1:$B$2</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58" workbookViewId="0"/>
  </sheetViews>
  <sheetFormatPr defaultColWidth="14.44140625" defaultRowHeight="15" customHeight="1"/>
  <cols>
    <col min="1" max="1" width="9.109375" customWidth="1"/>
    <col min="2" max="2" width="36.6640625" customWidth="1"/>
    <col min="3" max="3" width="42" customWidth="1"/>
    <col min="4" max="4" width="12.6640625" customWidth="1"/>
    <col min="5" max="5" width="5.6640625" customWidth="1"/>
    <col min="6" max="6" width="20.109375" customWidth="1"/>
    <col min="7" max="26" width="9.10937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c r="A2" s="2"/>
      <c r="B2" s="2"/>
      <c r="C2" s="2"/>
      <c r="D2" s="2"/>
      <c r="E2" s="2"/>
      <c r="F2" s="2"/>
      <c r="G2" s="2"/>
      <c r="H2" s="2"/>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c r="A4" s="2"/>
      <c r="B4" s="2"/>
      <c r="C4" s="2"/>
      <c r="D4" s="2"/>
      <c r="E4" s="2"/>
      <c r="F4" s="2"/>
      <c r="G4" s="2"/>
      <c r="H4" s="2"/>
      <c r="I4" s="2"/>
      <c r="J4" s="2"/>
      <c r="K4" s="2"/>
      <c r="L4" s="2"/>
      <c r="M4" s="2"/>
      <c r="N4" s="2"/>
      <c r="O4" s="2"/>
      <c r="P4" s="2"/>
      <c r="Q4" s="2"/>
      <c r="R4" s="2"/>
      <c r="S4" s="2"/>
      <c r="T4" s="2"/>
      <c r="U4" s="2"/>
      <c r="V4" s="2"/>
      <c r="W4" s="2"/>
      <c r="X4" s="2"/>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2"/>
      <c r="C7" s="2"/>
      <c r="D7" s="2"/>
      <c r="E7" s="2"/>
      <c r="F7" s="2"/>
      <c r="G7" s="2"/>
      <c r="H7" s="2"/>
      <c r="I7" s="2"/>
      <c r="J7" s="2"/>
      <c r="K7" s="2"/>
      <c r="L7" s="2"/>
      <c r="M7" s="2"/>
      <c r="N7" s="2"/>
      <c r="O7" s="2"/>
      <c r="P7" s="2"/>
      <c r="Q7" s="2"/>
      <c r="R7" s="2"/>
      <c r="S7" s="2"/>
      <c r="T7" s="2"/>
      <c r="U7" s="2"/>
      <c r="V7" s="2"/>
      <c r="W7" s="2"/>
      <c r="X7" s="2"/>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c r="A9" s="2"/>
      <c r="B9" s="2"/>
      <c r="C9" s="2"/>
      <c r="D9" s="2"/>
      <c r="E9" s="2"/>
      <c r="F9" s="2"/>
      <c r="G9" s="2"/>
      <c r="H9" s="2"/>
      <c r="I9" s="2"/>
      <c r="J9" s="2"/>
      <c r="K9" s="2"/>
      <c r="L9" s="2"/>
      <c r="M9" s="2"/>
      <c r="N9" s="2"/>
      <c r="O9" s="2"/>
      <c r="P9" s="2"/>
      <c r="Q9" s="2"/>
      <c r="R9" s="2"/>
      <c r="S9" s="2"/>
      <c r="T9" s="2"/>
      <c r="U9" s="2"/>
      <c r="V9" s="2"/>
      <c r="W9" s="2"/>
      <c r="X9" s="2"/>
      <c r="Y9" s="2"/>
      <c r="Z9" s="2"/>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90" t="s">
        <v>5</v>
      </c>
      <c r="C29" s="225"/>
      <c r="D29" s="225"/>
      <c r="E29" s="225"/>
      <c r="F29" s="226"/>
      <c r="G29" s="2"/>
      <c r="H29" s="2"/>
      <c r="I29" s="2"/>
      <c r="J29" s="2"/>
      <c r="K29" s="2"/>
      <c r="L29" s="2"/>
      <c r="M29" s="2"/>
      <c r="N29" s="2"/>
      <c r="O29" s="2"/>
      <c r="P29" s="2"/>
      <c r="Q29" s="2"/>
      <c r="R29" s="2"/>
      <c r="S29" s="2"/>
      <c r="T29" s="2"/>
      <c r="U29" s="2"/>
      <c r="V29" s="2"/>
      <c r="W29" s="2"/>
      <c r="X29" s="2"/>
      <c r="Y29" s="2"/>
      <c r="Z29" s="2"/>
    </row>
    <row r="30" spans="1:26" ht="15.75" customHeight="1">
      <c r="A30" s="2"/>
      <c r="B30" s="8" t="s">
        <v>6</v>
      </c>
      <c r="C30" s="291" t="s">
        <v>7</v>
      </c>
      <c r="D30" s="219"/>
      <c r="E30" s="219"/>
      <c r="F30" s="220"/>
      <c r="G30" s="2"/>
      <c r="H30" s="2"/>
      <c r="I30" s="2"/>
      <c r="J30" s="2"/>
      <c r="K30" s="2"/>
      <c r="L30" s="2"/>
      <c r="M30" s="2"/>
      <c r="N30" s="2"/>
      <c r="O30" s="2"/>
      <c r="P30" s="2"/>
      <c r="Q30" s="2"/>
      <c r="R30" s="2"/>
      <c r="S30" s="2"/>
      <c r="T30" s="2"/>
      <c r="U30" s="2"/>
      <c r="V30" s="2"/>
      <c r="W30" s="2"/>
      <c r="X30" s="2"/>
      <c r="Y30" s="2"/>
      <c r="Z30" s="2"/>
    </row>
    <row r="31" spans="1:26" ht="15.75" customHeight="1">
      <c r="A31" s="2"/>
      <c r="B31" s="285"/>
      <c r="C31" s="238"/>
      <c r="D31" s="238"/>
      <c r="E31" s="238"/>
      <c r="F31" s="239"/>
      <c r="G31" s="2"/>
      <c r="H31" s="2"/>
      <c r="I31" s="2"/>
      <c r="J31" s="2"/>
      <c r="K31" s="2"/>
      <c r="L31" s="2"/>
      <c r="M31" s="2"/>
      <c r="N31" s="2"/>
      <c r="O31" s="2"/>
      <c r="P31" s="2"/>
      <c r="Q31" s="2"/>
      <c r="R31" s="2"/>
      <c r="S31" s="2"/>
      <c r="T31" s="2"/>
      <c r="U31" s="2"/>
      <c r="V31" s="2"/>
      <c r="W31" s="2"/>
      <c r="X31" s="2"/>
      <c r="Y31" s="2"/>
      <c r="Z31" s="2"/>
    </row>
    <row r="32" spans="1:26" ht="15.75" customHeight="1">
      <c r="A32" s="2"/>
      <c r="B32" s="286" t="s">
        <v>10</v>
      </c>
      <c r="C32" s="9" t="s">
        <v>12</v>
      </c>
      <c r="D32" s="10">
        <f>Vbridge</f>
        <v>300</v>
      </c>
      <c r="E32" s="282" t="str">
        <f>CALCULATIONS!D48</f>
        <v>V</v>
      </c>
      <c r="F32" s="226"/>
      <c r="G32" s="2"/>
      <c r="H32" s="2"/>
      <c r="I32" s="2"/>
      <c r="J32" s="2"/>
      <c r="K32" s="2"/>
      <c r="L32" s="2"/>
      <c r="M32" s="2"/>
      <c r="N32" s="2"/>
      <c r="O32" s="2"/>
      <c r="P32" s="2"/>
      <c r="Q32" s="2"/>
      <c r="R32" s="2"/>
      <c r="S32" s="2"/>
      <c r="T32" s="2"/>
      <c r="U32" s="2"/>
      <c r="V32" s="2"/>
      <c r="W32" s="2"/>
      <c r="X32" s="2"/>
      <c r="Y32" s="2"/>
      <c r="Z32" s="2"/>
    </row>
    <row r="33" spans="1:26" ht="15.75" customHeight="1">
      <c r="A33" s="2"/>
      <c r="B33" s="287"/>
      <c r="C33" s="11" t="s">
        <v>15</v>
      </c>
      <c r="D33" s="12">
        <f>Ibridge</f>
        <v>0.65355087296758574</v>
      </c>
      <c r="E33" s="284" t="str">
        <f>CALCULATIONS!D49</f>
        <v>A</v>
      </c>
      <c r="F33" s="212"/>
      <c r="G33" s="2"/>
      <c r="H33" s="2"/>
      <c r="I33" s="2"/>
      <c r="J33" s="2"/>
      <c r="K33" s="2"/>
      <c r="L33" s="2"/>
      <c r="M33" s="2"/>
      <c r="N33" s="2"/>
      <c r="O33" s="2"/>
      <c r="P33" s="2"/>
      <c r="Q33" s="2"/>
      <c r="R33" s="2"/>
      <c r="S33" s="2"/>
      <c r="T33" s="2"/>
      <c r="U33" s="2"/>
      <c r="V33" s="2"/>
      <c r="W33" s="2"/>
      <c r="X33" s="2"/>
      <c r="Y33" s="2"/>
      <c r="Z33" s="2"/>
    </row>
    <row r="34" spans="1:26" ht="15.75" customHeight="1">
      <c r="A34" s="2"/>
      <c r="B34" s="288"/>
      <c r="C34" s="13" t="s">
        <v>17</v>
      </c>
      <c r="D34" s="15">
        <f>Pbridge</f>
        <v>1050.9608483333925</v>
      </c>
      <c r="E34" s="283" t="str">
        <f>CALCULATIONS!D51</f>
        <v>mW</v>
      </c>
      <c r="F34" s="220"/>
      <c r="G34" s="2"/>
      <c r="H34" s="2"/>
      <c r="I34" s="2"/>
      <c r="J34" s="2"/>
      <c r="K34" s="2"/>
      <c r="L34" s="2"/>
      <c r="M34" s="2"/>
      <c r="N34" s="2"/>
      <c r="O34" s="2"/>
      <c r="P34" s="2"/>
      <c r="Q34" s="2"/>
      <c r="R34" s="2"/>
      <c r="S34" s="2"/>
      <c r="T34" s="2"/>
      <c r="U34" s="2"/>
      <c r="V34" s="2"/>
      <c r="W34" s="2"/>
      <c r="X34" s="2"/>
      <c r="Y34" s="2"/>
      <c r="Z34" s="2"/>
    </row>
    <row r="35" spans="1:26" ht="15.75" customHeight="1">
      <c r="A35" s="2"/>
      <c r="B35" s="285"/>
      <c r="C35" s="238"/>
      <c r="D35" s="238"/>
      <c r="E35" s="238"/>
      <c r="F35" s="239"/>
      <c r="G35" s="2"/>
      <c r="H35" s="2"/>
      <c r="I35" s="2"/>
      <c r="J35" s="2"/>
      <c r="K35" s="2"/>
      <c r="L35" s="2"/>
      <c r="M35" s="2"/>
      <c r="N35" s="2"/>
      <c r="O35" s="2"/>
      <c r="P35" s="2"/>
      <c r="Q35" s="2"/>
      <c r="R35" s="2"/>
      <c r="S35" s="2"/>
      <c r="T35" s="2"/>
      <c r="U35" s="2"/>
      <c r="V35" s="2"/>
      <c r="W35" s="2"/>
      <c r="X35" s="2"/>
      <c r="Y35" s="2"/>
      <c r="Z35" s="2"/>
    </row>
    <row r="36" spans="1:26" ht="19.5" customHeight="1">
      <c r="A36" s="2"/>
      <c r="B36" s="286" t="s">
        <v>21</v>
      </c>
      <c r="C36" s="17" t="s">
        <v>22</v>
      </c>
      <c r="D36" s="282" t="s">
        <v>24</v>
      </c>
      <c r="E36" s="225"/>
      <c r="F36" s="226"/>
      <c r="G36" s="2"/>
      <c r="H36" s="2"/>
      <c r="I36" s="2"/>
      <c r="J36" s="2"/>
      <c r="K36" s="2"/>
      <c r="L36" s="2"/>
      <c r="M36" s="2"/>
      <c r="N36" s="2"/>
      <c r="O36" s="2"/>
      <c r="P36" s="2"/>
      <c r="Q36" s="2"/>
      <c r="R36" s="2"/>
      <c r="S36" s="2"/>
      <c r="T36" s="2"/>
      <c r="U36" s="2"/>
      <c r="V36" s="2"/>
      <c r="W36" s="2"/>
      <c r="X36" s="2"/>
      <c r="Y36" s="2"/>
      <c r="Z36" s="2"/>
    </row>
    <row r="37" spans="1:26" ht="15" customHeight="1">
      <c r="A37" s="2"/>
      <c r="B37" s="287"/>
      <c r="C37" s="11" t="s">
        <v>25</v>
      </c>
      <c r="D37" s="12">
        <f>Cbulk</f>
        <v>28</v>
      </c>
      <c r="E37" s="19" t="str">
        <f>CALCULATIONS!D37</f>
        <v>µF</v>
      </c>
      <c r="F37" s="20" t="s">
        <v>26</v>
      </c>
      <c r="G37" s="2"/>
      <c r="H37" s="2"/>
      <c r="I37" s="2"/>
      <c r="J37" s="2"/>
      <c r="K37" s="2"/>
      <c r="L37" s="2"/>
      <c r="M37" s="2"/>
      <c r="N37" s="2"/>
      <c r="O37" s="2"/>
      <c r="P37" s="2"/>
      <c r="Q37" s="2"/>
      <c r="R37" s="2"/>
      <c r="S37" s="2"/>
      <c r="T37" s="2"/>
      <c r="U37" s="2"/>
      <c r="V37" s="2"/>
      <c r="W37" s="2"/>
      <c r="X37" s="2"/>
      <c r="Y37" s="2"/>
      <c r="Z37" s="2"/>
    </row>
    <row r="38" spans="1:26" ht="15" customHeight="1">
      <c r="A38" s="2"/>
      <c r="B38" s="287"/>
      <c r="C38" s="11" t="s">
        <v>27</v>
      </c>
      <c r="D38" s="19">
        <f>Vcin_rated</f>
        <v>300</v>
      </c>
      <c r="E38" s="284" t="str">
        <f>CALCULATIONS!D41</f>
        <v>V</v>
      </c>
      <c r="F38" s="212"/>
      <c r="G38" s="2"/>
      <c r="H38" s="2"/>
      <c r="I38" s="2"/>
      <c r="J38" s="2"/>
      <c r="K38" s="2"/>
      <c r="L38" s="2"/>
      <c r="M38" s="2"/>
      <c r="N38" s="2"/>
      <c r="O38" s="2"/>
      <c r="P38" s="2"/>
      <c r="Q38" s="2"/>
      <c r="R38" s="2"/>
      <c r="S38" s="2"/>
      <c r="T38" s="2"/>
      <c r="U38" s="2"/>
      <c r="V38" s="2"/>
      <c r="W38" s="2"/>
      <c r="X38" s="2"/>
      <c r="Y38" s="2"/>
      <c r="Z38" s="2"/>
    </row>
    <row r="39" spans="1:26" ht="15.75" customHeight="1">
      <c r="A39" s="2"/>
      <c r="B39" s="288"/>
      <c r="C39" s="13" t="s">
        <v>29</v>
      </c>
      <c r="D39" s="15">
        <f>Icin</f>
        <v>477.70947651517838</v>
      </c>
      <c r="E39" s="283" t="str">
        <f>CALCULATIONS!D40</f>
        <v>mA</v>
      </c>
      <c r="F39" s="220"/>
      <c r="G39" s="2"/>
      <c r="H39" s="2"/>
      <c r="I39" s="2"/>
      <c r="J39" s="2"/>
      <c r="K39" s="2"/>
      <c r="L39" s="2"/>
      <c r="M39" s="2"/>
      <c r="N39" s="2"/>
      <c r="O39" s="2"/>
      <c r="P39" s="2"/>
      <c r="Q39" s="2"/>
      <c r="R39" s="2"/>
      <c r="S39" s="2"/>
      <c r="T39" s="2"/>
      <c r="U39" s="2"/>
      <c r="V39" s="2"/>
      <c r="W39" s="2"/>
      <c r="X39" s="2"/>
      <c r="Y39" s="2"/>
      <c r="Z39" s="2"/>
    </row>
    <row r="40" spans="1:26" ht="16.5" customHeight="1">
      <c r="A40" s="2"/>
      <c r="B40" s="285"/>
      <c r="C40" s="238"/>
      <c r="D40" s="238"/>
      <c r="E40" s="238"/>
      <c r="F40" s="239"/>
      <c r="G40" s="2"/>
      <c r="H40" s="2"/>
      <c r="I40" s="2"/>
      <c r="J40" s="2"/>
      <c r="K40" s="2"/>
      <c r="L40" s="2"/>
      <c r="M40" s="2"/>
      <c r="N40" s="2"/>
      <c r="O40" s="2"/>
      <c r="P40" s="2"/>
      <c r="Q40" s="2"/>
      <c r="R40" s="2"/>
      <c r="S40" s="2"/>
      <c r="T40" s="2"/>
      <c r="U40" s="2"/>
      <c r="V40" s="2"/>
      <c r="W40" s="2"/>
      <c r="X40" s="2"/>
      <c r="Y40" s="2"/>
      <c r="Z40" s="2"/>
    </row>
    <row r="41" spans="1:26" ht="16.5" customHeight="1">
      <c r="A41" s="2"/>
      <c r="B41" s="286" t="s">
        <v>30</v>
      </c>
      <c r="C41" s="17" t="s">
        <v>22</v>
      </c>
      <c r="D41" s="282" t="s">
        <v>31</v>
      </c>
      <c r="E41" s="225"/>
      <c r="F41" s="226"/>
      <c r="G41" s="2"/>
      <c r="H41" s="2"/>
      <c r="I41" s="2"/>
      <c r="J41" s="2"/>
      <c r="K41" s="2"/>
      <c r="L41" s="2"/>
      <c r="M41" s="2"/>
      <c r="N41" s="2"/>
      <c r="O41" s="2"/>
      <c r="P41" s="2"/>
      <c r="Q41" s="2"/>
      <c r="R41" s="2"/>
      <c r="S41" s="2"/>
      <c r="T41" s="2"/>
      <c r="U41" s="2"/>
      <c r="V41" s="2"/>
      <c r="W41" s="2"/>
      <c r="X41" s="2"/>
      <c r="Y41" s="2"/>
      <c r="Z41" s="2"/>
    </row>
    <row r="42" spans="1:26" ht="15.75" customHeight="1">
      <c r="A42" s="2"/>
      <c r="B42" s="287"/>
      <c r="C42" s="11" t="s">
        <v>25</v>
      </c>
      <c r="D42" s="19">
        <f>Cext</f>
        <v>0</v>
      </c>
      <c r="E42" s="19" t="str">
        <f>CALCULATIONS!D236</f>
        <v>µF</v>
      </c>
      <c r="F42" s="23" t="s">
        <v>34</v>
      </c>
      <c r="G42" s="2"/>
      <c r="H42" s="2"/>
      <c r="I42" s="2"/>
      <c r="J42" s="2"/>
      <c r="K42" s="2"/>
      <c r="L42" s="2"/>
      <c r="M42" s="2"/>
      <c r="N42" s="2"/>
      <c r="O42" s="2"/>
      <c r="P42" s="2"/>
      <c r="Q42" s="2"/>
      <c r="R42" s="2"/>
      <c r="S42" s="2"/>
      <c r="T42" s="2"/>
      <c r="U42" s="2"/>
      <c r="V42" s="2"/>
      <c r="W42" s="2"/>
      <c r="X42" s="2"/>
      <c r="Y42" s="2"/>
      <c r="Z42" s="2"/>
    </row>
    <row r="43" spans="1:26" ht="15.75" customHeight="1">
      <c r="A43" s="2"/>
      <c r="B43" s="288"/>
      <c r="C43" s="13" t="s">
        <v>27</v>
      </c>
      <c r="D43" s="24">
        <v>50</v>
      </c>
      <c r="E43" s="283" t="s">
        <v>37</v>
      </c>
      <c r="F43" s="220"/>
      <c r="G43" s="2"/>
      <c r="H43" s="2"/>
      <c r="I43" s="2"/>
      <c r="J43" s="2"/>
      <c r="K43" s="2"/>
      <c r="L43" s="2"/>
      <c r="M43" s="2"/>
      <c r="N43" s="2"/>
      <c r="O43" s="2"/>
      <c r="P43" s="2"/>
      <c r="Q43" s="2"/>
      <c r="R43" s="2"/>
      <c r="S43" s="2"/>
      <c r="T43" s="2"/>
      <c r="U43" s="2"/>
      <c r="V43" s="2"/>
      <c r="W43" s="2"/>
      <c r="X43" s="2"/>
      <c r="Y43" s="2"/>
      <c r="Z43" s="2"/>
    </row>
    <row r="44" spans="1:26" ht="15.75" customHeight="1">
      <c r="A44" s="2"/>
      <c r="B44" s="285"/>
      <c r="C44" s="238"/>
      <c r="D44" s="238"/>
      <c r="E44" s="238"/>
      <c r="F44" s="239"/>
      <c r="G44" s="2"/>
      <c r="H44" s="2"/>
      <c r="I44" s="2"/>
      <c r="J44" s="2"/>
      <c r="K44" s="2"/>
      <c r="L44" s="2"/>
      <c r="M44" s="2"/>
      <c r="N44" s="2"/>
      <c r="O44" s="2"/>
      <c r="P44" s="2"/>
      <c r="Q44" s="2"/>
      <c r="R44" s="2"/>
      <c r="S44" s="2"/>
      <c r="T44" s="2"/>
      <c r="U44" s="2"/>
      <c r="V44" s="2"/>
      <c r="W44" s="2"/>
      <c r="X44" s="2"/>
      <c r="Y44" s="2"/>
      <c r="Z44" s="2"/>
    </row>
    <row r="45" spans="1:26" ht="15.75" customHeight="1">
      <c r="A45" s="2"/>
      <c r="B45" s="286" t="s">
        <v>39</v>
      </c>
      <c r="C45" s="17" t="s">
        <v>22</v>
      </c>
      <c r="D45" s="282" t="s">
        <v>31</v>
      </c>
      <c r="E45" s="225"/>
      <c r="F45" s="226"/>
      <c r="G45" s="2"/>
      <c r="H45" s="2"/>
      <c r="I45" s="2"/>
      <c r="J45" s="2"/>
      <c r="K45" s="2"/>
      <c r="L45" s="2"/>
      <c r="M45" s="2"/>
      <c r="N45" s="2"/>
      <c r="O45" s="2"/>
      <c r="P45" s="2"/>
      <c r="Q45" s="2"/>
      <c r="R45" s="2"/>
      <c r="S45" s="2"/>
      <c r="T45" s="2"/>
      <c r="U45" s="2"/>
      <c r="V45" s="2"/>
      <c r="W45" s="2"/>
      <c r="X45" s="2"/>
      <c r="Y45" s="2"/>
      <c r="Z45" s="2"/>
    </row>
    <row r="46" spans="1:26" ht="15.75" customHeight="1">
      <c r="A46" s="2"/>
      <c r="B46" s="287"/>
      <c r="C46" s="11" t="s">
        <v>25</v>
      </c>
      <c r="D46" s="19">
        <f>CALCULATIONS!C238</f>
        <v>0.1</v>
      </c>
      <c r="E46" s="19" t="str">
        <f>CALCULATIONS!D238</f>
        <v>µF</v>
      </c>
      <c r="F46" s="23" t="s">
        <v>34</v>
      </c>
      <c r="G46" s="2"/>
      <c r="H46" s="2"/>
      <c r="I46" s="2"/>
      <c r="J46" s="2"/>
      <c r="K46" s="2"/>
      <c r="L46" s="2"/>
      <c r="M46" s="2"/>
      <c r="N46" s="2"/>
      <c r="O46" s="2"/>
      <c r="P46" s="2"/>
      <c r="Q46" s="2"/>
      <c r="R46" s="2"/>
      <c r="S46" s="2"/>
      <c r="T46" s="2"/>
      <c r="U46" s="2"/>
      <c r="V46" s="2"/>
      <c r="W46" s="2"/>
      <c r="X46" s="2"/>
      <c r="Y46" s="2"/>
      <c r="Z46" s="2"/>
    </row>
    <row r="47" spans="1:26" ht="15.75" customHeight="1">
      <c r="A47" s="2"/>
      <c r="B47" s="288"/>
      <c r="C47" s="13" t="s">
        <v>27</v>
      </c>
      <c r="D47" s="24">
        <v>10</v>
      </c>
      <c r="E47" s="283" t="s">
        <v>37</v>
      </c>
      <c r="F47" s="220"/>
      <c r="G47" s="2"/>
      <c r="H47" s="2"/>
      <c r="I47" s="2"/>
      <c r="J47" s="2"/>
      <c r="K47" s="2"/>
      <c r="L47" s="2"/>
      <c r="M47" s="2"/>
      <c r="N47" s="2"/>
      <c r="O47" s="2"/>
      <c r="P47" s="2"/>
      <c r="Q47" s="2"/>
      <c r="R47" s="2"/>
      <c r="S47" s="2"/>
      <c r="T47" s="2"/>
      <c r="U47" s="2"/>
      <c r="V47" s="2"/>
      <c r="W47" s="2"/>
      <c r="X47" s="2"/>
      <c r="Y47" s="2"/>
      <c r="Z47" s="2"/>
    </row>
    <row r="48" spans="1:26" ht="15.75" customHeight="1">
      <c r="A48" s="2"/>
      <c r="B48" s="285"/>
      <c r="C48" s="238"/>
      <c r="D48" s="238"/>
      <c r="E48" s="238"/>
      <c r="F48" s="239"/>
      <c r="G48" s="2"/>
      <c r="H48" s="2"/>
      <c r="I48" s="2"/>
      <c r="J48" s="2"/>
      <c r="K48" s="2"/>
      <c r="L48" s="2"/>
      <c r="M48" s="2"/>
      <c r="N48" s="2"/>
      <c r="O48" s="2"/>
      <c r="P48" s="2"/>
      <c r="Q48" s="2"/>
      <c r="R48" s="2"/>
      <c r="S48" s="2"/>
      <c r="T48" s="2"/>
      <c r="U48" s="2"/>
      <c r="V48" s="2"/>
      <c r="W48" s="2"/>
      <c r="X48" s="2"/>
      <c r="Y48" s="2"/>
      <c r="Z48" s="2"/>
    </row>
    <row r="49" spans="1:26" ht="15.75" customHeight="1">
      <c r="A49" s="2"/>
      <c r="B49" s="286" t="s">
        <v>45</v>
      </c>
      <c r="C49" s="17" t="s">
        <v>22</v>
      </c>
      <c r="D49" s="282" t="s">
        <v>24</v>
      </c>
      <c r="E49" s="225"/>
      <c r="F49" s="226"/>
      <c r="G49" s="2"/>
      <c r="H49" s="2"/>
      <c r="I49" s="2"/>
      <c r="J49" s="2"/>
      <c r="K49" s="2"/>
      <c r="L49" s="2"/>
      <c r="M49" s="2"/>
      <c r="N49" s="2"/>
      <c r="O49" s="2"/>
      <c r="P49" s="2"/>
      <c r="Q49" s="2"/>
      <c r="R49" s="2"/>
      <c r="S49" s="2"/>
      <c r="T49" s="2"/>
      <c r="U49" s="2"/>
      <c r="V49" s="2"/>
      <c r="W49" s="2"/>
      <c r="X49" s="2"/>
      <c r="Y49" s="2"/>
      <c r="Z49" s="2"/>
    </row>
    <row r="50" spans="1:26" ht="15.75" customHeight="1">
      <c r="A50" s="2"/>
      <c r="B50" s="287"/>
      <c r="C50" s="11" t="s">
        <v>47</v>
      </c>
      <c r="D50" s="12">
        <f>Cout</f>
        <v>470</v>
      </c>
      <c r="E50" s="19" t="str">
        <f>CALCULATIONS!D154</f>
        <v>µF</v>
      </c>
      <c r="F50" s="20" t="s">
        <v>26</v>
      </c>
      <c r="G50" s="2"/>
      <c r="H50" s="2"/>
      <c r="I50" s="2"/>
      <c r="J50" s="2"/>
      <c r="K50" s="2"/>
      <c r="L50" s="2"/>
      <c r="M50" s="2"/>
      <c r="N50" s="2"/>
      <c r="O50" s="2"/>
      <c r="P50" s="2"/>
      <c r="Q50" s="2"/>
      <c r="R50" s="2"/>
      <c r="S50" s="2"/>
      <c r="T50" s="2"/>
      <c r="U50" s="2"/>
      <c r="V50" s="2"/>
      <c r="W50" s="2"/>
      <c r="X50" s="2"/>
      <c r="Y50" s="2"/>
      <c r="Z50" s="2"/>
    </row>
    <row r="51" spans="1:26" ht="15.75" customHeight="1">
      <c r="A51" s="2"/>
      <c r="B51" s="287"/>
      <c r="C51" s="11" t="s">
        <v>27</v>
      </c>
      <c r="D51" s="12">
        <f>Vout_cv</f>
        <v>40</v>
      </c>
      <c r="E51" s="284" t="str">
        <f>CALCULATIONS!D16</f>
        <v>V</v>
      </c>
      <c r="F51" s="212"/>
      <c r="G51" s="2"/>
      <c r="H51" s="2"/>
      <c r="I51" s="2"/>
      <c r="J51" s="2"/>
      <c r="K51" s="2"/>
      <c r="L51" s="2"/>
      <c r="M51" s="2"/>
      <c r="N51" s="2"/>
      <c r="O51" s="2"/>
      <c r="P51" s="2"/>
      <c r="Q51" s="2"/>
      <c r="R51" s="2"/>
      <c r="S51" s="2"/>
      <c r="T51" s="2"/>
      <c r="U51" s="2"/>
      <c r="V51" s="2"/>
      <c r="W51" s="2"/>
      <c r="X51" s="2"/>
      <c r="Y51" s="2"/>
      <c r="Z51" s="2"/>
    </row>
    <row r="52" spans="1:26" ht="15.75" customHeight="1">
      <c r="A52" s="2"/>
      <c r="B52" s="287"/>
      <c r="C52" s="11" t="s">
        <v>29</v>
      </c>
      <c r="D52" s="12">
        <f>Icout_rms</f>
        <v>2.0381417893261871</v>
      </c>
      <c r="E52" s="284" t="str">
        <f>CALCULATIONS!D155</f>
        <v>A</v>
      </c>
      <c r="F52" s="212"/>
      <c r="G52" s="2"/>
      <c r="H52" s="2"/>
      <c r="I52" s="2"/>
      <c r="J52" s="2"/>
      <c r="K52" s="2"/>
      <c r="L52" s="2"/>
      <c r="M52" s="2"/>
      <c r="N52" s="2"/>
      <c r="O52" s="2"/>
      <c r="P52" s="2"/>
      <c r="Q52" s="2"/>
      <c r="R52" s="2"/>
      <c r="S52" s="2"/>
      <c r="T52" s="2"/>
      <c r="U52" s="2"/>
      <c r="V52" s="2"/>
      <c r="W52" s="2"/>
      <c r="X52" s="2"/>
      <c r="Y52" s="2"/>
      <c r="Z52" s="2"/>
    </row>
    <row r="53" spans="1:26" ht="15.75" customHeight="1">
      <c r="A53" s="2"/>
      <c r="B53" s="288"/>
      <c r="C53" s="13" t="s">
        <v>50</v>
      </c>
      <c r="D53" s="15">
        <f>ESRrcmd</f>
        <v>12.643465737100032</v>
      </c>
      <c r="E53" s="283" t="str">
        <f>CALCULATIONS!D156</f>
        <v>mΩ</v>
      </c>
      <c r="F53" s="220"/>
      <c r="G53" s="2"/>
      <c r="H53" s="2"/>
      <c r="I53" s="2"/>
      <c r="J53" s="2"/>
      <c r="K53" s="2"/>
      <c r="L53" s="2"/>
      <c r="M53" s="2"/>
      <c r="N53" s="2"/>
      <c r="O53" s="2"/>
      <c r="P53" s="2"/>
      <c r="Q53" s="2"/>
      <c r="R53" s="2"/>
      <c r="S53" s="2"/>
      <c r="T53" s="2"/>
      <c r="U53" s="2"/>
      <c r="V53" s="2"/>
      <c r="W53" s="2"/>
      <c r="X53" s="2"/>
      <c r="Y53" s="2"/>
      <c r="Z53" s="2"/>
    </row>
    <row r="54" spans="1:26" ht="15.75" customHeight="1">
      <c r="A54" s="2"/>
      <c r="B54" s="285"/>
      <c r="C54" s="238"/>
      <c r="D54" s="238"/>
      <c r="E54" s="238"/>
      <c r="F54" s="239"/>
      <c r="G54" s="2"/>
      <c r="H54" s="2"/>
      <c r="I54" s="2"/>
      <c r="J54" s="2"/>
      <c r="K54" s="2"/>
      <c r="L54" s="2"/>
      <c r="M54" s="2"/>
      <c r="N54" s="2"/>
      <c r="O54" s="2"/>
      <c r="P54" s="2"/>
      <c r="Q54" s="2"/>
      <c r="R54" s="2"/>
      <c r="S54" s="2"/>
      <c r="T54" s="2"/>
      <c r="U54" s="2"/>
      <c r="V54" s="2"/>
      <c r="W54" s="2"/>
      <c r="X54" s="2"/>
      <c r="Y54" s="2"/>
      <c r="Z54" s="2"/>
    </row>
    <row r="55" spans="1:26" ht="15.75" customHeight="1">
      <c r="A55" s="2"/>
      <c r="B55" s="286" t="s">
        <v>56</v>
      </c>
      <c r="C55" s="17" t="s">
        <v>22</v>
      </c>
      <c r="D55" s="282" t="s">
        <v>31</v>
      </c>
      <c r="E55" s="225"/>
      <c r="F55" s="226"/>
      <c r="G55" s="2"/>
      <c r="H55" s="2"/>
      <c r="I55" s="2"/>
      <c r="J55" s="2"/>
      <c r="K55" s="2"/>
      <c r="L55" s="2"/>
      <c r="M55" s="2"/>
      <c r="N55" s="2"/>
      <c r="O55" s="2"/>
      <c r="P55" s="2"/>
      <c r="Q55" s="2"/>
      <c r="R55" s="2"/>
      <c r="S55" s="2"/>
      <c r="T55" s="2"/>
      <c r="U55" s="2"/>
      <c r="V55" s="2"/>
      <c r="W55" s="2"/>
      <c r="X55" s="2"/>
      <c r="Y55" s="2"/>
      <c r="Z55" s="2"/>
    </row>
    <row r="56" spans="1:26" ht="15.75" customHeight="1">
      <c r="A56" s="2"/>
      <c r="B56" s="287"/>
      <c r="C56" s="11" t="s">
        <v>25</v>
      </c>
      <c r="D56" s="19">
        <v>1</v>
      </c>
      <c r="E56" s="19" t="s">
        <v>59</v>
      </c>
      <c r="F56" s="23" t="s">
        <v>34</v>
      </c>
      <c r="G56" s="2"/>
      <c r="H56" s="2"/>
      <c r="I56" s="2"/>
      <c r="J56" s="2"/>
      <c r="K56" s="2"/>
      <c r="L56" s="2"/>
      <c r="M56" s="2"/>
      <c r="N56" s="2"/>
      <c r="O56" s="2"/>
      <c r="P56" s="2"/>
      <c r="Q56" s="2"/>
      <c r="R56" s="2"/>
      <c r="S56" s="2"/>
      <c r="T56" s="2"/>
      <c r="U56" s="2"/>
      <c r="V56" s="2"/>
      <c r="W56" s="2"/>
      <c r="X56" s="2"/>
      <c r="Y56" s="2"/>
      <c r="Z56" s="2"/>
    </row>
    <row r="57" spans="1:26" ht="15.75" customHeight="1">
      <c r="A57" s="2"/>
      <c r="B57" s="288"/>
      <c r="C57" s="13" t="s">
        <v>27</v>
      </c>
      <c r="D57" s="24">
        <v>10</v>
      </c>
      <c r="E57" s="283" t="s">
        <v>37</v>
      </c>
      <c r="F57" s="220"/>
      <c r="G57" s="2"/>
      <c r="H57" s="2"/>
      <c r="I57" s="2"/>
      <c r="J57" s="2"/>
      <c r="K57" s="2"/>
      <c r="L57" s="2"/>
      <c r="M57" s="2"/>
      <c r="N57" s="2"/>
      <c r="O57" s="2"/>
      <c r="P57" s="2"/>
      <c r="Q57" s="2"/>
      <c r="R57" s="2"/>
      <c r="S57" s="2"/>
      <c r="T57" s="2"/>
      <c r="U57" s="2"/>
      <c r="V57" s="2"/>
      <c r="W57" s="2"/>
      <c r="X57" s="2"/>
      <c r="Y57" s="2"/>
      <c r="Z57" s="2"/>
    </row>
    <row r="58" spans="1:26" ht="15.75" customHeight="1">
      <c r="A58" s="2"/>
      <c r="B58" s="285"/>
      <c r="C58" s="238"/>
      <c r="D58" s="238"/>
      <c r="E58" s="238"/>
      <c r="F58" s="239"/>
      <c r="G58" s="2"/>
      <c r="H58" s="2"/>
      <c r="I58" s="2"/>
      <c r="J58" s="2"/>
      <c r="K58" s="2"/>
      <c r="L58" s="2"/>
      <c r="M58" s="2"/>
      <c r="N58" s="2"/>
      <c r="O58" s="2"/>
      <c r="P58" s="2"/>
      <c r="Q58" s="2"/>
      <c r="R58" s="2"/>
      <c r="S58" s="2"/>
      <c r="T58" s="2"/>
      <c r="U58" s="2"/>
      <c r="V58" s="2"/>
      <c r="W58" s="2"/>
      <c r="X58" s="2"/>
      <c r="Y58" s="2"/>
      <c r="Z58" s="2"/>
    </row>
    <row r="59" spans="1:26" ht="15.75" customHeight="1">
      <c r="A59" s="2"/>
      <c r="B59" s="286" t="s">
        <v>64</v>
      </c>
      <c r="C59" s="17" t="s">
        <v>22</v>
      </c>
      <c r="D59" s="282" t="s">
        <v>31</v>
      </c>
      <c r="E59" s="225"/>
      <c r="F59" s="226"/>
      <c r="G59" s="2"/>
      <c r="H59" s="2"/>
      <c r="I59" s="2"/>
      <c r="J59" s="2"/>
      <c r="K59" s="2"/>
      <c r="L59" s="2"/>
      <c r="M59" s="2"/>
      <c r="N59" s="2"/>
      <c r="O59" s="2"/>
      <c r="P59" s="2"/>
      <c r="Q59" s="2"/>
      <c r="R59" s="2"/>
      <c r="S59" s="2"/>
      <c r="T59" s="2"/>
      <c r="U59" s="2"/>
      <c r="V59" s="2"/>
      <c r="W59" s="2"/>
      <c r="X59" s="2"/>
      <c r="Y59" s="2"/>
      <c r="Z59" s="2"/>
    </row>
    <row r="60" spans="1:26" ht="15.75" customHeight="1">
      <c r="A60" s="2"/>
      <c r="B60" s="287"/>
      <c r="C60" s="11" t="s">
        <v>47</v>
      </c>
      <c r="D60" s="12">
        <f>Cvdd_rcmd</f>
        <v>22</v>
      </c>
      <c r="E60" s="33" t="str">
        <f>CALCULATIONS!D209</f>
        <v>µF</v>
      </c>
      <c r="F60" s="23" t="s">
        <v>34</v>
      </c>
      <c r="G60" s="2"/>
      <c r="H60" s="2"/>
      <c r="I60" s="2"/>
      <c r="J60" s="2"/>
      <c r="K60" s="2"/>
      <c r="L60" s="2"/>
      <c r="M60" s="2"/>
      <c r="N60" s="2"/>
      <c r="O60" s="2"/>
      <c r="P60" s="2"/>
      <c r="Q60" s="2"/>
      <c r="R60" s="2"/>
      <c r="S60" s="2"/>
      <c r="T60" s="2"/>
      <c r="U60" s="2"/>
      <c r="V60" s="2"/>
      <c r="W60" s="2"/>
      <c r="X60" s="2"/>
      <c r="Y60" s="2"/>
      <c r="Z60" s="2"/>
    </row>
    <row r="61" spans="1:26" ht="15.75" customHeight="1">
      <c r="A61" s="2"/>
      <c r="B61" s="288"/>
      <c r="C61" s="13" t="s">
        <v>69</v>
      </c>
      <c r="D61" s="24">
        <v>50</v>
      </c>
      <c r="E61" s="283" t="s">
        <v>37</v>
      </c>
      <c r="F61" s="220"/>
      <c r="G61" s="2"/>
      <c r="H61" s="2"/>
      <c r="I61" s="2"/>
      <c r="J61" s="2"/>
      <c r="K61" s="2"/>
      <c r="L61" s="2"/>
      <c r="M61" s="2"/>
      <c r="N61" s="2"/>
      <c r="O61" s="2"/>
      <c r="P61" s="2"/>
      <c r="Q61" s="2"/>
      <c r="R61" s="2"/>
      <c r="S61" s="2"/>
      <c r="T61" s="2"/>
      <c r="U61" s="2"/>
      <c r="V61" s="2"/>
      <c r="W61" s="2"/>
      <c r="X61" s="2"/>
      <c r="Y61" s="2"/>
      <c r="Z61" s="2"/>
    </row>
    <row r="62" spans="1:26" ht="15.75" customHeight="1">
      <c r="A62" s="2"/>
      <c r="B62" s="285"/>
      <c r="C62" s="238"/>
      <c r="D62" s="238"/>
      <c r="E62" s="238"/>
      <c r="F62" s="239"/>
      <c r="G62" s="2"/>
      <c r="H62" s="2"/>
      <c r="I62" s="2"/>
      <c r="J62" s="2"/>
      <c r="K62" s="2"/>
      <c r="L62" s="2"/>
      <c r="M62" s="2"/>
      <c r="N62" s="2"/>
      <c r="O62" s="2"/>
      <c r="P62" s="2"/>
      <c r="Q62" s="2"/>
      <c r="R62" s="2"/>
      <c r="S62" s="2"/>
      <c r="T62" s="2"/>
      <c r="U62" s="2"/>
      <c r="V62" s="2"/>
      <c r="W62" s="2"/>
      <c r="X62" s="2"/>
      <c r="Y62" s="2"/>
      <c r="Z62" s="2"/>
    </row>
    <row r="63" spans="1:26" ht="15.75" customHeight="1">
      <c r="A63" s="2"/>
      <c r="B63" s="286" t="s">
        <v>71</v>
      </c>
      <c r="C63" s="17" t="s">
        <v>22</v>
      </c>
      <c r="D63" s="282" t="s">
        <v>31</v>
      </c>
      <c r="E63" s="225"/>
      <c r="F63" s="226"/>
      <c r="G63" s="2"/>
      <c r="H63" s="2"/>
      <c r="I63" s="2"/>
      <c r="J63" s="2"/>
      <c r="K63" s="2"/>
      <c r="L63" s="2"/>
      <c r="M63" s="2"/>
      <c r="N63" s="2"/>
      <c r="O63" s="2"/>
      <c r="P63" s="2"/>
      <c r="Q63" s="2"/>
      <c r="R63" s="2"/>
      <c r="S63" s="2"/>
      <c r="T63" s="2"/>
      <c r="U63" s="2"/>
      <c r="V63" s="2"/>
      <c r="W63" s="2"/>
      <c r="X63" s="2"/>
      <c r="Y63" s="2"/>
      <c r="Z63" s="2"/>
    </row>
    <row r="64" spans="1:26" ht="15.75" customHeight="1">
      <c r="A64" s="2"/>
      <c r="B64" s="287"/>
      <c r="C64" s="11" t="s">
        <v>25</v>
      </c>
      <c r="D64" s="19">
        <f>Cz_actual</f>
        <v>330</v>
      </c>
      <c r="E64" s="19" t="str">
        <f>CALCULATIONS!D251</f>
        <v>pF</v>
      </c>
      <c r="F64" s="23" t="s">
        <v>34</v>
      </c>
      <c r="G64" s="2"/>
      <c r="H64" s="2"/>
      <c r="I64" s="2"/>
      <c r="J64" s="2"/>
      <c r="K64" s="2"/>
      <c r="L64" s="2"/>
      <c r="M64" s="2"/>
      <c r="N64" s="2"/>
      <c r="O64" s="2"/>
      <c r="P64" s="2"/>
      <c r="Q64" s="2"/>
      <c r="R64" s="2"/>
      <c r="S64" s="2"/>
      <c r="T64" s="2"/>
      <c r="U64" s="2"/>
      <c r="V64" s="2"/>
      <c r="W64" s="2"/>
      <c r="X64" s="2"/>
      <c r="Y64" s="2"/>
      <c r="Z64" s="2"/>
    </row>
    <row r="65" spans="1:26" ht="15.75" customHeight="1">
      <c r="A65" s="2"/>
      <c r="B65" s="288"/>
      <c r="C65" s="13" t="s">
        <v>69</v>
      </c>
      <c r="D65" s="24">
        <v>10</v>
      </c>
      <c r="E65" s="24" t="s">
        <v>37</v>
      </c>
      <c r="F65" s="37"/>
      <c r="G65" s="2"/>
      <c r="H65" s="2"/>
      <c r="I65" s="2"/>
      <c r="J65" s="2"/>
      <c r="K65" s="2"/>
      <c r="L65" s="2"/>
      <c r="M65" s="2"/>
      <c r="N65" s="2"/>
      <c r="O65" s="2"/>
      <c r="P65" s="2"/>
      <c r="Q65" s="2"/>
      <c r="R65" s="2"/>
      <c r="S65" s="2"/>
      <c r="T65" s="2"/>
      <c r="U65" s="2"/>
      <c r="V65" s="2"/>
      <c r="W65" s="2"/>
      <c r="X65" s="2"/>
      <c r="Y65" s="2"/>
      <c r="Z65" s="2"/>
    </row>
    <row r="66" spans="1:26" ht="15.75" customHeight="1">
      <c r="A66" s="2"/>
      <c r="B66" s="285"/>
      <c r="C66" s="238"/>
      <c r="D66" s="238"/>
      <c r="E66" s="238"/>
      <c r="F66" s="239"/>
      <c r="G66" s="2"/>
      <c r="H66" s="2"/>
      <c r="I66" s="2"/>
      <c r="J66" s="2"/>
      <c r="K66" s="2"/>
      <c r="L66" s="2"/>
      <c r="M66" s="2"/>
      <c r="N66" s="2"/>
      <c r="O66" s="2"/>
      <c r="P66" s="2"/>
      <c r="Q66" s="2"/>
      <c r="R66" s="2"/>
      <c r="S66" s="2"/>
      <c r="T66" s="2"/>
      <c r="U66" s="2"/>
      <c r="V66" s="2"/>
      <c r="W66" s="2"/>
      <c r="X66" s="2"/>
      <c r="Y66" s="2"/>
      <c r="Z66" s="2"/>
    </row>
    <row r="67" spans="1:26" ht="15.75" customHeight="1">
      <c r="A67" s="2"/>
      <c r="B67" s="286" t="s">
        <v>73</v>
      </c>
      <c r="C67" s="9" t="s">
        <v>22</v>
      </c>
      <c r="D67" s="282" t="s">
        <v>74</v>
      </c>
      <c r="E67" s="225"/>
      <c r="F67" s="226"/>
      <c r="G67" s="2"/>
      <c r="H67" s="2"/>
      <c r="I67" s="2"/>
      <c r="J67" s="2"/>
      <c r="K67" s="2"/>
      <c r="L67" s="2"/>
      <c r="M67" s="2"/>
      <c r="N67" s="2"/>
      <c r="O67" s="2"/>
      <c r="P67" s="2"/>
      <c r="Q67" s="2"/>
      <c r="R67" s="2"/>
      <c r="S67" s="2"/>
      <c r="T67" s="2"/>
      <c r="U67" s="2"/>
      <c r="V67" s="2"/>
      <c r="W67" s="2"/>
      <c r="X67" s="2"/>
      <c r="Y67" s="2"/>
      <c r="Z67" s="2"/>
    </row>
    <row r="68" spans="1:26" ht="15.75" customHeight="1">
      <c r="A68" s="2"/>
      <c r="B68" s="287"/>
      <c r="C68" s="11" t="s">
        <v>75</v>
      </c>
      <c r="D68" s="12">
        <f>VDbias_blocking</f>
        <v>36.27356274847714</v>
      </c>
      <c r="E68" s="284" t="str">
        <f>CALCULATIONS!D143</f>
        <v>V</v>
      </c>
      <c r="F68" s="212"/>
      <c r="G68" s="2"/>
      <c r="H68" s="2"/>
      <c r="I68" s="2"/>
      <c r="J68" s="2"/>
      <c r="K68" s="2"/>
      <c r="L68" s="2"/>
      <c r="M68" s="2"/>
      <c r="N68" s="2"/>
      <c r="O68" s="2"/>
      <c r="P68" s="2"/>
      <c r="Q68" s="2"/>
      <c r="R68" s="2"/>
      <c r="S68" s="2"/>
      <c r="T68" s="2"/>
      <c r="U68" s="2"/>
      <c r="V68" s="2"/>
      <c r="W68" s="2"/>
      <c r="X68" s="2"/>
      <c r="Y68" s="2"/>
      <c r="Z68" s="2"/>
    </row>
    <row r="69" spans="1:26" ht="15.75" customHeight="1">
      <c r="A69" s="2"/>
      <c r="B69" s="288"/>
      <c r="C69" s="13" t="s">
        <v>76</v>
      </c>
      <c r="D69" s="24">
        <v>250</v>
      </c>
      <c r="E69" s="283" t="s">
        <v>77</v>
      </c>
      <c r="F69" s="220"/>
      <c r="G69" s="2"/>
      <c r="H69" s="2"/>
      <c r="I69" s="2"/>
      <c r="J69" s="2"/>
      <c r="K69" s="2"/>
      <c r="L69" s="2"/>
      <c r="M69" s="2"/>
      <c r="N69" s="2"/>
      <c r="O69" s="2"/>
      <c r="P69" s="2"/>
      <c r="Q69" s="2"/>
      <c r="R69" s="2"/>
      <c r="S69" s="2"/>
      <c r="T69" s="2"/>
      <c r="U69" s="2"/>
      <c r="V69" s="2"/>
      <c r="W69" s="2"/>
      <c r="X69" s="2"/>
      <c r="Y69" s="2"/>
      <c r="Z69" s="2"/>
    </row>
    <row r="70" spans="1:26" ht="15.75" customHeight="1">
      <c r="A70" s="2"/>
      <c r="B70" s="285"/>
      <c r="C70" s="238"/>
      <c r="D70" s="238"/>
      <c r="E70" s="238"/>
      <c r="F70" s="239"/>
      <c r="G70" s="2"/>
      <c r="H70" s="2"/>
      <c r="I70" s="2"/>
      <c r="J70" s="2"/>
      <c r="K70" s="2"/>
      <c r="L70" s="2"/>
      <c r="M70" s="2"/>
      <c r="N70" s="2"/>
      <c r="O70" s="2"/>
      <c r="P70" s="2"/>
      <c r="Q70" s="2"/>
      <c r="R70" s="2"/>
      <c r="S70" s="2"/>
      <c r="T70" s="2"/>
      <c r="U70" s="2"/>
      <c r="V70" s="2"/>
      <c r="W70" s="2"/>
      <c r="X70" s="2"/>
      <c r="Y70" s="2"/>
      <c r="Z70" s="2"/>
    </row>
    <row r="71" spans="1:26" ht="15.75" customHeight="1">
      <c r="A71" s="2"/>
      <c r="B71" s="286" t="s">
        <v>80</v>
      </c>
      <c r="C71" s="9" t="s">
        <v>22</v>
      </c>
      <c r="D71" s="40" t="s">
        <v>81</v>
      </c>
      <c r="E71" s="41"/>
      <c r="F71" s="43"/>
      <c r="G71" s="2"/>
      <c r="H71" s="2"/>
      <c r="I71" s="2"/>
      <c r="J71" s="2"/>
      <c r="K71" s="2"/>
      <c r="L71" s="2"/>
      <c r="M71" s="2"/>
      <c r="N71" s="2"/>
      <c r="O71" s="2"/>
      <c r="P71" s="2"/>
      <c r="Q71" s="2"/>
      <c r="R71" s="2"/>
      <c r="S71" s="2"/>
      <c r="T71" s="2"/>
      <c r="U71" s="2"/>
      <c r="V71" s="2"/>
      <c r="W71" s="2"/>
      <c r="X71" s="2"/>
      <c r="Y71" s="2"/>
      <c r="Z71" s="2"/>
    </row>
    <row r="72" spans="1:26" ht="15.75" customHeight="1">
      <c r="A72" s="2"/>
      <c r="B72" s="287"/>
      <c r="C72" s="11" t="s">
        <v>89</v>
      </c>
      <c r="D72" s="12">
        <f>Vdrain_clamp</f>
        <v>308.52874503045723</v>
      </c>
      <c r="E72" s="284" t="str">
        <f>CALCULATIONS!D133</f>
        <v>V</v>
      </c>
      <c r="F72" s="212"/>
      <c r="G72" s="2"/>
      <c r="H72" s="2"/>
      <c r="I72" s="2"/>
      <c r="J72" s="2"/>
      <c r="K72" s="2"/>
      <c r="L72" s="2"/>
      <c r="M72" s="2"/>
      <c r="N72" s="2"/>
      <c r="O72" s="2"/>
      <c r="P72" s="2"/>
      <c r="Q72" s="2"/>
      <c r="R72" s="2"/>
      <c r="S72" s="2"/>
      <c r="T72" s="2"/>
      <c r="U72" s="2"/>
      <c r="V72" s="2"/>
      <c r="W72" s="2"/>
      <c r="X72" s="2"/>
      <c r="Y72" s="2"/>
      <c r="Z72" s="2"/>
    </row>
    <row r="73" spans="1:26" ht="15.75" customHeight="1">
      <c r="A73" s="2"/>
      <c r="B73" s="288"/>
      <c r="C73" s="13" t="s">
        <v>95</v>
      </c>
      <c r="D73" s="15">
        <v>600</v>
      </c>
      <c r="E73" s="283" t="s">
        <v>96</v>
      </c>
      <c r="F73" s="220"/>
      <c r="G73" s="2"/>
      <c r="H73" s="2"/>
      <c r="I73" s="2"/>
      <c r="J73" s="2"/>
      <c r="K73" s="2"/>
      <c r="L73" s="2"/>
      <c r="M73" s="2"/>
      <c r="N73" s="2"/>
      <c r="O73" s="2"/>
      <c r="P73" s="2"/>
      <c r="Q73" s="2"/>
      <c r="R73" s="2"/>
      <c r="S73" s="2"/>
      <c r="T73" s="2"/>
      <c r="U73" s="2"/>
      <c r="V73" s="2"/>
      <c r="W73" s="2"/>
      <c r="X73" s="2"/>
      <c r="Y73" s="2"/>
      <c r="Z73" s="2"/>
    </row>
    <row r="74" spans="1:26" ht="15.75" customHeight="1">
      <c r="A74" s="2"/>
      <c r="B74" s="285"/>
      <c r="C74" s="238"/>
      <c r="D74" s="238"/>
      <c r="E74" s="238"/>
      <c r="F74" s="239"/>
      <c r="G74" s="2"/>
      <c r="H74" s="2"/>
      <c r="I74" s="2"/>
      <c r="J74" s="2"/>
      <c r="K74" s="2"/>
      <c r="L74" s="2"/>
      <c r="M74" s="2"/>
      <c r="N74" s="2"/>
      <c r="O74" s="2"/>
      <c r="P74" s="2"/>
      <c r="Q74" s="2"/>
      <c r="R74" s="2"/>
      <c r="S74" s="2"/>
      <c r="T74" s="2"/>
      <c r="U74" s="2"/>
      <c r="V74" s="2"/>
      <c r="W74" s="2"/>
      <c r="X74" s="2"/>
      <c r="Y74" s="2"/>
      <c r="Z74" s="2"/>
    </row>
    <row r="75" spans="1:26" ht="15.75" customHeight="1">
      <c r="A75" s="2"/>
      <c r="B75" s="286" t="s">
        <v>100</v>
      </c>
      <c r="C75" s="9" t="s">
        <v>22</v>
      </c>
      <c r="D75" s="289" t="s">
        <v>101</v>
      </c>
      <c r="E75" s="225"/>
      <c r="F75" s="226"/>
      <c r="G75" s="2"/>
      <c r="H75" s="2"/>
      <c r="I75" s="2"/>
      <c r="J75" s="2"/>
      <c r="K75" s="2"/>
      <c r="L75" s="2"/>
      <c r="M75" s="2"/>
      <c r="N75" s="2"/>
      <c r="O75" s="2"/>
      <c r="P75" s="2"/>
      <c r="Q75" s="2"/>
      <c r="R75" s="2"/>
      <c r="S75" s="2"/>
      <c r="T75" s="2"/>
      <c r="U75" s="2"/>
      <c r="V75" s="2"/>
      <c r="W75" s="2"/>
      <c r="X75" s="2"/>
      <c r="Y75" s="2"/>
      <c r="Z75" s="2"/>
    </row>
    <row r="76" spans="1:26" ht="15.75" customHeight="1">
      <c r="A76" s="2"/>
      <c r="B76" s="287"/>
      <c r="C76" s="11" t="s">
        <v>104</v>
      </c>
      <c r="D76" s="12">
        <f>Vdout_blocking</f>
        <v>168.4729064039409</v>
      </c>
      <c r="E76" s="284" t="str">
        <f>CALCULATIONS!D137</f>
        <v>V</v>
      </c>
      <c r="F76" s="212"/>
      <c r="G76" s="2"/>
      <c r="H76" s="2"/>
      <c r="I76" s="2"/>
      <c r="J76" s="2"/>
      <c r="K76" s="2"/>
      <c r="L76" s="2"/>
      <c r="M76" s="2"/>
      <c r="N76" s="2"/>
      <c r="O76" s="2"/>
      <c r="P76" s="2"/>
      <c r="Q76" s="2"/>
      <c r="R76" s="2"/>
      <c r="S76" s="2"/>
      <c r="T76" s="2"/>
      <c r="U76" s="2"/>
      <c r="V76" s="2"/>
      <c r="W76" s="2"/>
      <c r="X76" s="2"/>
      <c r="Y76" s="2"/>
      <c r="Z76" s="2"/>
    </row>
    <row r="77" spans="1:26" ht="15.75" customHeight="1">
      <c r="A77" s="2"/>
      <c r="B77" s="287"/>
      <c r="C77" s="11" t="s">
        <v>106</v>
      </c>
      <c r="D77" s="12">
        <f>Idout</f>
        <v>2.3815389494043608</v>
      </c>
      <c r="E77" s="284" t="str">
        <f>CALCULATIONS!D138</f>
        <v>A</v>
      </c>
      <c r="F77" s="212"/>
      <c r="G77" s="2"/>
      <c r="H77" s="2"/>
      <c r="I77" s="2"/>
      <c r="J77" s="2"/>
      <c r="K77" s="2"/>
      <c r="L77" s="2"/>
      <c r="M77" s="2"/>
      <c r="N77" s="2"/>
      <c r="O77" s="2"/>
      <c r="P77" s="2"/>
      <c r="Q77" s="2"/>
      <c r="R77" s="2"/>
      <c r="S77" s="2"/>
      <c r="T77" s="2"/>
      <c r="U77" s="2"/>
      <c r="V77" s="2"/>
      <c r="W77" s="2"/>
      <c r="X77" s="2"/>
      <c r="Y77" s="2"/>
      <c r="Z77" s="2"/>
    </row>
    <row r="78" spans="1:26" ht="15.75" customHeight="1">
      <c r="A78" s="2"/>
      <c r="B78" s="288"/>
      <c r="C78" s="13" t="s">
        <v>17</v>
      </c>
      <c r="D78" s="15">
        <f>Pdout</f>
        <v>1.0756544354838711</v>
      </c>
      <c r="E78" s="283" t="str">
        <f>CALCULATIONS!D139</f>
        <v>W</v>
      </c>
      <c r="F78" s="220"/>
      <c r="G78" s="2"/>
      <c r="H78" s="2"/>
      <c r="I78" s="2"/>
      <c r="J78" s="2"/>
      <c r="K78" s="2"/>
      <c r="L78" s="2"/>
      <c r="M78" s="2"/>
      <c r="N78" s="2"/>
      <c r="O78" s="2"/>
      <c r="P78" s="2"/>
      <c r="Q78" s="2"/>
      <c r="R78" s="2"/>
      <c r="S78" s="2"/>
      <c r="T78" s="2"/>
      <c r="U78" s="2"/>
      <c r="V78" s="2"/>
      <c r="W78" s="2"/>
      <c r="X78" s="2"/>
      <c r="Y78" s="2"/>
      <c r="Z78" s="2"/>
    </row>
    <row r="79" spans="1:26" ht="15.75" customHeight="1">
      <c r="A79" s="2"/>
      <c r="B79" s="285"/>
      <c r="C79" s="238"/>
      <c r="D79" s="238"/>
      <c r="E79" s="238"/>
      <c r="F79" s="239"/>
      <c r="G79" s="2"/>
      <c r="H79" s="2"/>
      <c r="I79" s="2"/>
      <c r="J79" s="2"/>
      <c r="K79" s="2"/>
      <c r="L79" s="2"/>
      <c r="M79" s="2"/>
      <c r="N79" s="2"/>
      <c r="O79" s="2"/>
      <c r="P79" s="2"/>
      <c r="Q79" s="2"/>
      <c r="R79" s="2"/>
      <c r="S79" s="2"/>
      <c r="T79" s="2"/>
      <c r="U79" s="2"/>
      <c r="V79" s="2"/>
      <c r="W79" s="2"/>
      <c r="X79" s="2"/>
      <c r="Y79" s="2"/>
      <c r="Z79" s="2"/>
    </row>
    <row r="80" spans="1:26" ht="15.75" customHeight="1">
      <c r="A80" s="2"/>
      <c r="B80" s="286" t="s">
        <v>109</v>
      </c>
      <c r="C80" s="9" t="s">
        <v>22</v>
      </c>
      <c r="D80" s="282" t="s">
        <v>111</v>
      </c>
      <c r="E80" s="225"/>
      <c r="F80" s="226"/>
      <c r="G80" s="2"/>
      <c r="H80" s="2"/>
      <c r="I80" s="2"/>
      <c r="J80" s="2"/>
      <c r="K80" s="2"/>
      <c r="L80" s="2"/>
      <c r="M80" s="2"/>
      <c r="N80" s="2"/>
      <c r="O80" s="2"/>
      <c r="P80" s="2"/>
      <c r="Q80" s="2"/>
      <c r="R80" s="2"/>
      <c r="S80" s="2"/>
      <c r="T80" s="2"/>
      <c r="U80" s="2"/>
      <c r="V80" s="2"/>
      <c r="W80" s="2"/>
      <c r="X80" s="2"/>
      <c r="Y80" s="2"/>
      <c r="Z80" s="2"/>
    </row>
    <row r="81" spans="1:26" ht="15.75" customHeight="1">
      <c r="A81" s="2"/>
      <c r="B81" s="287"/>
      <c r="C81" s="11" t="s">
        <v>69</v>
      </c>
      <c r="D81" s="19">
        <v>1000</v>
      </c>
      <c r="E81" s="284" t="s">
        <v>37</v>
      </c>
      <c r="F81" s="212"/>
      <c r="G81" s="2"/>
      <c r="H81" s="2"/>
      <c r="I81" s="2"/>
      <c r="J81" s="2"/>
      <c r="K81" s="2"/>
      <c r="L81" s="2"/>
      <c r="M81" s="2"/>
      <c r="N81" s="2"/>
      <c r="O81" s="2"/>
      <c r="P81" s="2"/>
      <c r="Q81" s="2"/>
      <c r="R81" s="2"/>
      <c r="S81" s="2"/>
      <c r="T81" s="2"/>
      <c r="U81" s="2"/>
      <c r="V81" s="2"/>
      <c r="W81" s="2"/>
      <c r="X81" s="2"/>
      <c r="Y81" s="2"/>
      <c r="Z81" s="2"/>
    </row>
    <row r="82" spans="1:26" ht="15" customHeight="1">
      <c r="A82" s="2"/>
      <c r="B82" s="288"/>
      <c r="C82" s="13" t="s">
        <v>115</v>
      </c>
      <c r="D82" s="24">
        <v>1</v>
      </c>
      <c r="E82" s="283" t="s">
        <v>66</v>
      </c>
      <c r="F82" s="220"/>
      <c r="G82" s="2"/>
      <c r="H82" s="2"/>
      <c r="I82" s="2"/>
      <c r="J82" s="2"/>
      <c r="K82" s="2"/>
      <c r="L82" s="2"/>
      <c r="M82" s="2"/>
      <c r="N82" s="2"/>
      <c r="O82" s="2"/>
      <c r="P82" s="2"/>
      <c r="Q82" s="2"/>
      <c r="R82" s="2"/>
      <c r="S82" s="2"/>
      <c r="T82" s="2"/>
      <c r="U82" s="2"/>
      <c r="V82" s="2"/>
      <c r="W82" s="2"/>
      <c r="X82" s="2"/>
      <c r="Y82" s="2"/>
      <c r="Z82" s="2"/>
    </row>
    <row r="83" spans="1:26" ht="15.75" customHeight="1">
      <c r="A83" s="2"/>
      <c r="B83" s="285"/>
      <c r="C83" s="238"/>
      <c r="D83" s="238"/>
      <c r="E83" s="238"/>
      <c r="F83" s="239"/>
      <c r="G83" s="2"/>
      <c r="H83" s="2"/>
      <c r="I83" s="2"/>
      <c r="J83" s="2"/>
      <c r="K83" s="2"/>
      <c r="L83" s="2"/>
      <c r="M83" s="2"/>
      <c r="N83" s="2"/>
      <c r="O83" s="2"/>
      <c r="P83" s="2"/>
      <c r="Q83" s="2"/>
      <c r="R83" s="2"/>
      <c r="S83" s="2"/>
      <c r="T83" s="2"/>
      <c r="U83" s="2"/>
      <c r="V83" s="2"/>
      <c r="W83" s="2"/>
      <c r="X83" s="2"/>
      <c r="Y83" s="2"/>
      <c r="Z83" s="2"/>
    </row>
    <row r="84" spans="1:26" ht="18.75" customHeight="1">
      <c r="A84" s="2"/>
      <c r="B84" s="286" t="s">
        <v>118</v>
      </c>
      <c r="C84" s="9" t="s">
        <v>22</v>
      </c>
      <c r="D84" s="294" t="s">
        <v>120</v>
      </c>
      <c r="E84" s="225"/>
      <c r="F84" s="226"/>
      <c r="G84" s="2"/>
      <c r="H84" s="2"/>
      <c r="I84" s="2"/>
      <c r="J84" s="2"/>
      <c r="K84" s="2"/>
      <c r="L84" s="2"/>
      <c r="M84" s="2"/>
      <c r="N84" s="2"/>
      <c r="O84" s="2"/>
      <c r="P84" s="2"/>
      <c r="Q84" s="2"/>
      <c r="R84" s="2"/>
      <c r="S84" s="2"/>
      <c r="T84" s="2"/>
      <c r="U84" s="2"/>
      <c r="V84" s="2"/>
      <c r="W84" s="2"/>
      <c r="X84" s="2"/>
      <c r="Y84" s="2"/>
      <c r="Z84" s="2"/>
    </row>
    <row r="85" spans="1:26" ht="15.75" customHeight="1">
      <c r="A85" s="2"/>
      <c r="B85" s="287"/>
      <c r="C85" s="11" t="s">
        <v>27</v>
      </c>
      <c r="D85" s="19">
        <f>CALCULATIONS!C44</f>
        <v>240</v>
      </c>
      <c r="E85" s="284" t="str">
        <f>CALCULATIONS!D44</f>
        <v>VAC</v>
      </c>
      <c r="F85" s="212"/>
      <c r="G85" s="2"/>
      <c r="H85" s="2"/>
      <c r="I85" s="2"/>
      <c r="J85" s="2"/>
      <c r="K85" s="2"/>
      <c r="L85" s="2"/>
      <c r="M85" s="2"/>
      <c r="N85" s="2"/>
      <c r="O85" s="2"/>
      <c r="P85" s="2"/>
      <c r="Q85" s="2"/>
      <c r="R85" s="2"/>
      <c r="S85" s="2"/>
      <c r="T85" s="2"/>
      <c r="U85" s="2"/>
      <c r="V85" s="2"/>
      <c r="W85" s="2"/>
      <c r="X85" s="2"/>
      <c r="Y85" s="2"/>
      <c r="Z85" s="2"/>
    </row>
    <row r="86" spans="1:26" ht="15.75" customHeight="1">
      <c r="A86" s="2"/>
      <c r="B86" s="288"/>
      <c r="C86" s="13" t="s">
        <v>127</v>
      </c>
      <c r="D86" s="15">
        <f>Iin_peak</f>
        <v>1.858233808974856</v>
      </c>
      <c r="E86" s="283" t="str">
        <f>CALCULATIONS!D45</f>
        <v>A</v>
      </c>
      <c r="F86" s="220"/>
      <c r="G86" s="2"/>
      <c r="H86" s="2"/>
      <c r="I86" s="2"/>
      <c r="J86" s="2"/>
      <c r="K86" s="2"/>
      <c r="L86" s="2"/>
      <c r="M86" s="2"/>
      <c r="N86" s="2"/>
      <c r="O86" s="2"/>
      <c r="P86" s="2"/>
      <c r="Q86" s="2"/>
      <c r="R86" s="2"/>
      <c r="S86" s="2"/>
      <c r="T86" s="2"/>
      <c r="U86" s="2"/>
      <c r="V86" s="2"/>
      <c r="W86" s="2"/>
      <c r="X86" s="2"/>
      <c r="Y86" s="2"/>
      <c r="Z86" s="2"/>
    </row>
    <row r="87" spans="1:26" ht="15.75" customHeight="1">
      <c r="A87" s="2"/>
      <c r="B87" s="285"/>
      <c r="C87" s="238"/>
      <c r="D87" s="238"/>
      <c r="E87" s="238"/>
      <c r="F87" s="239"/>
      <c r="G87" s="2"/>
      <c r="H87" s="2"/>
      <c r="I87" s="2"/>
      <c r="J87" s="2"/>
      <c r="K87" s="2"/>
      <c r="L87" s="2"/>
      <c r="M87" s="2"/>
      <c r="N87" s="2"/>
      <c r="O87" s="2"/>
      <c r="P87" s="2"/>
      <c r="Q87" s="2"/>
      <c r="R87" s="2"/>
      <c r="S87" s="2"/>
      <c r="T87" s="2"/>
      <c r="U87" s="2"/>
      <c r="V87" s="2"/>
      <c r="W87" s="2"/>
      <c r="X87" s="2"/>
      <c r="Y87" s="2"/>
      <c r="Z87" s="2"/>
    </row>
    <row r="88" spans="1:26" ht="15.75" customHeight="1">
      <c r="A88" s="2"/>
      <c r="B88" s="53" t="s">
        <v>130</v>
      </c>
      <c r="C88" s="55" t="s">
        <v>131</v>
      </c>
      <c r="D88" s="56">
        <f>CTRmin</f>
        <v>50</v>
      </c>
      <c r="E88" s="295" t="str">
        <f>CALCULATIONS!D226</f>
        <v>%</v>
      </c>
      <c r="F88" s="239"/>
      <c r="G88" s="2"/>
      <c r="H88" s="2"/>
      <c r="I88" s="2"/>
      <c r="J88" s="2"/>
      <c r="K88" s="2"/>
      <c r="L88" s="2"/>
      <c r="M88" s="2"/>
      <c r="N88" s="2"/>
      <c r="O88" s="2"/>
      <c r="P88" s="2"/>
      <c r="Q88" s="2"/>
      <c r="R88" s="2"/>
      <c r="S88" s="2"/>
      <c r="T88" s="2"/>
      <c r="U88" s="2"/>
      <c r="V88" s="2"/>
      <c r="W88" s="2"/>
      <c r="X88" s="2"/>
      <c r="Y88" s="2"/>
      <c r="Z88" s="2"/>
    </row>
    <row r="89" spans="1:26" ht="15.75" customHeight="1">
      <c r="A89" s="2"/>
      <c r="B89" s="285"/>
      <c r="C89" s="238"/>
      <c r="D89" s="238"/>
      <c r="E89" s="238"/>
      <c r="F89" s="239"/>
      <c r="G89" s="2"/>
      <c r="H89" s="2"/>
      <c r="I89" s="2"/>
      <c r="J89" s="2"/>
      <c r="K89" s="2"/>
      <c r="L89" s="2"/>
      <c r="M89" s="2"/>
      <c r="N89" s="2"/>
      <c r="O89" s="2"/>
      <c r="P89" s="2"/>
      <c r="Q89" s="2"/>
      <c r="R89" s="2"/>
      <c r="S89" s="2"/>
      <c r="T89" s="2"/>
      <c r="U89" s="2"/>
      <c r="V89" s="2"/>
      <c r="W89" s="2"/>
      <c r="X89" s="2"/>
      <c r="Y89" s="2"/>
      <c r="Z89" s="2"/>
    </row>
    <row r="90" spans="1:26" ht="15.75" customHeight="1">
      <c r="A90" s="2"/>
      <c r="B90" s="286" t="s">
        <v>148</v>
      </c>
      <c r="C90" s="9" t="s">
        <v>150</v>
      </c>
      <c r="D90" s="10">
        <f>Vds</f>
        <v>900</v>
      </c>
      <c r="E90" s="282" t="str">
        <f>CALCULATIONS!D118</f>
        <v>V</v>
      </c>
      <c r="F90" s="226"/>
      <c r="G90" s="2"/>
      <c r="H90" s="2"/>
      <c r="I90" s="2"/>
      <c r="J90" s="2"/>
      <c r="K90" s="2"/>
      <c r="L90" s="2"/>
      <c r="M90" s="2"/>
      <c r="N90" s="2"/>
      <c r="O90" s="2"/>
      <c r="P90" s="2"/>
      <c r="Q90" s="2"/>
      <c r="R90" s="2"/>
      <c r="S90" s="2"/>
      <c r="T90" s="2"/>
      <c r="U90" s="2"/>
      <c r="V90" s="2"/>
      <c r="W90" s="2"/>
      <c r="X90" s="2"/>
      <c r="Y90" s="2"/>
      <c r="Z90" s="2"/>
    </row>
    <row r="91" spans="1:26" ht="15.75" customHeight="1">
      <c r="A91" s="2"/>
      <c r="B91" s="287"/>
      <c r="C91" s="11" t="s">
        <v>152</v>
      </c>
      <c r="D91" s="12">
        <f>Idrain</f>
        <v>5.3058989375173908</v>
      </c>
      <c r="E91" s="284" t="str">
        <f>CALCULATIONS!D128</f>
        <v>A</v>
      </c>
      <c r="F91" s="212"/>
      <c r="G91" s="2"/>
      <c r="H91" s="2"/>
      <c r="I91" s="2"/>
      <c r="J91" s="2"/>
      <c r="K91" s="2"/>
      <c r="L91" s="2"/>
      <c r="M91" s="2"/>
      <c r="N91" s="2"/>
      <c r="O91" s="2"/>
      <c r="P91" s="2"/>
      <c r="Q91" s="2"/>
      <c r="R91" s="2"/>
      <c r="S91" s="2"/>
      <c r="T91" s="2"/>
      <c r="U91" s="2"/>
      <c r="V91" s="2"/>
      <c r="W91" s="2"/>
      <c r="X91" s="2"/>
      <c r="Y91" s="2"/>
      <c r="Z91" s="2"/>
    </row>
    <row r="92" spans="1:26" ht="15.75" customHeight="1">
      <c r="A92" s="2"/>
      <c r="B92" s="287"/>
      <c r="C92" s="11" t="s">
        <v>154</v>
      </c>
      <c r="D92" s="12">
        <f>Ipulsed</f>
        <v>13.196480938416425</v>
      </c>
      <c r="E92" s="284" t="str">
        <f>CALCULATIONS!D129</f>
        <v>A</v>
      </c>
      <c r="F92" s="212"/>
      <c r="G92" s="2"/>
      <c r="H92" s="2"/>
      <c r="I92" s="2"/>
      <c r="J92" s="2"/>
      <c r="K92" s="2"/>
      <c r="L92" s="2"/>
      <c r="M92" s="2"/>
      <c r="N92" s="2"/>
      <c r="O92" s="2"/>
      <c r="P92" s="2"/>
      <c r="Q92" s="2"/>
      <c r="R92" s="2"/>
      <c r="S92" s="2"/>
      <c r="T92" s="2"/>
      <c r="U92" s="2"/>
      <c r="V92" s="2"/>
      <c r="W92" s="2"/>
      <c r="X92" s="2"/>
      <c r="Y92" s="2"/>
      <c r="Z92" s="2"/>
    </row>
    <row r="93" spans="1:26" ht="15.75" customHeight="1">
      <c r="A93" s="2"/>
      <c r="B93" s="288"/>
      <c r="C93" s="13" t="s">
        <v>17</v>
      </c>
      <c r="D93" s="15">
        <f>Pfet</f>
        <v>2.903036813090393</v>
      </c>
      <c r="E93" s="283" t="str">
        <f>CALCULATIONS!D132</f>
        <v>W</v>
      </c>
      <c r="F93" s="220"/>
      <c r="G93" s="2"/>
      <c r="H93" s="2"/>
      <c r="I93" s="2"/>
      <c r="J93" s="2"/>
      <c r="K93" s="2"/>
      <c r="L93" s="2"/>
      <c r="M93" s="2"/>
      <c r="N93" s="2"/>
      <c r="O93" s="2"/>
      <c r="P93" s="2"/>
      <c r="Q93" s="2"/>
      <c r="R93" s="2"/>
      <c r="S93" s="2"/>
      <c r="T93" s="2"/>
      <c r="U93" s="2"/>
      <c r="V93" s="2"/>
      <c r="W93" s="2"/>
      <c r="X93" s="2"/>
      <c r="Y93" s="2"/>
      <c r="Z93" s="2"/>
    </row>
    <row r="94" spans="1:26" ht="15.75" customHeight="1">
      <c r="A94" s="2"/>
      <c r="B94" s="285"/>
      <c r="C94" s="238"/>
      <c r="D94" s="238"/>
      <c r="E94" s="238"/>
      <c r="F94" s="239"/>
      <c r="G94" s="2"/>
      <c r="H94" s="2"/>
      <c r="I94" s="2"/>
      <c r="J94" s="2"/>
      <c r="K94" s="2"/>
      <c r="L94" s="2"/>
      <c r="M94" s="2"/>
      <c r="N94" s="2"/>
      <c r="O94" s="2"/>
      <c r="P94" s="2"/>
      <c r="Q94" s="2"/>
      <c r="R94" s="2"/>
      <c r="S94" s="2"/>
      <c r="T94" s="2"/>
      <c r="U94" s="2"/>
      <c r="V94" s="2"/>
      <c r="W94" s="2"/>
      <c r="X94" s="2"/>
      <c r="Y94" s="2"/>
      <c r="Z94" s="2"/>
    </row>
    <row r="95" spans="1:26" ht="15.75" customHeight="1">
      <c r="A95" s="2"/>
      <c r="B95" s="286" t="s">
        <v>159</v>
      </c>
      <c r="C95" s="9" t="s">
        <v>25</v>
      </c>
      <c r="D95" s="10">
        <f>Rcs</f>
        <v>0.62</v>
      </c>
      <c r="E95" s="65" t="str">
        <f>CALCULATIONS!D76</f>
        <v>Ω</v>
      </c>
      <c r="F95" s="67" t="s">
        <v>161</v>
      </c>
      <c r="G95" s="2"/>
      <c r="H95" s="2"/>
      <c r="I95" s="2"/>
      <c r="J95" s="2"/>
      <c r="K95" s="2"/>
      <c r="L95" s="2"/>
      <c r="M95" s="2"/>
      <c r="N95" s="2"/>
      <c r="O95" s="2"/>
      <c r="P95" s="2"/>
      <c r="Q95" s="2"/>
      <c r="R95" s="2"/>
      <c r="S95" s="2"/>
      <c r="T95" s="2"/>
      <c r="U95" s="2"/>
      <c r="V95" s="2"/>
      <c r="W95" s="2"/>
      <c r="X95" s="2"/>
      <c r="Y95" s="2"/>
      <c r="Z95" s="2"/>
    </row>
    <row r="96" spans="1:26" ht="15.75" customHeight="1">
      <c r="A96" s="2"/>
      <c r="B96" s="287"/>
      <c r="C96" s="11" t="s">
        <v>17</v>
      </c>
      <c r="D96" s="12">
        <f>P_Rcs</f>
        <v>155.80054626015405</v>
      </c>
      <c r="E96" s="284" t="str">
        <f>CALCULATIONS!D77</f>
        <v>mW</v>
      </c>
      <c r="F96" s="212"/>
      <c r="G96" s="2"/>
      <c r="H96" s="2"/>
      <c r="I96" s="2"/>
      <c r="J96" s="2"/>
      <c r="K96" s="2"/>
      <c r="L96" s="2"/>
      <c r="M96" s="2"/>
      <c r="N96" s="2"/>
      <c r="O96" s="2"/>
      <c r="P96" s="2"/>
      <c r="Q96" s="2"/>
      <c r="R96" s="2"/>
      <c r="S96" s="2"/>
      <c r="T96" s="2"/>
      <c r="U96" s="2"/>
      <c r="V96" s="2"/>
      <c r="W96" s="2"/>
      <c r="X96" s="2"/>
      <c r="Y96" s="2"/>
      <c r="Z96" s="2"/>
    </row>
    <row r="97" spans="1:26" ht="15.75" customHeight="1">
      <c r="A97" s="2"/>
      <c r="B97" s="288"/>
      <c r="C97" s="13" t="s">
        <v>22</v>
      </c>
      <c r="D97" s="296" t="s">
        <v>170</v>
      </c>
      <c r="E97" s="219"/>
      <c r="F97" s="220"/>
      <c r="G97" s="2"/>
      <c r="H97" s="2"/>
      <c r="I97" s="2"/>
      <c r="J97" s="2"/>
      <c r="K97" s="2"/>
      <c r="L97" s="2"/>
      <c r="M97" s="2"/>
      <c r="N97" s="2"/>
      <c r="O97" s="2"/>
      <c r="P97" s="2"/>
      <c r="Q97" s="2"/>
      <c r="R97" s="2"/>
      <c r="S97" s="2"/>
      <c r="T97" s="2"/>
      <c r="U97" s="2"/>
      <c r="V97" s="2"/>
      <c r="W97" s="2"/>
      <c r="X97" s="2"/>
      <c r="Y97" s="2"/>
      <c r="Z97" s="2"/>
    </row>
    <row r="98" spans="1:26" ht="15.75" customHeight="1">
      <c r="A98" s="2"/>
      <c r="B98" s="285"/>
      <c r="C98" s="238"/>
      <c r="D98" s="238"/>
      <c r="E98" s="238"/>
      <c r="F98" s="239"/>
      <c r="G98" s="2"/>
      <c r="H98" s="2"/>
      <c r="I98" s="2"/>
      <c r="J98" s="2"/>
      <c r="K98" s="2"/>
      <c r="L98" s="2"/>
      <c r="M98" s="2"/>
      <c r="N98" s="2"/>
      <c r="O98" s="2"/>
      <c r="P98" s="2"/>
      <c r="Q98" s="2"/>
      <c r="R98" s="2"/>
      <c r="S98" s="2"/>
      <c r="T98" s="2"/>
      <c r="U98" s="2"/>
      <c r="V98" s="2"/>
      <c r="W98" s="2"/>
      <c r="X98" s="2"/>
      <c r="Y98" s="2"/>
      <c r="Z98" s="2"/>
    </row>
    <row r="99" spans="1:26" ht="15" customHeight="1">
      <c r="A99" s="2"/>
      <c r="B99" s="286" t="s">
        <v>177</v>
      </c>
      <c r="C99" s="9" t="s">
        <v>25</v>
      </c>
      <c r="D99" s="65">
        <f>Rfb1_actual</f>
        <v>649</v>
      </c>
      <c r="E99" s="65" t="str">
        <f>CALCULATIONS!D223</f>
        <v>kΩ</v>
      </c>
      <c r="F99" s="67" t="s">
        <v>161</v>
      </c>
      <c r="G99" s="2"/>
      <c r="H99" s="2"/>
      <c r="I99" s="2"/>
      <c r="J99" s="2"/>
      <c r="K99" s="2"/>
      <c r="L99" s="2"/>
      <c r="M99" s="2"/>
      <c r="N99" s="2"/>
      <c r="O99" s="2"/>
      <c r="P99" s="2"/>
      <c r="Q99" s="2"/>
      <c r="R99" s="2"/>
      <c r="S99" s="2"/>
      <c r="T99" s="2"/>
      <c r="U99" s="2"/>
      <c r="V99" s="2"/>
      <c r="W99" s="2"/>
      <c r="X99" s="2"/>
      <c r="Y99" s="2"/>
      <c r="Z99" s="2"/>
    </row>
    <row r="100" spans="1:26" ht="15.75" customHeight="1">
      <c r="A100" s="2"/>
      <c r="B100" s="288"/>
      <c r="C100" s="13" t="s">
        <v>95</v>
      </c>
      <c r="D100" s="72">
        <v>0.1</v>
      </c>
      <c r="E100" s="283" t="s">
        <v>96</v>
      </c>
      <c r="F100" s="220"/>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85"/>
      <c r="C101" s="238"/>
      <c r="D101" s="238"/>
      <c r="E101" s="238"/>
      <c r="F101" s="239"/>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86" t="s">
        <v>182</v>
      </c>
      <c r="C102" s="9" t="s">
        <v>25</v>
      </c>
      <c r="D102" s="74">
        <f>R_fb2</f>
        <v>44.2</v>
      </c>
      <c r="E102" s="76" t="str">
        <f>CALCULATIONS!D218</f>
        <v>kΩ</v>
      </c>
      <c r="F102" s="67" t="s">
        <v>161</v>
      </c>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88"/>
      <c r="C103" s="13" t="s">
        <v>95</v>
      </c>
      <c r="D103" s="72">
        <v>0.1</v>
      </c>
      <c r="E103" s="283" t="s">
        <v>96</v>
      </c>
      <c r="F103" s="220"/>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85"/>
      <c r="C104" s="238"/>
      <c r="D104" s="238"/>
      <c r="E104" s="238"/>
      <c r="F104" s="239"/>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86" t="s">
        <v>184</v>
      </c>
      <c r="C105" s="9" t="s">
        <v>25</v>
      </c>
      <c r="D105" s="74">
        <v>100</v>
      </c>
      <c r="E105" s="76" t="str">
        <f>CALCULATIONS!D221</f>
        <v>kΩ</v>
      </c>
      <c r="F105" s="67" t="s">
        <v>161</v>
      </c>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88"/>
      <c r="C106" s="13" t="s">
        <v>95</v>
      </c>
      <c r="D106" s="72">
        <v>0.1</v>
      </c>
      <c r="E106" s="283" t="s">
        <v>96</v>
      </c>
      <c r="F106" s="220"/>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85"/>
      <c r="C107" s="238"/>
      <c r="D107" s="238"/>
      <c r="E107" s="238"/>
      <c r="F107" s="239"/>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86" t="s">
        <v>188</v>
      </c>
      <c r="C108" s="9" t="s">
        <v>25</v>
      </c>
      <c r="D108" s="74">
        <f>R_fb4</f>
        <v>22</v>
      </c>
      <c r="E108" s="76" t="s">
        <v>189</v>
      </c>
      <c r="F108" s="67" t="s">
        <v>161</v>
      </c>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88"/>
      <c r="C109" s="13" t="s">
        <v>95</v>
      </c>
      <c r="D109" s="72">
        <v>0.1</v>
      </c>
      <c r="E109" s="283" t="s">
        <v>96</v>
      </c>
      <c r="F109" s="220"/>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85"/>
      <c r="C110" s="238"/>
      <c r="D110" s="238"/>
      <c r="E110" s="238"/>
      <c r="F110" s="239"/>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97" t="s">
        <v>194</v>
      </c>
      <c r="C111" s="9" t="s">
        <v>25</v>
      </c>
      <c r="D111" s="74">
        <f>Rinj</f>
        <v>20</v>
      </c>
      <c r="E111" s="81" t="s">
        <v>168</v>
      </c>
      <c r="F111" s="67" t="s">
        <v>161</v>
      </c>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98"/>
      <c r="C112" s="13" t="s">
        <v>95</v>
      </c>
      <c r="D112" s="72">
        <v>0.1</v>
      </c>
      <c r="E112" s="283" t="s">
        <v>96</v>
      </c>
      <c r="F112" s="220"/>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85"/>
      <c r="C113" s="238"/>
      <c r="D113" s="238"/>
      <c r="E113" s="238"/>
      <c r="F113" s="239"/>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86" t="s">
        <v>197</v>
      </c>
      <c r="C114" s="9" t="s">
        <v>25</v>
      </c>
      <c r="D114" s="85">
        <f>Rlc</f>
        <v>1.62</v>
      </c>
      <c r="E114" s="74" t="str">
        <f>CALCULATIONS!D196</f>
        <v>kΩ</v>
      </c>
      <c r="F114" s="67" t="s">
        <v>161</v>
      </c>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88"/>
      <c r="C115" s="13" t="s">
        <v>95</v>
      </c>
      <c r="D115" s="72">
        <v>0.1</v>
      </c>
      <c r="E115" s="283" t="s">
        <v>96</v>
      </c>
      <c r="F115" s="220"/>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85"/>
      <c r="C116" s="238"/>
      <c r="D116" s="238"/>
      <c r="E116" s="238"/>
      <c r="F116" s="239"/>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86" t="s">
        <v>200</v>
      </c>
      <c r="C117" s="9" t="s">
        <v>25</v>
      </c>
      <c r="D117" s="74">
        <v>1</v>
      </c>
      <c r="E117" s="74" t="s">
        <v>201</v>
      </c>
      <c r="F117" s="67" t="s">
        <v>161</v>
      </c>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88"/>
      <c r="C118" s="13" t="s">
        <v>95</v>
      </c>
      <c r="D118" s="72">
        <v>0.1</v>
      </c>
      <c r="E118" s="283" t="s">
        <v>96</v>
      </c>
      <c r="F118" s="220"/>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85"/>
      <c r="C119" s="238"/>
      <c r="D119" s="238"/>
      <c r="E119" s="238"/>
      <c r="F119" s="239"/>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86" t="s">
        <v>202</v>
      </c>
      <c r="C120" s="9" t="s">
        <v>25</v>
      </c>
      <c r="D120" s="74">
        <f>R_tl</f>
        <v>6.1899999999999997E-2</v>
      </c>
      <c r="E120" s="74" t="str">
        <f>CALCULATIONS!D249</f>
        <v>kΩ</v>
      </c>
      <c r="F120" s="67" t="s">
        <v>161</v>
      </c>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88"/>
      <c r="C121" s="13" t="s">
        <v>95</v>
      </c>
      <c r="D121" s="72">
        <v>0.1</v>
      </c>
      <c r="E121" s="283" t="s">
        <v>96</v>
      </c>
      <c r="F121" s="220"/>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85"/>
      <c r="C122" s="238"/>
      <c r="D122" s="238"/>
      <c r="E122" s="238"/>
      <c r="F122" s="239"/>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86" t="s">
        <v>204</v>
      </c>
      <c r="C123" s="9" t="s">
        <v>25</v>
      </c>
      <c r="D123" s="91" t="s">
        <v>206</v>
      </c>
      <c r="E123" s="92" t="s">
        <v>168</v>
      </c>
      <c r="F123" s="292" t="s">
        <v>210</v>
      </c>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88"/>
      <c r="C124" s="13" t="s">
        <v>95</v>
      </c>
      <c r="D124" s="93" t="s">
        <v>214</v>
      </c>
      <c r="E124" s="94" t="s">
        <v>96</v>
      </c>
      <c r="F124" s="293"/>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85"/>
      <c r="C125" s="238"/>
      <c r="D125" s="238"/>
      <c r="E125" s="238"/>
      <c r="F125" s="239"/>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86" t="s">
        <v>222</v>
      </c>
      <c r="C126" s="9" t="s">
        <v>25</v>
      </c>
      <c r="D126" s="10">
        <f>R_vs1</f>
        <v>44.2</v>
      </c>
      <c r="E126" s="65" t="str">
        <f>CALCULATIONS!D172</f>
        <v>kΩ</v>
      </c>
      <c r="F126" s="67" t="s">
        <v>161</v>
      </c>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88"/>
      <c r="C127" s="13" t="s">
        <v>95</v>
      </c>
      <c r="D127" s="72">
        <v>0.1</v>
      </c>
      <c r="E127" s="283" t="s">
        <v>96</v>
      </c>
      <c r="F127" s="220"/>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85"/>
      <c r="C128" s="238"/>
      <c r="D128" s="238"/>
      <c r="E128" s="238"/>
      <c r="F128" s="239"/>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86" t="s">
        <v>226</v>
      </c>
      <c r="C129" s="9" t="s">
        <v>25</v>
      </c>
      <c r="D129" s="10">
        <f>R_vs2</f>
        <v>36.5</v>
      </c>
      <c r="E129" s="65" t="str">
        <f>CALCULATIONS!D186</f>
        <v>kΩ</v>
      </c>
      <c r="F129" s="67" t="s">
        <v>161</v>
      </c>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88"/>
      <c r="C130" s="13" t="s">
        <v>95</v>
      </c>
      <c r="D130" s="72">
        <v>0.1</v>
      </c>
      <c r="E130" s="283" t="s">
        <v>96</v>
      </c>
      <c r="F130" s="220"/>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85"/>
      <c r="C131" s="238"/>
      <c r="D131" s="238"/>
      <c r="E131" s="238"/>
      <c r="F131" s="239"/>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97" t="s">
        <v>227</v>
      </c>
      <c r="C132" s="56" t="s">
        <v>229</v>
      </c>
      <c r="D132" s="56">
        <f>Vref431</f>
        <v>2.4950000000000001</v>
      </c>
      <c r="E132" s="56" t="str">
        <f>CALCULATIONS!D212</f>
        <v>V</v>
      </c>
      <c r="F132" s="99"/>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85"/>
      <c r="C133" s="238"/>
      <c r="D133" s="238"/>
      <c r="E133" s="238"/>
      <c r="F133" s="239"/>
      <c r="G133" s="2"/>
      <c r="H133" s="2"/>
      <c r="I133" s="2"/>
      <c r="J133" s="2"/>
      <c r="K133" s="2"/>
      <c r="L133" s="2"/>
      <c r="M133" s="2"/>
      <c r="N133" s="2"/>
      <c r="O133" s="2"/>
      <c r="P133" s="2"/>
      <c r="Q133" s="2"/>
      <c r="R133" s="2"/>
      <c r="S133" s="2"/>
      <c r="T133" s="2"/>
      <c r="U133" s="2"/>
      <c r="V133" s="2"/>
      <c r="W133" s="2"/>
      <c r="X133" s="2"/>
      <c r="Y133" s="2"/>
      <c r="Z133" s="2"/>
    </row>
    <row r="134" spans="1:26" ht="15" customHeight="1">
      <c r="A134" s="2"/>
      <c r="B134" s="286" t="s">
        <v>232</v>
      </c>
      <c r="C134" s="9" t="s">
        <v>233</v>
      </c>
      <c r="D134" s="10">
        <f>Lp</f>
        <v>900</v>
      </c>
      <c r="E134" s="282" t="str">
        <f>CALCULATIONS!D94</f>
        <v>µH</v>
      </c>
      <c r="F134" s="226"/>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87"/>
      <c r="C135" s="11" t="s">
        <v>237</v>
      </c>
      <c r="D135" s="12">
        <f>Nps</f>
        <v>5.0750000000000002</v>
      </c>
      <c r="E135" s="19"/>
      <c r="F135" s="20" t="s">
        <v>240</v>
      </c>
      <c r="G135" s="2"/>
      <c r="H135" s="2"/>
      <c r="I135" s="2"/>
      <c r="J135" s="2"/>
      <c r="K135" s="2"/>
      <c r="L135" s="2"/>
      <c r="M135" s="2"/>
      <c r="N135" s="2"/>
      <c r="O135" s="2"/>
      <c r="P135" s="2"/>
      <c r="Q135" s="2"/>
      <c r="R135" s="2"/>
      <c r="S135" s="2"/>
      <c r="T135" s="2"/>
      <c r="U135" s="2"/>
      <c r="V135" s="2"/>
      <c r="W135" s="2"/>
      <c r="X135" s="2"/>
      <c r="Y135" s="2"/>
      <c r="Z135" s="2"/>
    </row>
    <row r="136" spans="1:26" ht="18.75" customHeight="1">
      <c r="A136" s="2"/>
      <c r="B136" s="287"/>
      <c r="C136" s="11" t="s">
        <v>241</v>
      </c>
      <c r="D136" s="12">
        <f>Npa</f>
        <v>20</v>
      </c>
      <c r="E136" s="2"/>
      <c r="F136" s="20" t="s">
        <v>243</v>
      </c>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87"/>
      <c r="C137" s="11" t="s">
        <v>244</v>
      </c>
      <c r="D137" s="12">
        <f>Ipp_nom</f>
        <v>1.2467741935483871</v>
      </c>
      <c r="E137" s="284" t="str">
        <f>CALCULATIONS!D82</f>
        <v>A</v>
      </c>
      <c r="F137" s="21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87"/>
      <c r="C138" s="104" t="s">
        <v>250</v>
      </c>
      <c r="D138" s="12">
        <f>Ipri_RMS</f>
        <v>0.50128954073011511</v>
      </c>
      <c r="E138" s="284" t="str">
        <f>CALCULATIONS!D100</f>
        <v>A</v>
      </c>
      <c r="F138" s="21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87"/>
      <c r="C139" s="11" t="s">
        <v>255</v>
      </c>
      <c r="D139" s="12">
        <f>Isp_max</f>
        <v>6.3273790322580652</v>
      </c>
      <c r="E139" s="284" t="str">
        <f>CALCULATIONS!D101</f>
        <v>A</v>
      </c>
      <c r="F139" s="21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87"/>
      <c r="C140" s="11" t="s">
        <v>257</v>
      </c>
      <c r="D140" s="12">
        <f>Isec_rms</f>
        <v>2.3815389494043608</v>
      </c>
      <c r="E140" s="284" t="str">
        <f>CALCULATIONS!D102</f>
        <v>A</v>
      </c>
      <c r="F140" s="21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88"/>
      <c r="C141" s="13" t="s">
        <v>258</v>
      </c>
      <c r="D141" s="15">
        <f>fmax</f>
        <v>78.425053902544178</v>
      </c>
      <c r="E141" s="283" t="str">
        <f>CALCULATIONS!D95</f>
        <v>kHz</v>
      </c>
      <c r="F141" s="220"/>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6">
    <mergeCell ref="B114:B115"/>
    <mergeCell ref="B119:F119"/>
    <mergeCell ref="B116:F116"/>
    <mergeCell ref="E106:F106"/>
    <mergeCell ref="E115:F115"/>
    <mergeCell ref="B94:F94"/>
    <mergeCell ref="B117:B118"/>
    <mergeCell ref="B113:F113"/>
    <mergeCell ref="E112:F112"/>
    <mergeCell ref="E88:F88"/>
    <mergeCell ref="E92:F92"/>
    <mergeCell ref="E93:F93"/>
    <mergeCell ref="B89:F89"/>
    <mergeCell ref="E91:F91"/>
    <mergeCell ref="B90:B93"/>
    <mergeCell ref="E90:F90"/>
    <mergeCell ref="E100:F100"/>
    <mergeCell ref="E96:F96"/>
    <mergeCell ref="D97:F97"/>
    <mergeCell ref="B95:B97"/>
    <mergeCell ref="B98:F98"/>
    <mergeCell ref="B99:B100"/>
    <mergeCell ref="B102:B103"/>
    <mergeCell ref="B105:B106"/>
    <mergeCell ref="B111:B112"/>
    <mergeCell ref="E85:F85"/>
    <mergeCell ref="E86:F86"/>
    <mergeCell ref="B83:F83"/>
    <mergeCell ref="D84:F84"/>
    <mergeCell ref="B110:F110"/>
    <mergeCell ref="B107:F107"/>
    <mergeCell ref="B108:B109"/>
    <mergeCell ref="E109:F109"/>
    <mergeCell ref="B101:F101"/>
    <mergeCell ref="B123:B124"/>
    <mergeCell ref="B120:B121"/>
    <mergeCell ref="B133:F133"/>
    <mergeCell ref="E134:F134"/>
    <mergeCell ref="B125:F125"/>
    <mergeCell ref="D59:F59"/>
    <mergeCell ref="D63:F63"/>
    <mergeCell ref="E61:F61"/>
    <mergeCell ref="B74:F74"/>
    <mergeCell ref="B70:F70"/>
    <mergeCell ref="E69:F69"/>
    <mergeCell ref="B104:F104"/>
    <mergeCell ref="E103:F103"/>
    <mergeCell ref="B75:B78"/>
    <mergeCell ref="B67:B69"/>
    <mergeCell ref="D67:F67"/>
    <mergeCell ref="B66:F66"/>
    <mergeCell ref="E81:F81"/>
    <mergeCell ref="E82:F82"/>
    <mergeCell ref="E76:F76"/>
    <mergeCell ref="E77:F77"/>
    <mergeCell ref="B87:F87"/>
    <mergeCell ref="B84:B86"/>
    <mergeCell ref="B80:B82"/>
    <mergeCell ref="E33:F33"/>
    <mergeCell ref="E32:F32"/>
    <mergeCell ref="B29:F29"/>
    <mergeCell ref="C30:F30"/>
    <mergeCell ref="B32:B34"/>
    <mergeCell ref="B31:F31"/>
    <mergeCell ref="E38:F38"/>
    <mergeCell ref="E39:F39"/>
    <mergeCell ref="E141:F141"/>
    <mergeCell ref="E139:F139"/>
    <mergeCell ref="E140:F140"/>
    <mergeCell ref="E137:F137"/>
    <mergeCell ref="E138:F138"/>
    <mergeCell ref="B128:F128"/>
    <mergeCell ref="E127:F127"/>
    <mergeCell ref="B126:B127"/>
    <mergeCell ref="B129:B130"/>
    <mergeCell ref="B134:B141"/>
    <mergeCell ref="E130:F130"/>
    <mergeCell ref="B131:F131"/>
    <mergeCell ref="E121:F121"/>
    <mergeCell ref="B122:F122"/>
    <mergeCell ref="E118:F118"/>
    <mergeCell ref="F123:F124"/>
    <mergeCell ref="D41:F41"/>
    <mergeCell ref="B40:F40"/>
    <mergeCell ref="D55:F55"/>
    <mergeCell ref="D49:F49"/>
    <mergeCell ref="E51:F51"/>
    <mergeCell ref="E47:F47"/>
    <mergeCell ref="D36:F36"/>
    <mergeCell ref="E34:F34"/>
    <mergeCell ref="B35:F35"/>
    <mergeCell ref="B41:B43"/>
    <mergeCell ref="B55:B57"/>
    <mergeCell ref="B49:B53"/>
    <mergeCell ref="B36:B39"/>
    <mergeCell ref="E57:F57"/>
    <mergeCell ref="D45:F45"/>
    <mergeCell ref="E43:F43"/>
    <mergeCell ref="E52:F52"/>
    <mergeCell ref="E53:F53"/>
    <mergeCell ref="D80:F80"/>
    <mergeCell ref="B79:F79"/>
    <mergeCell ref="E78:F78"/>
    <mergeCell ref="B44:F44"/>
    <mergeCell ref="B45:B47"/>
    <mergeCell ref="B54:F54"/>
    <mergeCell ref="B48:F48"/>
    <mergeCell ref="B63:B65"/>
    <mergeCell ref="B59:B61"/>
    <mergeCell ref="E68:F68"/>
    <mergeCell ref="B62:F62"/>
    <mergeCell ref="B58:F58"/>
    <mergeCell ref="D75:F75"/>
    <mergeCell ref="B71:B73"/>
    <mergeCell ref="E72:F72"/>
    <mergeCell ref="E73:F73"/>
  </mergeCells>
  <pageMargins left="0" right="0" top="0.74803149606299213" bottom="0.74803149606299213" header="0" footer="0"/>
  <pageSetup paperSize="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4.44140625" defaultRowHeight="15" customHeight="1"/>
  <cols>
    <col min="1" max="1" width="65.109375" customWidth="1"/>
    <col min="2" max="2" width="23.88671875" customWidth="1"/>
    <col min="3" max="3" width="19" customWidth="1"/>
    <col min="4" max="4" width="9.109375" customWidth="1"/>
    <col min="5" max="5" width="38.6640625" customWidth="1"/>
    <col min="6" max="6" width="9.109375" customWidth="1"/>
    <col min="7" max="7" width="14.109375" customWidth="1"/>
    <col min="8" max="26" width="9.109375" customWidth="1"/>
  </cols>
  <sheetData>
    <row r="1" spans="1:26" ht="14.25" customHeight="1">
      <c r="A1" s="333" t="s">
        <v>33</v>
      </c>
      <c r="B1" s="222"/>
      <c r="C1" s="222"/>
      <c r="D1" s="222"/>
      <c r="E1" s="223"/>
      <c r="F1" s="1"/>
      <c r="G1" s="1"/>
      <c r="H1" s="1"/>
      <c r="I1" s="1"/>
      <c r="J1" s="1"/>
      <c r="K1" s="1"/>
      <c r="L1" s="1"/>
      <c r="M1" s="1"/>
      <c r="N1" s="1"/>
      <c r="O1" s="1"/>
      <c r="P1" s="1"/>
      <c r="Q1" s="1"/>
      <c r="R1" s="1"/>
      <c r="S1" s="1"/>
      <c r="T1" s="1"/>
      <c r="U1" s="1"/>
      <c r="V1" s="1"/>
      <c r="W1" s="1"/>
      <c r="X1" s="1"/>
      <c r="Y1" s="1"/>
      <c r="Z1" s="1"/>
    </row>
    <row r="2" spans="1:26" ht="45" customHeight="1">
      <c r="A2" s="334" t="s">
        <v>35</v>
      </c>
      <c r="B2" s="222"/>
      <c r="C2" s="222"/>
      <c r="D2" s="222"/>
      <c r="E2" s="223"/>
      <c r="F2" s="1"/>
      <c r="G2" s="1"/>
      <c r="H2" s="1"/>
      <c r="I2" s="1"/>
      <c r="J2" s="1"/>
      <c r="K2" s="1"/>
      <c r="L2" s="1"/>
      <c r="M2" s="1"/>
      <c r="N2" s="1"/>
      <c r="O2" s="1"/>
      <c r="P2" s="1"/>
      <c r="Q2" s="1"/>
      <c r="R2" s="1"/>
      <c r="S2" s="1"/>
      <c r="T2" s="1"/>
      <c r="U2" s="1"/>
      <c r="V2" s="1"/>
      <c r="W2" s="1"/>
      <c r="X2" s="1"/>
      <c r="Y2" s="1"/>
      <c r="Z2" s="1"/>
    </row>
    <row r="3" spans="1:26" ht="18.75" customHeight="1">
      <c r="A3" s="353" t="s">
        <v>36</v>
      </c>
      <c r="B3" s="225"/>
      <c r="C3" s="225"/>
      <c r="D3" s="225"/>
      <c r="E3" s="226"/>
      <c r="F3" s="1"/>
      <c r="G3" s="1"/>
      <c r="H3" s="1"/>
      <c r="I3" s="1"/>
      <c r="J3" s="1"/>
      <c r="K3" s="1"/>
      <c r="L3" s="1"/>
      <c r="M3" s="1"/>
      <c r="N3" s="1"/>
      <c r="O3" s="1"/>
      <c r="P3" s="1"/>
      <c r="Q3" s="1"/>
      <c r="R3" s="1"/>
      <c r="S3" s="1"/>
      <c r="T3" s="1"/>
      <c r="U3" s="1"/>
      <c r="V3" s="1"/>
      <c r="W3" s="1"/>
      <c r="X3" s="1"/>
      <c r="Y3" s="1"/>
      <c r="Z3" s="1"/>
    </row>
    <row r="4" spans="1:26" ht="18.75" customHeight="1">
      <c r="A4" s="25" t="s">
        <v>38</v>
      </c>
      <c r="B4" s="26" t="s">
        <v>43</v>
      </c>
      <c r="C4" s="354" t="str">
        <f>Vin_type</f>
        <v>AC</v>
      </c>
      <c r="D4" s="205"/>
      <c r="E4" s="335" t="s">
        <v>46</v>
      </c>
      <c r="F4" s="1"/>
      <c r="G4" s="1"/>
      <c r="H4" s="1"/>
      <c r="I4" s="1"/>
      <c r="J4" s="1"/>
      <c r="K4" s="1"/>
      <c r="L4" s="1"/>
      <c r="M4" s="1"/>
      <c r="N4" s="1"/>
      <c r="O4" s="1"/>
      <c r="P4" s="1"/>
      <c r="Q4" s="1"/>
      <c r="R4" s="1"/>
      <c r="S4" s="1"/>
      <c r="T4" s="1"/>
      <c r="U4" s="1"/>
      <c r="V4" s="1"/>
      <c r="W4" s="1"/>
      <c r="X4" s="1"/>
      <c r="Y4" s="1"/>
      <c r="Z4" s="1"/>
    </row>
    <row r="5" spans="1:26" ht="18.75" customHeight="1">
      <c r="A5" s="25" t="s">
        <v>48</v>
      </c>
      <c r="B5" s="26" t="s">
        <v>49</v>
      </c>
      <c r="C5" s="30">
        <f>'START HERE'!C17</f>
        <v>180</v>
      </c>
      <c r="D5" s="30" t="str">
        <f>IF(Vin_type="AC","VAC","VDC")</f>
        <v>VAC</v>
      </c>
      <c r="E5" s="336"/>
      <c r="F5" s="1"/>
      <c r="G5" s="1"/>
      <c r="H5" s="1"/>
      <c r="I5" s="1"/>
      <c r="J5" s="1"/>
      <c r="K5" s="1"/>
      <c r="L5" s="1"/>
      <c r="M5" s="1"/>
      <c r="N5" s="1"/>
      <c r="O5" s="1"/>
      <c r="P5" s="1"/>
      <c r="Q5" s="1"/>
      <c r="R5" s="1"/>
      <c r="S5" s="1"/>
      <c r="T5" s="1"/>
      <c r="U5" s="1"/>
      <c r="V5" s="1"/>
      <c r="W5" s="1"/>
      <c r="X5" s="1"/>
      <c r="Y5" s="1"/>
      <c r="Z5" s="1"/>
    </row>
    <row r="6" spans="1:26" ht="18.75" customHeight="1">
      <c r="A6" s="25" t="s">
        <v>51</v>
      </c>
      <c r="B6" s="26" t="s">
        <v>52</v>
      </c>
      <c r="C6" s="30">
        <f>'START HERE'!C18</f>
        <v>240</v>
      </c>
      <c r="D6" s="30" t="str">
        <f>IF(Vin_type="AC","VAC","VDC")</f>
        <v>VAC</v>
      </c>
      <c r="E6" s="336"/>
      <c r="F6" s="1"/>
      <c r="G6" s="1"/>
      <c r="H6" s="1"/>
      <c r="I6" s="1"/>
      <c r="J6" s="1"/>
      <c r="K6" s="1"/>
      <c r="L6" s="1"/>
      <c r="M6" s="1"/>
      <c r="N6" s="1"/>
      <c r="O6" s="1"/>
      <c r="P6" s="1"/>
      <c r="Q6" s="1"/>
      <c r="R6" s="1"/>
      <c r="S6" s="1"/>
      <c r="T6" s="1"/>
      <c r="U6" s="1"/>
      <c r="V6" s="1"/>
      <c r="W6" s="1"/>
      <c r="X6" s="1"/>
      <c r="Y6" s="1"/>
      <c r="Z6" s="1"/>
    </row>
    <row r="7" spans="1:26" ht="18.75" customHeight="1">
      <c r="A7" s="25" t="s">
        <v>53</v>
      </c>
      <c r="B7" s="26" t="s">
        <v>54</v>
      </c>
      <c r="C7" s="30">
        <f>'START HERE'!C19</f>
        <v>230</v>
      </c>
      <c r="D7" s="30" t="str">
        <f>IF(Vin_type="AC","VAC","VDC")</f>
        <v>VAC</v>
      </c>
      <c r="E7" s="336"/>
      <c r="F7" s="1"/>
      <c r="G7" s="1"/>
      <c r="H7" s="1"/>
      <c r="I7" s="1"/>
      <c r="J7" s="1"/>
      <c r="K7" s="1"/>
      <c r="L7" s="1"/>
      <c r="M7" s="1"/>
      <c r="N7" s="1"/>
      <c r="O7" s="1"/>
      <c r="P7" s="1"/>
      <c r="Q7" s="1"/>
      <c r="R7" s="1"/>
      <c r="S7" s="1"/>
      <c r="T7" s="1"/>
      <c r="U7" s="1"/>
      <c r="V7" s="1"/>
      <c r="W7" s="1"/>
      <c r="X7" s="1"/>
      <c r="Y7" s="1"/>
      <c r="Z7" s="1"/>
    </row>
    <row r="8" spans="1:26" ht="18.75" customHeight="1">
      <c r="A8" s="25" t="s">
        <v>57</v>
      </c>
      <c r="B8" s="26" t="s">
        <v>58</v>
      </c>
      <c r="C8" s="30">
        <f>'START HERE'!C20</f>
        <v>50</v>
      </c>
      <c r="D8" s="30" t="s">
        <v>41</v>
      </c>
      <c r="E8" s="336"/>
      <c r="F8" s="1"/>
      <c r="G8" s="1"/>
      <c r="H8" s="1"/>
      <c r="I8" s="1"/>
      <c r="J8" s="1"/>
      <c r="K8" s="1"/>
      <c r="L8" s="1"/>
      <c r="M8" s="1"/>
      <c r="N8" s="1"/>
      <c r="O8" s="1"/>
      <c r="P8" s="1"/>
      <c r="Q8" s="1"/>
      <c r="R8" s="1"/>
      <c r="S8" s="1"/>
      <c r="T8" s="1"/>
      <c r="U8" s="1"/>
      <c r="V8" s="1"/>
      <c r="W8" s="1"/>
      <c r="X8" s="1"/>
      <c r="Y8" s="1"/>
      <c r="Z8" s="1"/>
    </row>
    <row r="9" spans="1:26" ht="18.75" customHeight="1">
      <c r="A9" s="25" t="s">
        <v>60</v>
      </c>
      <c r="B9" s="26" t="s">
        <v>62</v>
      </c>
      <c r="C9" s="30">
        <f>'START HERE'!C21</f>
        <v>175</v>
      </c>
      <c r="D9" s="30" t="str">
        <f>IF(Vin_type="AC","VAC","VDC")</f>
        <v>VAC</v>
      </c>
      <c r="E9" s="337"/>
      <c r="F9" s="1"/>
      <c r="G9" s="1"/>
      <c r="H9" s="1"/>
      <c r="I9" s="1"/>
      <c r="J9" s="1"/>
      <c r="K9" s="1"/>
      <c r="L9" s="1"/>
      <c r="M9" s="1"/>
      <c r="N9" s="1"/>
      <c r="O9" s="1"/>
      <c r="P9" s="1"/>
      <c r="Q9" s="1"/>
      <c r="R9" s="1"/>
      <c r="S9" s="1"/>
      <c r="T9" s="1"/>
      <c r="U9" s="1"/>
      <c r="V9" s="1"/>
      <c r="W9" s="1"/>
      <c r="X9" s="1"/>
      <c r="Y9" s="1"/>
      <c r="Z9" s="1"/>
    </row>
    <row r="10" spans="1:26" ht="18.75" customHeight="1">
      <c r="A10" s="32" t="s">
        <v>67</v>
      </c>
      <c r="B10" s="34" t="s">
        <v>68</v>
      </c>
      <c r="C10" s="36">
        <f>IF(Vin_type="AC",Vinput_min*SQRT(2),Vinput_min)</f>
        <v>254.55844122715712</v>
      </c>
      <c r="D10" s="299" t="s">
        <v>37</v>
      </c>
      <c r="E10" s="228"/>
      <c r="F10" s="1"/>
      <c r="G10" s="1"/>
      <c r="H10" s="1"/>
      <c r="I10" s="1"/>
      <c r="J10" s="1"/>
      <c r="K10" s="1"/>
      <c r="L10" s="1"/>
      <c r="M10" s="1"/>
      <c r="N10" s="1"/>
      <c r="O10" s="1"/>
      <c r="P10" s="1"/>
      <c r="Q10" s="1"/>
      <c r="R10" s="1"/>
      <c r="S10" s="1"/>
      <c r="T10" s="1"/>
      <c r="U10" s="1"/>
      <c r="V10" s="1"/>
      <c r="W10" s="1"/>
      <c r="X10" s="1"/>
      <c r="Y10" s="1"/>
      <c r="Z10" s="1"/>
    </row>
    <row r="11" spans="1:26" ht="18.75" customHeight="1">
      <c r="A11" s="18" t="s">
        <v>78</v>
      </c>
      <c r="B11" s="39" t="s">
        <v>79</v>
      </c>
      <c r="C11" s="42">
        <f>IF(Vin_type="AC",Vinput_max*SQRT(2),Vinput_max)</f>
        <v>339.41125496954282</v>
      </c>
      <c r="D11" s="204" t="s">
        <v>37</v>
      </c>
      <c r="E11" s="212"/>
      <c r="F11" s="1"/>
      <c r="G11" s="1"/>
      <c r="H11" s="1"/>
      <c r="I11" s="1"/>
      <c r="J11" s="1"/>
      <c r="K11" s="1"/>
      <c r="L11" s="1"/>
      <c r="M11" s="1"/>
      <c r="N11" s="1"/>
      <c r="O11" s="1"/>
      <c r="P11" s="1"/>
      <c r="Q11" s="1"/>
      <c r="R11" s="1"/>
      <c r="S11" s="1"/>
      <c r="T11" s="1"/>
      <c r="U11" s="1"/>
      <c r="V11" s="1"/>
      <c r="W11" s="1"/>
      <c r="X11" s="1"/>
      <c r="Y11" s="1"/>
      <c r="Z11" s="1"/>
    </row>
    <row r="12" spans="1:26" ht="18.75" customHeight="1">
      <c r="A12" s="18" t="s">
        <v>88</v>
      </c>
      <c r="B12" s="39" t="s">
        <v>90</v>
      </c>
      <c r="C12" s="42">
        <f>IF(Vin_type="AC",Vinput_nom*SQRT(2),Vinput_nom)</f>
        <v>325.26911934581187</v>
      </c>
      <c r="D12" s="204" t="s">
        <v>37</v>
      </c>
      <c r="E12" s="212"/>
      <c r="F12" s="1"/>
      <c r="G12" s="1"/>
      <c r="H12" s="1"/>
      <c r="I12" s="1"/>
      <c r="J12" s="1"/>
      <c r="K12" s="1"/>
      <c r="L12" s="1"/>
      <c r="M12" s="1"/>
      <c r="N12" s="1"/>
      <c r="O12" s="1"/>
      <c r="P12" s="1"/>
      <c r="Q12" s="1"/>
      <c r="R12" s="1"/>
      <c r="S12" s="1"/>
      <c r="T12" s="1"/>
      <c r="U12" s="1"/>
      <c r="V12" s="1"/>
      <c r="W12" s="1"/>
      <c r="X12" s="1"/>
      <c r="Y12" s="1"/>
      <c r="Z12" s="1"/>
    </row>
    <row r="13" spans="1:26" ht="18.75" customHeight="1">
      <c r="A13" s="18" t="s">
        <v>97</v>
      </c>
      <c r="B13" s="39" t="s">
        <v>99</v>
      </c>
      <c r="C13" s="42">
        <f>IF(Vin_type="AC",Vinput_run*SQRT(2),Vinput_run)</f>
        <v>247.48737341529164</v>
      </c>
      <c r="D13" s="204" t="s">
        <v>37</v>
      </c>
      <c r="E13" s="212"/>
      <c r="F13" s="1"/>
      <c r="G13" s="1"/>
      <c r="H13" s="1"/>
      <c r="I13" s="1"/>
      <c r="J13" s="1"/>
      <c r="K13" s="1"/>
      <c r="L13" s="1"/>
      <c r="M13" s="1"/>
      <c r="N13" s="1"/>
      <c r="O13" s="1"/>
      <c r="P13" s="1"/>
      <c r="Q13" s="1"/>
      <c r="R13" s="1"/>
      <c r="S13" s="1"/>
      <c r="T13" s="1"/>
      <c r="U13" s="1"/>
      <c r="V13" s="1"/>
      <c r="W13" s="1"/>
      <c r="X13" s="1"/>
      <c r="Y13" s="1"/>
      <c r="Z13" s="1"/>
    </row>
    <row r="14" spans="1:26" ht="18.75" customHeight="1">
      <c r="A14" s="27" t="s">
        <v>102</v>
      </c>
      <c r="B14" s="45" t="s">
        <v>103</v>
      </c>
      <c r="C14" s="47">
        <f>IF(Input_Voltage_type="AC",(1/fline_min)/ms,"n/a")</f>
        <v>20</v>
      </c>
      <c r="D14" s="218" t="s">
        <v>93</v>
      </c>
      <c r="E14" s="220"/>
      <c r="F14" s="1"/>
      <c r="G14" s="1"/>
      <c r="H14" s="1"/>
      <c r="I14" s="1"/>
      <c r="J14" s="1"/>
      <c r="K14" s="1"/>
      <c r="L14" s="1"/>
      <c r="M14" s="1"/>
      <c r="N14" s="1"/>
      <c r="O14" s="1"/>
      <c r="P14" s="1"/>
      <c r="Q14" s="1"/>
      <c r="R14" s="1"/>
      <c r="S14" s="1"/>
      <c r="T14" s="1"/>
      <c r="U14" s="1"/>
      <c r="V14" s="1"/>
      <c r="W14" s="1"/>
      <c r="X14" s="1"/>
      <c r="Y14" s="1"/>
      <c r="Z14" s="1"/>
    </row>
    <row r="15" spans="1:26" ht="18.75" customHeight="1">
      <c r="A15" s="353" t="s">
        <v>110</v>
      </c>
      <c r="B15" s="225"/>
      <c r="C15" s="225"/>
      <c r="D15" s="225"/>
      <c r="E15" s="226"/>
      <c r="F15" s="1"/>
      <c r="G15" s="1"/>
      <c r="H15" s="1"/>
      <c r="I15" s="1"/>
      <c r="J15" s="1"/>
      <c r="K15" s="1"/>
      <c r="L15" s="1"/>
      <c r="M15" s="1"/>
      <c r="N15" s="1"/>
      <c r="O15" s="1"/>
      <c r="P15" s="1"/>
      <c r="Q15" s="1"/>
      <c r="R15" s="1"/>
      <c r="S15" s="1"/>
      <c r="T15" s="1"/>
      <c r="U15" s="1"/>
      <c r="V15" s="1"/>
      <c r="W15" s="1"/>
      <c r="X15" s="1"/>
      <c r="Y15" s="1"/>
      <c r="Z15" s="1"/>
    </row>
    <row r="16" spans="1:26" ht="18.75" customHeight="1">
      <c r="A16" s="25" t="s">
        <v>112</v>
      </c>
      <c r="B16" s="26" t="s">
        <v>114</v>
      </c>
      <c r="C16" s="30">
        <f>'START HERE'!C24</f>
        <v>40</v>
      </c>
      <c r="D16" s="30" t="s">
        <v>37</v>
      </c>
      <c r="E16" s="335" t="s">
        <v>46</v>
      </c>
      <c r="F16" s="1"/>
      <c r="G16" s="1"/>
      <c r="H16" s="1"/>
      <c r="I16" s="1"/>
      <c r="J16" s="1"/>
      <c r="K16" s="1"/>
      <c r="L16" s="1"/>
      <c r="M16" s="1"/>
      <c r="N16" s="1"/>
      <c r="O16" s="1"/>
      <c r="P16" s="1"/>
      <c r="Q16" s="1"/>
      <c r="R16" s="1"/>
      <c r="S16" s="1"/>
      <c r="T16" s="1"/>
      <c r="U16" s="1"/>
      <c r="V16" s="1"/>
      <c r="W16" s="1"/>
      <c r="X16" s="1"/>
      <c r="Y16" s="1"/>
      <c r="Z16" s="1"/>
    </row>
    <row r="17" spans="1:26" ht="18.75" customHeight="1">
      <c r="A17" s="25" t="s">
        <v>117</v>
      </c>
      <c r="B17" s="26" t="s">
        <v>119</v>
      </c>
      <c r="C17" s="30">
        <f>'START HERE'!C25</f>
        <v>1.2</v>
      </c>
      <c r="D17" s="30" t="s">
        <v>66</v>
      </c>
      <c r="E17" s="336"/>
      <c r="F17" s="1"/>
      <c r="G17" s="1"/>
      <c r="H17" s="1"/>
      <c r="I17" s="1"/>
      <c r="J17" s="1"/>
      <c r="K17" s="1"/>
      <c r="L17" s="1"/>
      <c r="M17" s="1"/>
      <c r="N17" s="1"/>
      <c r="O17" s="1"/>
      <c r="P17" s="1"/>
      <c r="Q17" s="1"/>
      <c r="R17" s="1"/>
      <c r="S17" s="1"/>
      <c r="T17" s="1"/>
      <c r="U17" s="1"/>
      <c r="V17" s="1"/>
      <c r="W17" s="1"/>
      <c r="X17" s="1"/>
      <c r="Y17" s="1"/>
      <c r="Z17" s="1"/>
    </row>
    <row r="18" spans="1:26" ht="18.75" customHeight="1">
      <c r="A18" s="25" t="s">
        <v>122</v>
      </c>
      <c r="B18" s="26" t="s">
        <v>123</v>
      </c>
      <c r="C18" s="30">
        <f>'START HERE'!C26</f>
        <v>1.26</v>
      </c>
      <c r="D18" s="30" t="s">
        <v>66</v>
      </c>
      <c r="E18" s="336"/>
      <c r="F18" s="1"/>
      <c r="G18" s="1"/>
      <c r="H18" s="1"/>
      <c r="I18" s="1"/>
      <c r="J18" s="1"/>
      <c r="K18" s="1"/>
      <c r="L18" s="1"/>
      <c r="M18" s="1"/>
      <c r="N18" s="1"/>
      <c r="O18" s="1"/>
      <c r="P18" s="1"/>
      <c r="Q18" s="1"/>
      <c r="R18" s="1"/>
      <c r="S18" s="1"/>
      <c r="T18" s="1"/>
      <c r="U18" s="1"/>
      <c r="V18" s="1"/>
      <c r="W18" s="1"/>
      <c r="X18" s="1"/>
      <c r="Y18" s="1"/>
      <c r="Z18" s="1"/>
    </row>
    <row r="19" spans="1:26" ht="18.75" customHeight="1">
      <c r="A19" s="307" t="s">
        <v>124</v>
      </c>
      <c r="B19" s="309" t="s">
        <v>126</v>
      </c>
      <c r="C19" s="308">
        <f>'START HERE'!C27</f>
        <v>38</v>
      </c>
      <c r="D19" s="310" t="s">
        <v>37</v>
      </c>
      <c r="E19" s="336"/>
      <c r="F19" s="1"/>
      <c r="G19" s="1"/>
      <c r="H19" s="1"/>
      <c r="I19" s="1"/>
      <c r="J19" s="1"/>
      <c r="K19" s="1"/>
      <c r="L19" s="1"/>
      <c r="M19" s="1"/>
      <c r="N19" s="1"/>
      <c r="O19" s="1"/>
      <c r="P19" s="1"/>
      <c r="Q19" s="1"/>
      <c r="R19" s="1"/>
      <c r="S19" s="1"/>
      <c r="T19" s="1"/>
      <c r="U19" s="1"/>
      <c r="V19" s="1"/>
      <c r="W19" s="1"/>
      <c r="X19" s="1"/>
      <c r="Y19" s="1"/>
      <c r="Z19" s="1"/>
    </row>
    <row r="20" spans="1:26" ht="18.75" customHeight="1">
      <c r="A20" s="306"/>
      <c r="B20" s="276"/>
      <c r="C20" s="276"/>
      <c r="D20" s="276"/>
      <c r="E20" s="336"/>
      <c r="F20" s="1"/>
      <c r="G20" s="1"/>
      <c r="H20" s="1"/>
      <c r="I20" s="1"/>
      <c r="J20" s="1"/>
      <c r="K20" s="1"/>
      <c r="L20" s="1"/>
      <c r="M20" s="1"/>
      <c r="N20" s="1"/>
      <c r="O20" s="1"/>
      <c r="P20" s="1"/>
      <c r="Q20" s="1"/>
      <c r="R20" s="1"/>
      <c r="S20" s="1"/>
      <c r="T20" s="1"/>
      <c r="U20" s="1"/>
      <c r="V20" s="1"/>
      <c r="W20" s="1"/>
      <c r="X20" s="1"/>
      <c r="Y20" s="1"/>
      <c r="Z20" s="1"/>
    </row>
    <row r="21" spans="1:26" ht="18.75" customHeight="1">
      <c r="A21" s="307" t="s">
        <v>134</v>
      </c>
      <c r="B21" s="309" t="s">
        <v>136</v>
      </c>
      <c r="C21" s="308">
        <f>'START HERE'!C28</f>
        <v>0.05</v>
      </c>
      <c r="D21" s="310" t="s">
        <v>37</v>
      </c>
      <c r="E21" s="336"/>
      <c r="F21" s="1"/>
      <c r="G21" s="1"/>
      <c r="H21" s="1"/>
      <c r="I21" s="1"/>
      <c r="J21" s="1"/>
      <c r="K21" s="1"/>
      <c r="L21" s="1"/>
      <c r="M21" s="1"/>
      <c r="N21" s="1"/>
      <c r="O21" s="1"/>
      <c r="P21" s="1"/>
      <c r="Q21" s="1"/>
      <c r="R21" s="1"/>
      <c r="S21" s="1"/>
      <c r="T21" s="1"/>
      <c r="U21" s="1"/>
      <c r="V21" s="1"/>
      <c r="W21" s="1"/>
      <c r="X21" s="1"/>
      <c r="Y21" s="1"/>
      <c r="Z21" s="1"/>
    </row>
    <row r="22" spans="1:26" ht="18.75" customHeight="1">
      <c r="A22" s="306"/>
      <c r="B22" s="276"/>
      <c r="C22" s="276"/>
      <c r="D22" s="276"/>
      <c r="E22" s="336"/>
      <c r="F22" s="1"/>
      <c r="G22" s="1"/>
      <c r="H22" s="1"/>
      <c r="I22" s="1"/>
      <c r="J22" s="1"/>
      <c r="K22" s="1"/>
      <c r="L22" s="1"/>
      <c r="M22" s="1"/>
      <c r="N22" s="1"/>
      <c r="O22" s="1"/>
      <c r="P22" s="1"/>
      <c r="Q22" s="1"/>
      <c r="R22" s="1"/>
      <c r="S22" s="1"/>
      <c r="T22" s="1"/>
      <c r="U22" s="1"/>
      <c r="V22" s="1"/>
      <c r="W22" s="1"/>
      <c r="X22" s="1"/>
      <c r="Y22" s="1"/>
      <c r="Z22" s="1"/>
    </row>
    <row r="23" spans="1:26" ht="18.75" customHeight="1">
      <c r="A23" s="25" t="s">
        <v>144</v>
      </c>
      <c r="B23" s="26" t="s">
        <v>145</v>
      </c>
      <c r="C23" s="30">
        <f>'START HERE'!C29</f>
        <v>80</v>
      </c>
      <c r="D23" s="30" t="s">
        <v>84</v>
      </c>
      <c r="E23" s="336"/>
      <c r="F23" s="1"/>
      <c r="G23" s="1"/>
      <c r="H23" s="1"/>
      <c r="I23" s="1"/>
      <c r="J23" s="1"/>
      <c r="K23" s="1"/>
      <c r="L23" s="1"/>
      <c r="M23" s="1"/>
      <c r="N23" s="1"/>
      <c r="O23" s="1"/>
      <c r="P23" s="1"/>
      <c r="Q23" s="1"/>
      <c r="R23" s="1"/>
      <c r="S23" s="1"/>
      <c r="T23" s="1"/>
      <c r="U23" s="1"/>
      <c r="V23" s="1"/>
      <c r="W23" s="1"/>
      <c r="X23" s="1"/>
      <c r="Y23" s="1"/>
      <c r="Z23" s="1"/>
    </row>
    <row r="24" spans="1:26" ht="18.75" customHeight="1">
      <c r="A24" s="30" t="s">
        <v>146</v>
      </c>
      <c r="B24" s="26" t="s">
        <v>147</v>
      </c>
      <c r="C24" s="30">
        <f>'START HERE'!C32</f>
        <v>1.2</v>
      </c>
      <c r="D24" s="30" t="s">
        <v>66</v>
      </c>
      <c r="E24" s="336"/>
      <c r="F24" s="1"/>
      <c r="G24" s="1"/>
      <c r="H24" s="1"/>
      <c r="I24" s="1"/>
      <c r="J24" s="1"/>
      <c r="K24" s="1"/>
      <c r="L24" s="1"/>
      <c r="M24" s="1"/>
      <c r="N24" s="1"/>
      <c r="O24" s="1"/>
      <c r="P24" s="1"/>
      <c r="Q24" s="1"/>
      <c r="R24" s="1"/>
      <c r="S24" s="1"/>
      <c r="T24" s="1"/>
      <c r="U24" s="1"/>
      <c r="V24" s="1"/>
      <c r="W24" s="1"/>
      <c r="X24" s="1"/>
      <c r="Y24" s="1"/>
      <c r="Z24" s="1"/>
    </row>
    <row r="25" spans="1:26" ht="18.75" customHeight="1">
      <c r="A25" s="311" t="s">
        <v>149</v>
      </c>
      <c r="B25" s="313" t="s">
        <v>151</v>
      </c>
      <c r="C25" s="308">
        <f>'START HERE'!C33</f>
        <v>20</v>
      </c>
      <c r="D25" s="310" t="s">
        <v>93</v>
      </c>
      <c r="E25" s="336"/>
      <c r="F25" s="1"/>
      <c r="G25" s="1"/>
      <c r="H25" s="1"/>
      <c r="I25" s="1"/>
      <c r="J25" s="1"/>
      <c r="K25" s="1"/>
      <c r="L25" s="1"/>
      <c r="M25" s="1"/>
      <c r="N25" s="1"/>
      <c r="O25" s="1"/>
      <c r="P25" s="1"/>
      <c r="Q25" s="1"/>
      <c r="R25" s="1"/>
      <c r="S25" s="1"/>
      <c r="T25" s="1"/>
      <c r="U25" s="1"/>
      <c r="V25" s="1"/>
      <c r="W25" s="1"/>
      <c r="X25" s="1"/>
      <c r="Y25" s="1"/>
      <c r="Z25" s="1"/>
    </row>
    <row r="26" spans="1:26" ht="18.75" customHeight="1">
      <c r="A26" s="312"/>
      <c r="B26" s="276"/>
      <c r="C26" s="276"/>
      <c r="D26" s="276"/>
      <c r="E26" s="336"/>
      <c r="F26" s="1"/>
      <c r="G26" s="1"/>
      <c r="H26" s="1"/>
      <c r="I26" s="1"/>
      <c r="J26" s="1"/>
      <c r="K26" s="1"/>
      <c r="L26" s="1"/>
      <c r="M26" s="1"/>
      <c r="N26" s="1"/>
      <c r="O26" s="1"/>
      <c r="P26" s="1"/>
      <c r="Q26" s="1"/>
      <c r="R26" s="1"/>
      <c r="S26" s="1"/>
      <c r="T26" s="1"/>
      <c r="U26" s="1"/>
      <c r="V26" s="1"/>
      <c r="W26" s="1"/>
      <c r="X26" s="1"/>
      <c r="Y26" s="1"/>
      <c r="Z26" s="1"/>
    </row>
    <row r="27" spans="1:26" ht="18.75" customHeight="1">
      <c r="A27" s="60" t="s">
        <v>156</v>
      </c>
      <c r="B27" s="62" t="s">
        <v>158</v>
      </c>
      <c r="C27" s="64">
        <f>'START HERE'!C31</f>
        <v>40.799999999999997</v>
      </c>
      <c r="D27" s="66" t="s">
        <v>37</v>
      </c>
      <c r="E27" s="336"/>
      <c r="F27" s="1"/>
      <c r="G27" s="1"/>
      <c r="H27" s="1"/>
      <c r="I27" s="1"/>
      <c r="J27" s="1"/>
      <c r="K27" s="1"/>
      <c r="L27" s="1"/>
      <c r="M27" s="1"/>
      <c r="N27" s="1"/>
      <c r="O27" s="1"/>
      <c r="P27" s="1"/>
      <c r="Q27" s="1"/>
      <c r="R27" s="1"/>
      <c r="S27" s="1"/>
      <c r="T27" s="1"/>
      <c r="U27" s="1"/>
      <c r="V27" s="1"/>
      <c r="W27" s="1"/>
      <c r="X27" s="1"/>
      <c r="Y27" s="1"/>
      <c r="Z27" s="1"/>
    </row>
    <row r="28" spans="1:26" ht="18.75" customHeight="1">
      <c r="A28" s="60" t="s">
        <v>163</v>
      </c>
      <c r="B28" s="62" t="s">
        <v>164</v>
      </c>
      <c r="C28" s="64">
        <f>'START HERE'!C34</f>
        <v>20</v>
      </c>
      <c r="D28" s="66" t="s">
        <v>98</v>
      </c>
      <c r="E28" s="337"/>
      <c r="F28" s="1"/>
      <c r="G28" s="1"/>
      <c r="H28" s="1"/>
      <c r="I28" s="1"/>
      <c r="J28" s="1"/>
      <c r="K28" s="1"/>
      <c r="L28" s="1"/>
      <c r="M28" s="1"/>
      <c r="N28" s="1"/>
      <c r="O28" s="1"/>
      <c r="P28" s="1"/>
      <c r="Q28" s="1"/>
      <c r="R28" s="1"/>
      <c r="S28" s="1"/>
      <c r="T28" s="1"/>
      <c r="U28" s="1"/>
      <c r="V28" s="1"/>
      <c r="W28" s="1"/>
      <c r="X28" s="1"/>
      <c r="Y28" s="1"/>
      <c r="Z28" s="1"/>
    </row>
    <row r="29" spans="1:26" ht="18.75" customHeight="1">
      <c r="A29" s="32" t="s">
        <v>166</v>
      </c>
      <c r="B29" s="34" t="s">
        <v>167</v>
      </c>
      <c r="C29" s="36">
        <f>IF(Vout_cv&lt;12,0.8,0.85)</f>
        <v>0.85</v>
      </c>
      <c r="D29" s="299"/>
      <c r="E29" s="228"/>
      <c r="F29" s="1"/>
      <c r="G29" s="1"/>
      <c r="H29" s="1"/>
      <c r="I29" s="1"/>
      <c r="J29" s="1"/>
      <c r="K29" s="1"/>
      <c r="L29" s="1"/>
      <c r="M29" s="1"/>
      <c r="N29" s="1"/>
      <c r="O29" s="1"/>
      <c r="P29" s="1"/>
      <c r="Q29" s="1"/>
      <c r="R29" s="1"/>
      <c r="S29" s="1"/>
      <c r="T29" s="1"/>
      <c r="U29" s="1"/>
      <c r="V29" s="1"/>
      <c r="W29" s="1"/>
      <c r="X29" s="1"/>
      <c r="Y29" s="1"/>
      <c r="Z29" s="1"/>
    </row>
    <row r="30" spans="1:26" ht="18.75" customHeight="1">
      <c r="A30" s="18" t="s">
        <v>171</v>
      </c>
      <c r="B30" s="39" t="s">
        <v>172</v>
      </c>
      <c r="C30" s="42">
        <f>(Vout_cv)*Iocc_target</f>
        <v>50.4</v>
      </c>
      <c r="D30" s="204" t="s">
        <v>96</v>
      </c>
      <c r="E30" s="212"/>
      <c r="F30" s="1"/>
      <c r="G30" s="1"/>
      <c r="H30" s="1"/>
      <c r="I30" s="1"/>
      <c r="J30" s="1"/>
      <c r="K30" s="1"/>
      <c r="L30" s="1"/>
      <c r="M30" s="1"/>
      <c r="N30" s="1"/>
      <c r="O30" s="1"/>
      <c r="P30" s="1"/>
      <c r="Q30" s="1"/>
      <c r="R30" s="1"/>
      <c r="S30" s="1"/>
      <c r="T30" s="1"/>
      <c r="U30" s="1"/>
      <c r="V30" s="1"/>
      <c r="W30" s="1"/>
      <c r="X30" s="1"/>
      <c r="Y30" s="1"/>
      <c r="Z30" s="1"/>
    </row>
    <row r="31" spans="1:26" ht="18.75" customHeight="1">
      <c r="A31" s="27" t="s">
        <v>174</v>
      </c>
      <c r="B31" s="45" t="s">
        <v>175</v>
      </c>
      <c r="C31" s="71">
        <f>Pout/efficiency</f>
        <v>59.294117647058826</v>
      </c>
      <c r="D31" s="218" t="s">
        <v>96</v>
      </c>
      <c r="E31" s="220"/>
      <c r="F31" s="1"/>
      <c r="G31" s="1"/>
      <c r="H31" s="1"/>
      <c r="I31" s="1"/>
      <c r="J31" s="1"/>
      <c r="K31" s="1"/>
      <c r="L31" s="1"/>
      <c r="M31" s="1"/>
      <c r="N31" s="1"/>
      <c r="O31" s="1"/>
      <c r="P31" s="1"/>
      <c r="Q31" s="1"/>
      <c r="R31" s="1"/>
      <c r="S31" s="1"/>
      <c r="T31" s="1"/>
      <c r="U31" s="1"/>
      <c r="V31" s="1"/>
      <c r="W31" s="1"/>
      <c r="X31" s="1"/>
      <c r="Y31" s="1"/>
      <c r="Z31" s="1"/>
    </row>
    <row r="32" spans="1:26" ht="18.75" customHeight="1">
      <c r="A32" s="317"/>
      <c r="B32" s="225"/>
      <c r="C32" s="225"/>
      <c r="D32" s="225"/>
      <c r="E32" s="318"/>
      <c r="F32" s="1"/>
      <c r="G32" s="1"/>
      <c r="H32" s="1"/>
      <c r="I32" s="1"/>
      <c r="J32" s="1"/>
      <c r="K32" s="1"/>
      <c r="L32" s="1"/>
      <c r="M32" s="1"/>
      <c r="N32" s="1"/>
      <c r="O32" s="1"/>
      <c r="P32" s="1"/>
      <c r="Q32" s="1"/>
      <c r="R32" s="1"/>
      <c r="S32" s="1"/>
      <c r="T32" s="1"/>
      <c r="U32" s="1"/>
      <c r="V32" s="1"/>
      <c r="W32" s="1"/>
      <c r="X32" s="1"/>
      <c r="Y32" s="1"/>
      <c r="Z32" s="1"/>
    </row>
    <row r="33" spans="1:26" ht="18.75" customHeight="1">
      <c r="A33" s="319" t="s">
        <v>181</v>
      </c>
      <c r="B33" s="233"/>
      <c r="C33" s="233"/>
      <c r="D33" s="233"/>
      <c r="E33" s="320"/>
      <c r="F33" s="1"/>
      <c r="G33" s="1"/>
      <c r="H33" s="1"/>
      <c r="I33" s="1"/>
      <c r="J33" s="1"/>
      <c r="K33" s="1"/>
      <c r="L33" s="1"/>
      <c r="M33" s="1"/>
      <c r="N33" s="1"/>
      <c r="O33" s="1"/>
      <c r="P33" s="1"/>
      <c r="Q33" s="1"/>
      <c r="R33" s="1"/>
      <c r="S33" s="1"/>
      <c r="T33" s="1"/>
      <c r="U33" s="1"/>
      <c r="V33" s="1"/>
      <c r="W33" s="1"/>
      <c r="X33" s="1"/>
      <c r="Y33" s="1"/>
      <c r="Z33" s="1"/>
    </row>
    <row r="34" spans="1:26" ht="18.75" customHeight="1">
      <c r="A34" s="315"/>
      <c r="B34" s="235"/>
      <c r="C34" s="235"/>
      <c r="D34" s="235"/>
      <c r="E34" s="316"/>
      <c r="F34" s="1"/>
      <c r="G34" s="1"/>
      <c r="H34" s="1"/>
      <c r="I34" s="1"/>
      <c r="J34" s="1"/>
      <c r="K34" s="1"/>
      <c r="L34" s="1"/>
      <c r="M34" s="1"/>
      <c r="N34" s="1"/>
      <c r="O34" s="1"/>
      <c r="P34" s="1"/>
      <c r="Q34" s="1"/>
      <c r="R34" s="1"/>
      <c r="S34" s="1"/>
      <c r="T34" s="1"/>
      <c r="U34" s="1"/>
      <c r="V34" s="1"/>
      <c r="W34" s="1"/>
      <c r="X34" s="1"/>
      <c r="Y34" s="1"/>
      <c r="Z34" s="1"/>
    </row>
    <row r="35" spans="1:26" ht="18.75" customHeight="1">
      <c r="A35" s="314" t="s">
        <v>185</v>
      </c>
      <c r="B35" s="225"/>
      <c r="C35" s="225"/>
      <c r="D35" s="225"/>
      <c r="E35" s="226"/>
      <c r="F35" s="1"/>
      <c r="G35" s="1"/>
      <c r="H35" s="1"/>
      <c r="I35" s="1"/>
      <c r="J35" s="1"/>
      <c r="K35" s="1"/>
      <c r="L35" s="1"/>
      <c r="M35" s="1"/>
      <c r="N35" s="1"/>
      <c r="O35" s="1"/>
      <c r="P35" s="1"/>
      <c r="Q35" s="1"/>
      <c r="R35" s="1"/>
      <c r="S35" s="1"/>
      <c r="T35" s="1"/>
      <c r="U35" s="1"/>
      <c r="V35" s="1"/>
      <c r="W35" s="1"/>
      <c r="X35" s="1"/>
      <c r="Y35" s="1"/>
      <c r="Z35" s="1"/>
    </row>
    <row r="36" spans="1:26" ht="18.75" customHeight="1">
      <c r="A36" s="78" t="s">
        <v>190</v>
      </c>
      <c r="B36" s="80" t="s">
        <v>193</v>
      </c>
      <c r="C36" s="82">
        <f>IF(Input_Voltage_type="AC",(((2*Pin)*(0.25+(((1/(2*PI()))*ASIN(Vbulkvalley_desired/Vbulk_min)))))/(((Vbulk_min^2)-(Vbulkvalley_desired^2))*fline_min))*10^6,0.5*Pout)</f>
        <v>27.450980392156854</v>
      </c>
      <c r="D36" s="232" t="s">
        <v>59</v>
      </c>
      <c r="E36" s="214"/>
      <c r="F36" s="1"/>
      <c r="G36" s="1"/>
      <c r="H36" s="1"/>
      <c r="I36" s="1"/>
      <c r="J36" s="1"/>
      <c r="K36" s="1"/>
      <c r="L36" s="1"/>
      <c r="M36" s="1"/>
      <c r="N36" s="1"/>
      <c r="O36" s="1"/>
      <c r="P36" s="1"/>
      <c r="Q36" s="1"/>
      <c r="R36" s="1"/>
      <c r="S36" s="1"/>
      <c r="T36" s="1"/>
      <c r="U36" s="1"/>
      <c r="V36" s="1"/>
      <c r="W36" s="1"/>
      <c r="X36" s="1"/>
      <c r="Y36" s="1"/>
      <c r="Z36" s="1"/>
    </row>
    <row r="37" spans="1:26" ht="18.75" customHeight="1">
      <c r="A37" s="84" t="s">
        <v>198</v>
      </c>
      <c r="B37" s="86" t="s">
        <v>199</v>
      </c>
      <c r="C37" s="88">
        <f>IF('START HERE'!C41="","",'START HERE'!C41)</f>
        <v>28</v>
      </c>
      <c r="D37" s="89" t="s">
        <v>59</v>
      </c>
      <c r="E37" s="90" t="s">
        <v>203</v>
      </c>
      <c r="F37" s="1"/>
      <c r="G37" s="1"/>
      <c r="H37" s="1"/>
      <c r="I37" s="1"/>
      <c r="J37" s="1"/>
      <c r="K37" s="1"/>
      <c r="L37" s="1"/>
      <c r="M37" s="1"/>
      <c r="N37" s="1"/>
      <c r="O37" s="1"/>
      <c r="P37" s="1"/>
      <c r="Q37" s="1"/>
      <c r="R37" s="1"/>
      <c r="S37" s="1"/>
      <c r="T37" s="1"/>
      <c r="U37" s="1"/>
      <c r="V37" s="1"/>
      <c r="W37" s="1"/>
      <c r="X37" s="1"/>
      <c r="Y37" s="1"/>
      <c r="Z37" s="1"/>
    </row>
    <row r="38" spans="1:26" ht="18.75" customHeight="1">
      <c r="A38" s="32" t="s">
        <v>205</v>
      </c>
      <c r="B38" s="34" t="s">
        <v>207</v>
      </c>
      <c r="C38" s="36">
        <f>IF(Cbulk_actual="",Cbulk_rcmd,Cbulk_actual)</f>
        <v>28</v>
      </c>
      <c r="D38" s="299" t="s">
        <v>59</v>
      </c>
      <c r="E38" s="228"/>
      <c r="F38" s="1"/>
      <c r="G38" s="1"/>
      <c r="H38" s="1"/>
      <c r="I38" s="1"/>
      <c r="J38" s="1"/>
      <c r="K38" s="1"/>
      <c r="L38" s="1"/>
      <c r="M38" s="1"/>
      <c r="N38" s="1"/>
      <c r="O38" s="1"/>
      <c r="P38" s="1"/>
      <c r="Q38" s="1"/>
      <c r="R38" s="1"/>
      <c r="S38" s="1"/>
      <c r="T38" s="1"/>
      <c r="U38" s="1"/>
      <c r="V38" s="1"/>
      <c r="W38" s="1"/>
      <c r="X38" s="1"/>
      <c r="Y38" s="1"/>
      <c r="Z38" s="1"/>
    </row>
    <row r="39" spans="1:26" ht="18.75" customHeight="1">
      <c r="A39" s="18" t="s">
        <v>209</v>
      </c>
      <c r="B39" s="39" t="s">
        <v>211</v>
      </c>
      <c r="C39" s="42">
        <f>IF(C4="AC",Vbulkvalley,Vinput_run)</f>
        <v>181.45218711994482</v>
      </c>
      <c r="D39" s="204" t="s">
        <v>37</v>
      </c>
      <c r="E39" s="212"/>
      <c r="F39" s="1"/>
      <c r="G39" s="1"/>
      <c r="H39" s="1"/>
      <c r="I39" s="1"/>
      <c r="J39" s="1"/>
      <c r="K39" s="1"/>
      <c r="L39" s="1"/>
      <c r="M39" s="1"/>
      <c r="N39" s="1"/>
      <c r="O39" s="1"/>
      <c r="P39" s="1"/>
      <c r="Q39" s="1"/>
      <c r="R39" s="1"/>
      <c r="S39" s="1"/>
      <c r="T39" s="1"/>
      <c r="U39" s="1"/>
      <c r="V39" s="1"/>
      <c r="W39" s="1"/>
      <c r="X39" s="1"/>
      <c r="Y39" s="1"/>
      <c r="Z39" s="1"/>
    </row>
    <row r="40" spans="1:26" ht="18.75" customHeight="1">
      <c r="A40" s="18" t="s">
        <v>215</v>
      </c>
      <c r="B40" s="39" t="s">
        <v>216</v>
      </c>
      <c r="C40" s="42">
        <f>IF(Input_Voltage_type="AC",(((Cbulk*uF)*(Vbulk_min-Vbulk_valley)/tcharge_3)/SQRT(3))/mA,(2*Pin)/(Vinput_run))</f>
        <v>477.70947651517838</v>
      </c>
      <c r="D40" s="204" t="s">
        <v>77</v>
      </c>
      <c r="E40" s="212"/>
      <c r="F40" s="1"/>
      <c r="G40" s="1"/>
      <c r="H40" s="1"/>
      <c r="I40" s="1"/>
      <c r="J40" s="1"/>
      <c r="K40" s="1"/>
      <c r="L40" s="1"/>
      <c r="M40" s="1"/>
      <c r="N40" s="1"/>
      <c r="O40" s="1"/>
      <c r="P40" s="1"/>
      <c r="Q40" s="1"/>
      <c r="R40" s="1"/>
      <c r="S40" s="1"/>
      <c r="T40" s="1"/>
      <c r="U40" s="1"/>
      <c r="V40" s="1"/>
      <c r="W40" s="1"/>
      <c r="X40" s="1"/>
      <c r="Y40" s="1"/>
      <c r="Z40" s="1"/>
    </row>
    <row r="41" spans="1:26" ht="18.75" customHeight="1">
      <c r="A41" s="27" t="s">
        <v>220</v>
      </c>
      <c r="B41" s="45" t="s">
        <v>221</v>
      </c>
      <c r="C41" s="95">
        <f>MROUND(Vbulk_max,100)</f>
        <v>300</v>
      </c>
      <c r="D41" s="218" t="s">
        <v>37</v>
      </c>
      <c r="E41" s="220"/>
      <c r="F41" s="1"/>
      <c r="G41" s="1"/>
      <c r="H41" s="1"/>
      <c r="I41" s="1"/>
      <c r="J41" s="1"/>
      <c r="K41" s="1"/>
      <c r="L41" s="1"/>
      <c r="M41" s="1"/>
      <c r="N41" s="1"/>
      <c r="O41" s="1"/>
      <c r="P41" s="1"/>
      <c r="Q41" s="1"/>
      <c r="R41" s="1"/>
      <c r="S41" s="1"/>
      <c r="T41" s="1"/>
      <c r="U41" s="1"/>
      <c r="V41" s="1"/>
      <c r="W41" s="1"/>
      <c r="X41" s="1"/>
      <c r="Y41" s="1"/>
      <c r="Z41" s="1"/>
    </row>
    <row r="42" spans="1:26" ht="18.75" customHeight="1">
      <c r="A42" s="321"/>
      <c r="B42" s="241"/>
      <c r="C42" s="241"/>
      <c r="D42" s="241"/>
      <c r="E42" s="322"/>
      <c r="F42" s="1"/>
      <c r="G42" s="1"/>
      <c r="H42" s="1"/>
      <c r="I42" s="1"/>
      <c r="J42" s="1"/>
      <c r="K42" s="1"/>
      <c r="L42" s="1"/>
      <c r="M42" s="1"/>
      <c r="N42" s="1"/>
      <c r="O42" s="1"/>
      <c r="P42" s="1"/>
      <c r="Q42" s="1"/>
      <c r="R42" s="1"/>
      <c r="S42" s="1"/>
      <c r="T42" s="1"/>
      <c r="U42" s="1"/>
      <c r="V42" s="1"/>
      <c r="W42" s="1"/>
      <c r="X42" s="1"/>
      <c r="Y42" s="1"/>
      <c r="Z42" s="1"/>
    </row>
    <row r="43" spans="1:26" ht="18.75" customHeight="1">
      <c r="A43" s="314" t="s">
        <v>228</v>
      </c>
      <c r="B43" s="225"/>
      <c r="C43" s="225"/>
      <c r="D43" s="225"/>
      <c r="E43" s="226"/>
      <c r="F43" s="1"/>
      <c r="G43" s="1"/>
      <c r="H43" s="1"/>
      <c r="I43" s="1"/>
      <c r="J43" s="1"/>
      <c r="K43" s="1"/>
      <c r="L43" s="1"/>
      <c r="M43" s="1"/>
      <c r="N43" s="1"/>
      <c r="O43" s="1"/>
      <c r="P43" s="1"/>
      <c r="Q43" s="1"/>
      <c r="R43" s="1"/>
      <c r="S43" s="1"/>
      <c r="T43" s="1"/>
      <c r="U43" s="1"/>
      <c r="V43" s="1"/>
      <c r="W43" s="1"/>
      <c r="X43" s="1"/>
      <c r="Y43" s="1"/>
      <c r="Z43" s="1"/>
    </row>
    <row r="44" spans="1:26" ht="18.75" customHeight="1">
      <c r="A44" s="100" t="s">
        <v>230</v>
      </c>
      <c r="B44" s="101" t="s">
        <v>234</v>
      </c>
      <c r="C44" s="102">
        <f>Vinput_max</f>
        <v>240</v>
      </c>
      <c r="D44" s="206" t="str">
        <f>IF(Vin_type="AC","VAC","VDC")</f>
        <v>VAC</v>
      </c>
      <c r="E44" s="212"/>
      <c r="F44" s="1"/>
      <c r="G44" s="1"/>
      <c r="H44" s="1"/>
      <c r="I44" s="1"/>
      <c r="J44" s="1"/>
      <c r="K44" s="1"/>
      <c r="L44" s="1"/>
      <c r="M44" s="1"/>
      <c r="N44" s="1"/>
      <c r="O44" s="1"/>
      <c r="P44" s="1"/>
      <c r="Q44" s="1"/>
      <c r="R44" s="1"/>
      <c r="S44" s="1"/>
      <c r="T44" s="1"/>
      <c r="U44" s="1"/>
      <c r="V44" s="1"/>
      <c r="W44" s="1"/>
      <c r="X44" s="1"/>
      <c r="Y44" s="1"/>
      <c r="Z44" s="1"/>
    </row>
    <row r="45" spans="1:26" ht="18.75" customHeight="1">
      <c r="A45" s="27" t="s">
        <v>246</v>
      </c>
      <c r="B45" s="103" t="s">
        <v>248</v>
      </c>
      <c r="C45" s="71">
        <f>IF(Input_Voltage_type="AC",(2*Pin/Vbulk_valley)/SQRT(tcharge_3/(t_line*ms)),(2*Pin)/(Vinput_run*(1-Ddemag_cc)))</f>
        <v>1.858233808974856</v>
      </c>
      <c r="D45" s="218" t="s">
        <v>66</v>
      </c>
      <c r="E45" s="220"/>
      <c r="F45" s="1"/>
      <c r="G45" s="1"/>
      <c r="H45" s="1"/>
      <c r="I45" s="1"/>
      <c r="J45" s="1"/>
      <c r="K45" s="1"/>
      <c r="L45" s="1"/>
      <c r="M45" s="1"/>
      <c r="N45" s="1"/>
      <c r="O45" s="1"/>
      <c r="P45" s="1"/>
      <c r="Q45" s="1"/>
      <c r="R45" s="1"/>
      <c r="S45" s="1"/>
      <c r="T45" s="1"/>
      <c r="U45" s="1"/>
      <c r="V45" s="1"/>
      <c r="W45" s="1"/>
      <c r="X45" s="1"/>
      <c r="Y45" s="1"/>
      <c r="Z45" s="1"/>
    </row>
    <row r="46" spans="1:26" ht="18.75" customHeight="1">
      <c r="A46" s="1"/>
      <c r="B46" s="57"/>
      <c r="C46" s="107"/>
      <c r="D46" s="108"/>
      <c r="E46" s="108"/>
      <c r="F46" s="1"/>
      <c r="G46" s="1"/>
      <c r="H46" s="1"/>
      <c r="I46" s="1"/>
      <c r="J46" s="1"/>
      <c r="K46" s="1"/>
      <c r="L46" s="1"/>
      <c r="M46" s="1"/>
      <c r="N46" s="1"/>
      <c r="O46" s="1"/>
      <c r="P46" s="1"/>
      <c r="Q46" s="1"/>
      <c r="R46" s="1"/>
      <c r="S46" s="1"/>
      <c r="T46" s="1"/>
      <c r="U46" s="1"/>
      <c r="V46" s="1"/>
      <c r="W46" s="1"/>
      <c r="X46" s="1"/>
      <c r="Y46" s="1"/>
      <c r="Z46" s="1"/>
    </row>
    <row r="47" spans="1:26" ht="18.75" customHeight="1">
      <c r="A47" s="314" t="s">
        <v>10</v>
      </c>
      <c r="B47" s="225"/>
      <c r="C47" s="225"/>
      <c r="D47" s="225"/>
      <c r="E47" s="226"/>
      <c r="F47" s="1"/>
      <c r="G47" s="1"/>
      <c r="H47" s="1"/>
      <c r="I47" s="1"/>
      <c r="J47" s="1"/>
      <c r="K47" s="1"/>
      <c r="L47" s="1"/>
      <c r="M47" s="1"/>
      <c r="N47" s="1"/>
      <c r="O47" s="1"/>
      <c r="P47" s="1"/>
      <c r="Q47" s="1"/>
      <c r="R47" s="1"/>
      <c r="S47" s="1"/>
      <c r="T47" s="1"/>
      <c r="U47" s="1"/>
      <c r="V47" s="1"/>
      <c r="W47" s="1"/>
      <c r="X47" s="1"/>
      <c r="Y47" s="1"/>
      <c r="Z47" s="1"/>
    </row>
    <row r="48" spans="1:26" ht="18.75" customHeight="1">
      <c r="A48" s="18" t="s">
        <v>230</v>
      </c>
      <c r="B48" s="110" t="s">
        <v>260</v>
      </c>
      <c r="C48" s="111">
        <f>IF(Input_Voltage_type="AC",MROUND(Vbulk_max,100),Vinput_max)</f>
        <v>300</v>
      </c>
      <c r="D48" s="204" t="s">
        <v>37</v>
      </c>
      <c r="E48" s="212"/>
      <c r="F48" s="1"/>
      <c r="G48" s="1"/>
      <c r="H48" s="1"/>
      <c r="I48" s="1"/>
      <c r="J48" s="1"/>
      <c r="K48" s="1"/>
      <c r="L48" s="1"/>
      <c r="M48" s="1"/>
      <c r="N48" s="1"/>
      <c r="O48" s="1"/>
      <c r="P48" s="1"/>
      <c r="Q48" s="1"/>
      <c r="R48" s="1"/>
      <c r="S48" s="1"/>
      <c r="T48" s="1"/>
      <c r="U48" s="1"/>
      <c r="V48" s="1"/>
      <c r="W48" s="1"/>
      <c r="X48" s="1"/>
      <c r="Y48" s="1"/>
      <c r="Z48" s="1"/>
    </row>
    <row r="49" spans="1:26" ht="18.75" customHeight="1">
      <c r="A49" s="18" t="s">
        <v>265</v>
      </c>
      <c r="B49" s="110" t="s">
        <v>267</v>
      </c>
      <c r="C49" s="111">
        <f>IF(Input_Voltage_type="AC",2*Pin/Vbulk_valley,2*Pin/Vinput_run)</f>
        <v>0.65355087296758574</v>
      </c>
      <c r="D49" s="232" t="s">
        <v>66</v>
      </c>
      <c r="E49" s="214"/>
      <c r="F49" s="1"/>
      <c r="G49" s="1"/>
      <c r="H49" s="1"/>
      <c r="I49" s="1"/>
      <c r="J49" s="1"/>
      <c r="K49" s="1"/>
      <c r="L49" s="1"/>
      <c r="M49" s="1"/>
      <c r="N49" s="1"/>
      <c r="O49" s="1"/>
      <c r="P49" s="1"/>
      <c r="Q49" s="1"/>
      <c r="R49" s="1"/>
      <c r="S49" s="1"/>
      <c r="T49" s="1"/>
      <c r="U49" s="1"/>
      <c r="V49" s="1"/>
      <c r="W49" s="1"/>
      <c r="X49" s="1"/>
      <c r="Y49" s="1"/>
      <c r="Z49" s="1"/>
    </row>
    <row r="50" spans="1:26" ht="18.75" customHeight="1">
      <c r="A50" s="84" t="s">
        <v>270</v>
      </c>
      <c r="B50" s="113" t="s">
        <v>271</v>
      </c>
      <c r="C50" s="88">
        <f>IF('START HERE'!C73="",1,'START HERE'!C73)</f>
        <v>1.1000000000000001</v>
      </c>
      <c r="D50" s="114" t="s">
        <v>37</v>
      </c>
      <c r="E50" s="90" t="s">
        <v>203</v>
      </c>
      <c r="F50" s="1"/>
      <c r="G50" s="1"/>
      <c r="H50" s="1"/>
      <c r="I50" s="1"/>
      <c r="J50" s="1"/>
      <c r="K50" s="1"/>
      <c r="L50" s="1"/>
      <c r="M50" s="1"/>
      <c r="N50" s="1"/>
      <c r="O50" s="1"/>
      <c r="P50" s="1"/>
      <c r="Q50" s="1"/>
      <c r="R50" s="1"/>
      <c r="S50" s="1"/>
      <c r="T50" s="1"/>
      <c r="U50" s="1"/>
      <c r="V50" s="1"/>
      <c r="W50" s="1"/>
      <c r="X50" s="1"/>
      <c r="Y50" s="1"/>
      <c r="Z50" s="1"/>
    </row>
    <row r="51" spans="1:26" ht="18.75" customHeight="1">
      <c r="A51" s="27" t="s">
        <v>275</v>
      </c>
      <c r="B51" s="103" t="s">
        <v>276</v>
      </c>
      <c r="C51" s="71">
        <f>2*Vf_bridge*Icin*mA/mW</f>
        <v>1050.9608483333925</v>
      </c>
      <c r="D51" s="218" t="s">
        <v>98</v>
      </c>
      <c r="E51" s="220"/>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323" t="s">
        <v>280</v>
      </c>
      <c r="B53" s="241"/>
      <c r="C53" s="241"/>
      <c r="D53" s="241"/>
      <c r="E53" s="242"/>
      <c r="F53" s="1"/>
      <c r="G53" s="1"/>
      <c r="H53" s="1"/>
      <c r="I53" s="1"/>
      <c r="J53" s="1"/>
      <c r="K53" s="1"/>
      <c r="L53" s="1"/>
      <c r="M53" s="1"/>
      <c r="N53" s="1"/>
      <c r="O53" s="1"/>
      <c r="P53" s="1"/>
      <c r="Q53" s="1"/>
      <c r="R53" s="1"/>
      <c r="S53" s="1"/>
      <c r="T53" s="1"/>
      <c r="U53" s="1"/>
      <c r="V53" s="1"/>
      <c r="W53" s="1"/>
      <c r="X53" s="1"/>
      <c r="Y53" s="1"/>
      <c r="Z53" s="1"/>
    </row>
    <row r="54" spans="1:26" ht="18.75" customHeight="1">
      <c r="A54" s="18" t="s">
        <v>283</v>
      </c>
      <c r="B54" s="110" t="s">
        <v>284</v>
      </c>
      <c r="C54" s="116">
        <v>0.42499999999999999</v>
      </c>
      <c r="D54" s="243" t="s">
        <v>286</v>
      </c>
      <c r="E54" s="212"/>
      <c r="F54" s="1"/>
      <c r="G54" s="1"/>
      <c r="H54" s="1"/>
      <c r="I54" s="1"/>
      <c r="J54" s="1"/>
      <c r="K54" s="1"/>
      <c r="L54" s="1"/>
      <c r="M54" s="1"/>
      <c r="N54" s="1"/>
      <c r="O54" s="1"/>
      <c r="P54" s="1"/>
      <c r="Q54" s="1"/>
      <c r="R54" s="1"/>
      <c r="S54" s="1"/>
      <c r="T54" s="1"/>
      <c r="U54" s="1"/>
      <c r="V54" s="1"/>
      <c r="W54" s="1"/>
      <c r="X54" s="1"/>
      <c r="Y54" s="1"/>
      <c r="Z54" s="1"/>
    </row>
    <row r="55" spans="1:26" ht="18.75" customHeight="1">
      <c r="A55" s="18" t="s">
        <v>287</v>
      </c>
      <c r="B55" s="110" t="s">
        <v>288</v>
      </c>
      <c r="C55" s="116">
        <v>4</v>
      </c>
      <c r="D55" s="243" t="s">
        <v>286</v>
      </c>
      <c r="E55" s="212"/>
      <c r="F55" s="1"/>
      <c r="G55" s="1"/>
      <c r="H55" s="1"/>
      <c r="I55" s="1"/>
      <c r="J55" s="1"/>
      <c r="K55" s="1"/>
      <c r="L55" s="1"/>
      <c r="M55" s="1"/>
      <c r="N55" s="1"/>
      <c r="O55" s="1"/>
      <c r="P55" s="1"/>
      <c r="Q55" s="1"/>
      <c r="R55" s="1"/>
      <c r="S55" s="1"/>
      <c r="T55" s="1"/>
      <c r="U55" s="1"/>
      <c r="V55" s="1"/>
      <c r="W55" s="1"/>
      <c r="X55" s="1"/>
      <c r="Y55" s="1"/>
      <c r="Z55" s="1"/>
    </row>
    <row r="56" spans="1:26" ht="18.75" customHeight="1">
      <c r="A56" s="117" t="s">
        <v>289</v>
      </c>
      <c r="B56" s="118" t="s">
        <v>291</v>
      </c>
      <c r="C56" s="120">
        <f>'START HERE'!C30</f>
        <v>90</v>
      </c>
      <c r="D56" s="89" t="s">
        <v>86</v>
      </c>
      <c r="E56" s="122" t="s">
        <v>203</v>
      </c>
      <c r="F56" s="1"/>
      <c r="G56" s="1"/>
      <c r="H56" s="1"/>
      <c r="I56" s="1"/>
      <c r="J56" s="1"/>
      <c r="K56" s="1"/>
      <c r="L56" s="1"/>
      <c r="M56" s="1"/>
      <c r="N56" s="1"/>
      <c r="O56" s="1"/>
      <c r="P56" s="1"/>
      <c r="Q56" s="1"/>
      <c r="R56" s="1"/>
      <c r="S56" s="1"/>
      <c r="T56" s="1"/>
      <c r="U56" s="1"/>
      <c r="V56" s="1"/>
      <c r="W56" s="1"/>
      <c r="X56" s="1"/>
      <c r="Y56" s="1"/>
      <c r="Z56" s="1"/>
    </row>
    <row r="57" spans="1:26" ht="18.75" customHeight="1">
      <c r="A57" s="18" t="s">
        <v>297</v>
      </c>
      <c r="B57" s="110" t="s">
        <v>298</v>
      </c>
      <c r="C57" s="123">
        <f>(1/(fmax_target*kHz))/us</f>
        <v>11.111111111111112</v>
      </c>
      <c r="D57" s="204" t="s">
        <v>303</v>
      </c>
      <c r="E57" s="212"/>
      <c r="F57" s="1"/>
      <c r="G57" s="1"/>
      <c r="H57" s="1"/>
      <c r="I57" s="1"/>
      <c r="J57" s="1"/>
      <c r="K57" s="1"/>
      <c r="L57" s="1"/>
      <c r="M57" s="1"/>
      <c r="N57" s="1"/>
      <c r="O57" s="1"/>
      <c r="P57" s="1"/>
      <c r="Q57" s="1"/>
      <c r="R57" s="1"/>
      <c r="S57" s="1"/>
      <c r="T57" s="1"/>
      <c r="U57" s="1"/>
      <c r="V57" s="1"/>
      <c r="W57" s="1"/>
      <c r="X57" s="1"/>
      <c r="Y57" s="1"/>
      <c r="Z57" s="1"/>
    </row>
    <row r="58" spans="1:26" ht="18" customHeight="1">
      <c r="A58" s="18" t="s">
        <v>306</v>
      </c>
      <c r="B58" s="110" t="s">
        <v>308</v>
      </c>
      <c r="C58" s="42">
        <v>0.5</v>
      </c>
      <c r="D58" s="21" t="s">
        <v>309</v>
      </c>
      <c r="E58" s="124"/>
      <c r="F58" s="1"/>
      <c r="G58" s="1"/>
      <c r="H58" s="1"/>
      <c r="I58" s="1"/>
      <c r="J58" s="1"/>
      <c r="K58" s="1"/>
      <c r="L58" s="1"/>
      <c r="M58" s="1"/>
      <c r="N58" s="1"/>
      <c r="O58" s="1"/>
      <c r="P58" s="1"/>
      <c r="Q58" s="1"/>
      <c r="R58" s="1"/>
      <c r="S58" s="1"/>
      <c r="T58" s="1"/>
      <c r="U58" s="1"/>
      <c r="V58" s="1"/>
      <c r="W58" s="1"/>
      <c r="X58" s="1"/>
      <c r="Y58" s="1"/>
      <c r="Z58" s="1"/>
    </row>
    <row r="59" spans="1:26" ht="18.75" customHeight="1">
      <c r="A59" s="18" t="s">
        <v>315</v>
      </c>
      <c r="B59" s="110" t="s">
        <v>316</v>
      </c>
      <c r="C59" s="42">
        <f>1/(2*fres*MHz)/us</f>
        <v>1</v>
      </c>
      <c r="D59" s="204" t="s">
        <v>303</v>
      </c>
      <c r="E59" s="212"/>
      <c r="F59" s="1"/>
      <c r="G59" s="1"/>
      <c r="H59" s="1"/>
      <c r="I59" s="1"/>
      <c r="J59" s="1"/>
      <c r="K59" s="1"/>
      <c r="L59" s="1"/>
      <c r="M59" s="1"/>
      <c r="N59" s="1"/>
      <c r="O59" s="1"/>
      <c r="P59" s="1"/>
      <c r="Q59" s="1"/>
      <c r="R59" s="1"/>
      <c r="S59" s="1"/>
      <c r="T59" s="1"/>
      <c r="U59" s="1"/>
      <c r="V59" s="1"/>
      <c r="W59" s="1"/>
      <c r="X59" s="1"/>
      <c r="Y59" s="1"/>
      <c r="Z59" s="1"/>
    </row>
    <row r="60" spans="1:26" ht="18.75" customHeight="1">
      <c r="A60" s="18" t="s">
        <v>319</v>
      </c>
      <c r="B60" s="110" t="s">
        <v>320</v>
      </c>
      <c r="C60" s="42">
        <f>(1-((tres*us)*(fmax_target*kHz))-Ddemag_cc)</f>
        <v>0.48500000000000004</v>
      </c>
      <c r="D60" s="204"/>
      <c r="E60" s="212"/>
      <c r="F60" s="1"/>
      <c r="G60" s="1"/>
      <c r="H60" s="1"/>
      <c r="I60" s="1"/>
      <c r="J60" s="1"/>
      <c r="K60" s="1"/>
      <c r="L60" s="1"/>
      <c r="M60" s="1"/>
      <c r="N60" s="1"/>
      <c r="O60" s="1"/>
      <c r="P60" s="1"/>
      <c r="Q60" s="1"/>
      <c r="R60" s="1"/>
      <c r="S60" s="1"/>
      <c r="T60" s="1"/>
      <c r="U60" s="1"/>
      <c r="V60" s="1"/>
      <c r="W60" s="1"/>
      <c r="X60" s="1"/>
      <c r="Y60" s="1"/>
      <c r="Z60" s="1"/>
    </row>
    <row r="61" spans="1:26" ht="18.75" customHeight="1">
      <c r="A61" s="38" t="s">
        <v>322</v>
      </c>
      <c r="B61" s="125" t="s">
        <v>323</v>
      </c>
      <c r="C61" s="126">
        <f>(Dmax_target*Vbulk_valley)/(Ddemag_cc*(Vout_cv+Vf+(DCR_Lout*mOhms*Iocc_target)))</f>
        <v>5.0752197666189875</v>
      </c>
      <c r="D61" s="324" t="s">
        <v>328</v>
      </c>
      <c r="E61" s="214"/>
      <c r="F61" s="46"/>
      <c r="G61" s="46"/>
      <c r="H61" s="46"/>
      <c r="I61" s="46"/>
      <c r="J61" s="46"/>
      <c r="K61" s="1"/>
      <c r="L61" s="1"/>
      <c r="M61" s="1"/>
      <c r="N61" s="1"/>
      <c r="O61" s="1"/>
      <c r="P61" s="1"/>
      <c r="Q61" s="1"/>
      <c r="R61" s="1"/>
      <c r="S61" s="1"/>
      <c r="T61" s="1"/>
      <c r="U61" s="1"/>
      <c r="V61" s="1"/>
      <c r="W61" s="1"/>
      <c r="X61" s="1"/>
      <c r="Y61" s="1"/>
      <c r="Z61" s="1"/>
    </row>
    <row r="62" spans="1:26" ht="18.75" customHeight="1">
      <c r="A62" s="117" t="s">
        <v>334</v>
      </c>
      <c r="B62" s="118" t="s">
        <v>335</v>
      </c>
      <c r="C62" s="128">
        <f>IF('START HERE'!C49="","",'START HERE'!C49)</f>
        <v>5.0750000000000002</v>
      </c>
      <c r="D62" s="89"/>
      <c r="E62" s="90" t="s">
        <v>203</v>
      </c>
      <c r="F62" s="46"/>
      <c r="G62" s="46"/>
      <c r="H62" s="46"/>
      <c r="I62" s="46"/>
      <c r="J62" s="46"/>
      <c r="K62" s="1"/>
      <c r="L62" s="1"/>
      <c r="M62" s="1"/>
      <c r="N62" s="1"/>
      <c r="O62" s="1"/>
      <c r="P62" s="1"/>
      <c r="Q62" s="1"/>
      <c r="R62" s="1"/>
      <c r="S62" s="1"/>
      <c r="T62" s="1"/>
      <c r="U62" s="1"/>
      <c r="V62" s="1"/>
      <c r="W62" s="1"/>
      <c r="X62" s="1"/>
      <c r="Y62" s="1"/>
      <c r="Z62" s="1"/>
    </row>
    <row r="63" spans="1:26" ht="18.75" customHeight="1">
      <c r="A63" s="38" t="s">
        <v>337</v>
      </c>
      <c r="B63" s="125" t="s">
        <v>339</v>
      </c>
      <c r="C63" s="42">
        <f>IF(Nps_actual="",Nps_ideal,Nps_actual)</f>
        <v>5.0750000000000002</v>
      </c>
      <c r="D63" s="325"/>
      <c r="E63" s="228"/>
      <c r="F63" s="1"/>
      <c r="G63" s="1"/>
      <c r="H63" s="1"/>
      <c r="I63" s="1"/>
      <c r="J63" s="1"/>
      <c r="K63" s="1"/>
      <c r="L63" s="1"/>
      <c r="M63" s="1"/>
      <c r="N63" s="1"/>
      <c r="O63" s="1"/>
      <c r="P63" s="1"/>
      <c r="Q63" s="1"/>
      <c r="R63" s="1"/>
      <c r="S63" s="1"/>
      <c r="T63" s="1"/>
      <c r="U63" s="1"/>
      <c r="V63" s="1"/>
      <c r="W63" s="1"/>
      <c r="X63" s="1"/>
      <c r="Y63" s="1"/>
      <c r="Z63" s="1"/>
    </row>
    <row r="64" spans="1:26" ht="18.75" customHeight="1">
      <c r="A64" s="18" t="s">
        <v>344</v>
      </c>
      <c r="B64" s="110" t="s">
        <v>346</v>
      </c>
      <c r="C64" s="42">
        <f>Nps*(Vout_cv+Vf+((DCR_Lout*mOhms*Iocc_target)))</f>
        <v>207.06</v>
      </c>
      <c r="D64" s="204" t="s">
        <v>37</v>
      </c>
      <c r="E64" s="212"/>
      <c r="F64" s="1"/>
      <c r="G64" s="1"/>
      <c r="H64" s="1"/>
      <c r="I64" s="1"/>
      <c r="J64" s="1"/>
      <c r="K64" s="1"/>
      <c r="L64" s="1"/>
      <c r="M64" s="1"/>
      <c r="N64" s="1"/>
      <c r="O64" s="1"/>
      <c r="P64" s="1"/>
      <c r="Q64" s="1"/>
      <c r="R64" s="1"/>
      <c r="S64" s="1"/>
      <c r="T64" s="1"/>
      <c r="U64" s="1"/>
      <c r="V64" s="1"/>
      <c r="W64" s="1"/>
      <c r="X64" s="1"/>
      <c r="Y64" s="1"/>
      <c r="Z64" s="1"/>
    </row>
    <row r="65" spans="1:26" ht="18.75" customHeight="1">
      <c r="A65" s="18" t="s">
        <v>352</v>
      </c>
      <c r="B65" s="110" t="s">
        <v>353</v>
      </c>
      <c r="C65" s="42">
        <f>Vds-Vbulk_max-(Nps*(Vout_cv+Vf+((DCR_Lout*mOhms)*Iocc_target)))</f>
        <v>353.52874503045717</v>
      </c>
      <c r="D65" s="204" t="s">
        <v>37</v>
      </c>
      <c r="E65" s="212"/>
      <c r="F65" s="1"/>
      <c r="G65" s="1"/>
      <c r="H65" s="1"/>
      <c r="I65" s="1"/>
      <c r="J65" s="1"/>
      <c r="K65" s="1"/>
      <c r="L65" s="1"/>
      <c r="M65" s="1"/>
      <c r="N65" s="1"/>
      <c r="O65" s="1"/>
      <c r="P65" s="1"/>
      <c r="Q65" s="1"/>
      <c r="R65" s="1"/>
      <c r="S65" s="1"/>
      <c r="T65" s="1"/>
      <c r="U65" s="1"/>
      <c r="V65" s="1"/>
      <c r="W65" s="1"/>
      <c r="X65" s="1"/>
      <c r="Y65" s="1"/>
      <c r="Z65" s="1"/>
    </row>
    <row r="66" spans="1:26" ht="18.75" customHeight="1">
      <c r="A66" s="18" t="s">
        <v>362</v>
      </c>
      <c r="B66" s="110" t="s">
        <v>364</v>
      </c>
      <c r="C66" s="42">
        <f>(((Vout_cv+Vf+(DCR_Lout*mOhms*Iocc_target))*Nps*((1/(fmax_target*kHz))-(tres*us)))/(Vbulk_valley+((Vout_cv+Vf+(DCR_Lout*mOhms*Iocc_target))*Nps)))/us</f>
        <v>5.3887799046579472</v>
      </c>
      <c r="D66" s="204" t="s">
        <v>303</v>
      </c>
      <c r="E66" s="212"/>
      <c r="F66" s="1"/>
      <c r="G66" s="1"/>
      <c r="H66" s="1"/>
      <c r="I66" s="1"/>
      <c r="J66" s="1"/>
      <c r="K66" s="1"/>
      <c r="L66" s="1"/>
      <c r="M66" s="1"/>
      <c r="N66" s="1"/>
      <c r="O66" s="1"/>
      <c r="P66" s="1"/>
      <c r="Q66" s="1"/>
      <c r="R66" s="1"/>
      <c r="S66" s="1"/>
      <c r="T66" s="1"/>
      <c r="U66" s="1"/>
      <c r="V66" s="1"/>
      <c r="W66" s="1"/>
      <c r="X66" s="1"/>
      <c r="Y66" s="1"/>
      <c r="Z66" s="1"/>
    </row>
    <row r="67" spans="1:26" ht="18.75" customHeight="1">
      <c r="A67" s="27" t="s">
        <v>371</v>
      </c>
      <c r="B67" s="103" t="s">
        <v>372</v>
      </c>
      <c r="C67" s="95">
        <v>0.9</v>
      </c>
      <c r="D67" s="218"/>
      <c r="E67" s="220"/>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G68" s="1"/>
      <c r="H68" s="1"/>
      <c r="I68" s="1"/>
      <c r="J68" s="1"/>
      <c r="K68" s="1"/>
      <c r="L68" s="1"/>
      <c r="M68" s="1"/>
      <c r="N68" s="1"/>
      <c r="O68" s="1"/>
      <c r="P68" s="1"/>
      <c r="Q68" s="1"/>
      <c r="R68" s="1"/>
      <c r="S68" s="1"/>
      <c r="T68" s="1"/>
      <c r="U68" s="1"/>
      <c r="V68" s="1"/>
      <c r="W68" s="1"/>
      <c r="X68" s="1"/>
      <c r="Y68" s="1"/>
      <c r="Z68" s="1"/>
    </row>
    <row r="69" spans="1:26" ht="18.75" customHeight="1">
      <c r="A69" s="323" t="s">
        <v>373</v>
      </c>
      <c r="B69" s="241"/>
      <c r="C69" s="241"/>
      <c r="D69" s="241"/>
      <c r="E69" s="242"/>
      <c r="F69" s="1"/>
      <c r="G69" s="1"/>
      <c r="H69" s="1"/>
      <c r="I69" s="1"/>
      <c r="J69" s="1"/>
      <c r="K69" s="1"/>
      <c r="L69" s="1"/>
      <c r="M69" s="1"/>
      <c r="N69" s="1"/>
      <c r="O69" s="1"/>
      <c r="P69" s="1"/>
      <c r="Q69" s="1"/>
      <c r="R69" s="1"/>
      <c r="S69" s="1"/>
      <c r="T69" s="1"/>
      <c r="U69" s="1"/>
      <c r="V69" s="1"/>
      <c r="W69" s="1"/>
      <c r="X69" s="1"/>
      <c r="Y69" s="1"/>
      <c r="Z69" s="1"/>
    </row>
    <row r="70" spans="1:26" ht="18.75" customHeight="1">
      <c r="A70" s="83" t="s">
        <v>374</v>
      </c>
      <c r="B70" s="129" t="s">
        <v>375</v>
      </c>
      <c r="C70" s="130">
        <v>318</v>
      </c>
      <c r="D70" s="131" t="s">
        <v>84</v>
      </c>
      <c r="E70" s="132" t="s">
        <v>286</v>
      </c>
      <c r="F70" s="1"/>
      <c r="G70" s="1"/>
      <c r="H70" s="1"/>
      <c r="I70" s="1"/>
      <c r="J70" s="1"/>
      <c r="K70" s="1"/>
      <c r="L70" s="1"/>
      <c r="M70" s="1"/>
      <c r="N70" s="1"/>
      <c r="O70" s="1"/>
      <c r="P70" s="1"/>
      <c r="Q70" s="1"/>
      <c r="R70" s="1"/>
      <c r="S70" s="1"/>
      <c r="T70" s="1"/>
      <c r="U70" s="1"/>
      <c r="V70" s="1"/>
      <c r="W70" s="1"/>
      <c r="X70" s="1"/>
      <c r="Y70" s="1"/>
      <c r="Z70" s="1"/>
    </row>
    <row r="71" spans="1:26" ht="18.75" customHeight="1">
      <c r="A71" s="83" t="s">
        <v>376</v>
      </c>
      <c r="B71" s="129" t="s">
        <v>377</v>
      </c>
      <c r="C71" s="130">
        <v>330</v>
      </c>
      <c r="D71" s="133" t="s">
        <v>84</v>
      </c>
      <c r="E71" s="134" t="s">
        <v>286</v>
      </c>
      <c r="F71" s="1"/>
      <c r="G71" s="1"/>
      <c r="H71" s="1"/>
      <c r="I71" s="1"/>
      <c r="J71" s="1"/>
      <c r="K71" s="1"/>
      <c r="L71" s="1"/>
      <c r="M71" s="1"/>
      <c r="N71" s="1"/>
      <c r="O71" s="1"/>
      <c r="P71" s="1"/>
      <c r="Q71" s="1"/>
      <c r="R71" s="1"/>
      <c r="S71" s="1"/>
      <c r="T71" s="1"/>
      <c r="U71" s="1"/>
      <c r="V71" s="1"/>
      <c r="W71" s="1"/>
      <c r="X71" s="1"/>
      <c r="Y71" s="1"/>
      <c r="Z71" s="1"/>
    </row>
    <row r="72" spans="1:26" ht="18.75" customHeight="1">
      <c r="A72" s="83" t="s">
        <v>374</v>
      </c>
      <c r="B72" s="129" t="s">
        <v>378</v>
      </c>
      <c r="C72" s="130">
        <v>343</v>
      </c>
      <c r="D72" s="133" t="s">
        <v>84</v>
      </c>
      <c r="E72" s="134" t="s">
        <v>286</v>
      </c>
      <c r="F72" s="1"/>
      <c r="G72" s="1"/>
      <c r="H72" s="1"/>
      <c r="I72" s="1"/>
      <c r="J72" s="1"/>
      <c r="K72" s="1"/>
      <c r="L72" s="1"/>
      <c r="M72" s="1"/>
      <c r="N72" s="1"/>
      <c r="O72" s="1"/>
      <c r="P72" s="1"/>
      <c r="Q72" s="1"/>
      <c r="R72" s="1"/>
      <c r="S72" s="1"/>
      <c r="T72" s="1"/>
      <c r="U72" s="1"/>
      <c r="V72" s="1"/>
      <c r="W72" s="1"/>
      <c r="X72" s="1"/>
      <c r="Y72" s="1"/>
      <c r="Z72" s="1"/>
    </row>
    <row r="73" spans="1:26" ht="18.75" customHeight="1">
      <c r="A73" s="83" t="s">
        <v>379</v>
      </c>
      <c r="B73" s="129" t="s">
        <v>380</v>
      </c>
      <c r="C73" s="135">
        <f>2*(Vout_cv+Vf+(DCR_Lout*mOhms*Iocc_target))*Iocc_target/(eff_xfmr*((2*Iocc_target)/(Nps*Ddemag_cc))^2*fmax_target*kHz)/uH</f>
        <v>929.8749678497943</v>
      </c>
      <c r="D73" s="21" t="s">
        <v>180</v>
      </c>
      <c r="E73" s="134"/>
      <c r="F73" s="1"/>
      <c r="G73" s="1"/>
      <c r="H73" s="1"/>
      <c r="I73" s="1"/>
      <c r="J73" s="1"/>
      <c r="K73" s="1"/>
      <c r="L73" s="1"/>
      <c r="M73" s="1"/>
      <c r="N73" s="1"/>
      <c r="O73" s="1"/>
      <c r="P73" s="1"/>
      <c r="Q73" s="1"/>
      <c r="R73" s="1"/>
      <c r="S73" s="1"/>
      <c r="T73" s="1"/>
      <c r="U73" s="1"/>
      <c r="V73" s="1"/>
      <c r="W73" s="1"/>
      <c r="X73" s="1"/>
      <c r="Y73" s="1"/>
      <c r="Z73" s="1"/>
    </row>
    <row r="74" spans="1:26" ht="18.75" customHeight="1">
      <c r="A74" s="18" t="s">
        <v>381</v>
      </c>
      <c r="B74" s="110" t="s">
        <v>382</v>
      </c>
      <c r="C74" s="42">
        <f>(Vccr_nom*mV)/(((2*Iocc_target)/(Nps*SQRT(eff_xfmr)))+(((Vbulk_valley*tdelay*ns)/(Lp_est*uH))*Ddemag_cc))</f>
        <v>0.62006489796633679</v>
      </c>
      <c r="D74" s="204" t="s">
        <v>168</v>
      </c>
      <c r="E74" s="212"/>
      <c r="F74" s="1"/>
      <c r="G74" s="1"/>
      <c r="H74" s="1"/>
      <c r="I74" s="1"/>
      <c r="J74" s="1"/>
      <c r="K74" s="1"/>
      <c r="L74" s="1"/>
      <c r="M74" s="1"/>
      <c r="N74" s="1"/>
      <c r="O74" s="1"/>
      <c r="P74" s="1"/>
      <c r="Q74" s="1"/>
      <c r="R74" s="1"/>
      <c r="S74" s="1"/>
      <c r="T74" s="1"/>
      <c r="U74" s="1"/>
      <c r="V74" s="1"/>
      <c r="W74" s="1"/>
      <c r="X74" s="1"/>
      <c r="Y74" s="1"/>
      <c r="Z74" s="1"/>
    </row>
    <row r="75" spans="1:26" ht="18.75" customHeight="1">
      <c r="A75" s="84" t="s">
        <v>383</v>
      </c>
      <c r="B75" s="113" t="s">
        <v>384</v>
      </c>
      <c r="C75" s="88">
        <f>IF('START HERE'!C52="","",'START HERE'!C52)</f>
        <v>0.62</v>
      </c>
      <c r="D75" s="89" t="s">
        <v>168</v>
      </c>
      <c r="E75" s="90" t="s">
        <v>203</v>
      </c>
      <c r="F75" s="1"/>
      <c r="G75" s="1"/>
      <c r="H75" s="1"/>
      <c r="I75" s="1"/>
      <c r="J75" s="1"/>
      <c r="K75" s="1"/>
      <c r="L75" s="1"/>
      <c r="M75" s="1"/>
      <c r="N75" s="1"/>
      <c r="O75" s="1"/>
      <c r="P75" s="1"/>
      <c r="Q75" s="1"/>
      <c r="R75" s="1"/>
      <c r="S75" s="1"/>
      <c r="T75" s="1"/>
      <c r="U75" s="1"/>
      <c r="V75" s="1"/>
      <c r="W75" s="1"/>
      <c r="X75" s="1"/>
      <c r="Y75" s="1"/>
      <c r="Z75" s="1"/>
    </row>
    <row r="76" spans="1:26" ht="18.75" customHeight="1">
      <c r="A76" s="18" t="s">
        <v>385</v>
      </c>
      <c r="B76" s="110" t="s">
        <v>386</v>
      </c>
      <c r="C76" s="42">
        <f>IF(Rcs_actual="",Rcs_rcmd,Rcs_actual)</f>
        <v>0.62</v>
      </c>
      <c r="D76" s="204" t="s">
        <v>168</v>
      </c>
      <c r="E76" s="212"/>
      <c r="F76" s="1"/>
      <c r="G76" s="1"/>
      <c r="H76" s="1"/>
      <c r="I76" s="1"/>
      <c r="J76" s="1"/>
      <c r="K76" s="1"/>
      <c r="L76" s="1"/>
      <c r="M76" s="1"/>
      <c r="N76" s="1"/>
      <c r="O76" s="1"/>
      <c r="P76" s="1"/>
      <c r="Q76" s="1"/>
      <c r="R76" s="1"/>
      <c r="S76" s="1"/>
      <c r="T76" s="1"/>
      <c r="U76" s="1"/>
      <c r="V76" s="1"/>
      <c r="W76" s="1"/>
      <c r="X76" s="1"/>
      <c r="Y76" s="1"/>
      <c r="Z76" s="1"/>
    </row>
    <row r="77" spans="1:26" ht="18.75" customHeight="1">
      <c r="A77" s="18" t="s">
        <v>387</v>
      </c>
      <c r="B77" s="110" t="s">
        <v>388</v>
      </c>
      <c r="C77" s="42">
        <f>(Ipri_RMS^2)*Rcs/mW</f>
        <v>155.80054626015405</v>
      </c>
      <c r="D77" s="299" t="s">
        <v>98</v>
      </c>
      <c r="E77" s="228"/>
      <c r="F77" s="1"/>
      <c r="G77" s="1"/>
      <c r="H77" s="1"/>
      <c r="I77" s="1"/>
      <c r="J77" s="1"/>
      <c r="K77" s="1"/>
      <c r="L77" s="1"/>
      <c r="M77" s="1"/>
      <c r="N77" s="1"/>
      <c r="O77" s="1"/>
      <c r="P77" s="1"/>
      <c r="Q77" s="1"/>
      <c r="R77" s="1"/>
      <c r="S77" s="1"/>
      <c r="T77" s="1"/>
      <c r="U77" s="1"/>
      <c r="V77" s="1"/>
      <c r="W77" s="1"/>
      <c r="X77" s="1"/>
      <c r="Y77" s="1"/>
      <c r="Z77" s="1"/>
    </row>
    <row r="78" spans="1:26" ht="18.75" customHeight="1">
      <c r="A78" s="18" t="s">
        <v>389</v>
      </c>
      <c r="B78" s="110" t="s">
        <v>390</v>
      </c>
      <c r="C78" s="116">
        <v>738</v>
      </c>
      <c r="D78" s="21" t="s">
        <v>84</v>
      </c>
      <c r="E78" s="136" t="s">
        <v>286</v>
      </c>
      <c r="F78" s="1"/>
      <c r="G78" s="1"/>
      <c r="H78" s="1"/>
      <c r="I78" s="1"/>
      <c r="J78" s="1"/>
      <c r="K78" s="1"/>
      <c r="L78" s="1"/>
      <c r="M78" s="1"/>
      <c r="N78" s="1"/>
      <c r="O78" s="1"/>
      <c r="P78" s="1"/>
      <c r="Q78" s="1"/>
      <c r="R78" s="1"/>
      <c r="S78" s="1"/>
      <c r="T78" s="1"/>
      <c r="U78" s="1"/>
      <c r="V78" s="1"/>
      <c r="W78" s="1"/>
      <c r="X78" s="1"/>
      <c r="Y78" s="1"/>
      <c r="Z78" s="1"/>
    </row>
    <row r="79" spans="1:26" ht="18.75" customHeight="1">
      <c r="A79" s="18" t="s">
        <v>391</v>
      </c>
      <c r="B79" s="110" t="s">
        <v>392</v>
      </c>
      <c r="C79" s="116">
        <v>773</v>
      </c>
      <c r="D79" s="21" t="s">
        <v>84</v>
      </c>
      <c r="E79" s="136" t="s">
        <v>286</v>
      </c>
      <c r="F79" s="1"/>
      <c r="G79" s="1"/>
      <c r="H79" s="1"/>
      <c r="I79" s="1"/>
      <c r="J79" s="1"/>
      <c r="K79" s="1"/>
      <c r="L79" s="1"/>
      <c r="M79" s="1"/>
      <c r="N79" s="1"/>
      <c r="O79" s="1"/>
      <c r="P79" s="1"/>
      <c r="Q79" s="1"/>
      <c r="R79" s="1"/>
      <c r="S79" s="1"/>
      <c r="T79" s="1"/>
      <c r="U79" s="1"/>
      <c r="V79" s="1"/>
      <c r="W79" s="1"/>
      <c r="X79" s="1"/>
      <c r="Y79" s="1"/>
      <c r="Z79" s="1"/>
    </row>
    <row r="80" spans="1:26" ht="18.75" customHeight="1">
      <c r="A80" s="18" t="s">
        <v>393</v>
      </c>
      <c r="B80" s="110" t="s">
        <v>394</v>
      </c>
      <c r="C80" s="116">
        <v>810</v>
      </c>
      <c r="D80" s="21" t="s">
        <v>84</v>
      </c>
      <c r="E80" s="136" t="s">
        <v>286</v>
      </c>
      <c r="F80" s="1"/>
      <c r="G80" s="1"/>
      <c r="H80" s="1"/>
      <c r="I80" s="1"/>
      <c r="J80" s="1"/>
      <c r="K80" s="1"/>
      <c r="L80" s="1"/>
      <c r="M80" s="1"/>
      <c r="N80" s="1"/>
      <c r="O80" s="1"/>
      <c r="P80" s="1"/>
      <c r="Q80" s="1"/>
      <c r="R80" s="1"/>
      <c r="S80" s="1"/>
      <c r="T80" s="1"/>
      <c r="U80" s="1"/>
      <c r="V80" s="1"/>
      <c r="W80" s="1"/>
      <c r="X80" s="1"/>
      <c r="Y80" s="1"/>
      <c r="Z80" s="1"/>
    </row>
    <row r="81" spans="1:26" ht="18.75" customHeight="1">
      <c r="A81" s="18" t="s">
        <v>395</v>
      </c>
      <c r="B81" s="110" t="s">
        <v>396</v>
      </c>
      <c r="C81" s="42">
        <f>Vcstmax_min*mV/Rcs</f>
        <v>1.1903225806451614</v>
      </c>
      <c r="D81" s="204" t="s">
        <v>66</v>
      </c>
      <c r="E81" s="212"/>
      <c r="F81" s="1"/>
      <c r="G81" s="1"/>
      <c r="H81" s="1"/>
      <c r="I81" s="1"/>
      <c r="J81" s="1"/>
      <c r="K81" s="1"/>
      <c r="L81" s="1"/>
      <c r="M81" s="1"/>
      <c r="N81" s="1"/>
      <c r="O81" s="1"/>
      <c r="P81" s="1"/>
      <c r="Q81" s="1"/>
      <c r="R81" s="1"/>
      <c r="S81" s="1"/>
      <c r="T81" s="1"/>
      <c r="U81" s="1"/>
      <c r="V81" s="1"/>
      <c r="W81" s="1"/>
      <c r="X81" s="1"/>
      <c r="Y81" s="1"/>
      <c r="Z81" s="1"/>
    </row>
    <row r="82" spans="1:26" ht="18.75" customHeight="1">
      <c r="A82" s="137" t="s">
        <v>397</v>
      </c>
      <c r="B82" s="138" t="s">
        <v>398</v>
      </c>
      <c r="C82" s="139">
        <f>Vcstmax_nom*mV/Rcs</f>
        <v>1.2467741935483871</v>
      </c>
      <c r="D82" s="300" t="s">
        <v>66</v>
      </c>
      <c r="E82" s="212"/>
      <c r="F82" s="1"/>
      <c r="G82" s="1"/>
      <c r="H82" s="1"/>
      <c r="I82" s="1"/>
      <c r="J82" s="1"/>
      <c r="K82" s="1"/>
      <c r="L82" s="1"/>
      <c r="M82" s="1"/>
      <c r="N82" s="1"/>
      <c r="O82" s="1"/>
      <c r="P82" s="1"/>
      <c r="Q82" s="1"/>
      <c r="R82" s="1"/>
      <c r="S82" s="1"/>
      <c r="T82" s="1"/>
      <c r="U82" s="1"/>
      <c r="V82" s="1"/>
      <c r="W82" s="1"/>
      <c r="X82" s="1"/>
      <c r="Y82" s="1"/>
      <c r="Z82" s="1"/>
    </row>
    <row r="83" spans="1:26" ht="18.75" customHeight="1">
      <c r="A83" s="18" t="s">
        <v>399</v>
      </c>
      <c r="B83" s="110" t="s">
        <v>400</v>
      </c>
      <c r="C83" s="42">
        <f>Vcstmax_max*mV/Rcs</f>
        <v>1.306451612903226</v>
      </c>
      <c r="D83" s="204" t="s">
        <v>66</v>
      </c>
      <c r="E83" s="212"/>
      <c r="F83" s="1"/>
      <c r="G83" s="1"/>
      <c r="H83" s="1"/>
      <c r="I83" s="1"/>
      <c r="J83" s="1"/>
      <c r="K83" s="1"/>
      <c r="L83" s="1"/>
      <c r="M83" s="1"/>
      <c r="N83" s="1"/>
      <c r="O83" s="1"/>
      <c r="P83" s="1"/>
      <c r="Q83" s="1"/>
      <c r="R83" s="1"/>
      <c r="S83" s="1"/>
      <c r="T83" s="1"/>
      <c r="U83" s="1"/>
      <c r="V83" s="1"/>
      <c r="W83" s="1"/>
      <c r="X83" s="1"/>
      <c r="Y83" s="1"/>
      <c r="Z83" s="1"/>
    </row>
    <row r="84" spans="1:26" ht="18.75" customHeight="1">
      <c r="A84" s="137" t="s">
        <v>401</v>
      </c>
      <c r="B84" s="138" t="s">
        <v>402</v>
      </c>
      <c r="C84" s="139">
        <f>Ipp_nom*Nps*Ddemag_cc/2</f>
        <v>1.3445680443548389</v>
      </c>
      <c r="D84" s="140" t="s">
        <v>66</v>
      </c>
      <c r="E84" s="141"/>
      <c r="F84" s="1"/>
      <c r="G84" s="1"/>
      <c r="H84" s="46"/>
      <c r="I84" s="46"/>
      <c r="J84" s="46"/>
      <c r="K84" s="1"/>
      <c r="L84" s="1"/>
      <c r="M84" s="1"/>
      <c r="N84" s="1"/>
      <c r="O84" s="1"/>
      <c r="P84" s="1"/>
      <c r="Q84" s="1"/>
      <c r="R84" s="1"/>
      <c r="S84" s="1"/>
      <c r="T84" s="1"/>
      <c r="U84" s="1"/>
      <c r="V84" s="1"/>
      <c r="W84" s="1"/>
      <c r="X84" s="1"/>
      <c r="Y84" s="1"/>
      <c r="Z84" s="1"/>
    </row>
    <row r="85" spans="1:26" ht="18.75" customHeight="1">
      <c r="A85" s="18" t="s">
        <v>403</v>
      </c>
      <c r="B85" s="110" t="s">
        <v>404</v>
      </c>
      <c r="C85" s="42">
        <f>Ipp_nom/Kam_nom</f>
        <v>0.31169354838709679</v>
      </c>
      <c r="D85" s="204" t="s">
        <v>66</v>
      </c>
      <c r="E85" s="212"/>
      <c r="F85" s="1"/>
      <c r="G85" s="1"/>
      <c r="H85" s="46"/>
      <c r="I85" s="46"/>
      <c r="J85" s="46"/>
      <c r="K85" s="1"/>
      <c r="L85" s="1"/>
      <c r="M85" s="1"/>
      <c r="N85" s="1"/>
      <c r="O85" s="1"/>
      <c r="P85" s="1"/>
      <c r="Q85" s="1"/>
      <c r="R85" s="1"/>
      <c r="S85" s="1"/>
      <c r="T85" s="1"/>
      <c r="U85" s="1"/>
      <c r="V85" s="1"/>
      <c r="W85" s="1"/>
      <c r="X85" s="1"/>
      <c r="Y85" s="1"/>
      <c r="Z85" s="1"/>
    </row>
    <row r="86" spans="1:26" ht="18.75" customHeight="1">
      <c r="A86" s="305" t="s">
        <v>405</v>
      </c>
      <c r="B86" s="277" t="s">
        <v>406</v>
      </c>
      <c r="C86" s="330">
        <f>(Vcstmax_max*mV)/(0.99*Rcs)</f>
        <v>1.3196480938416424</v>
      </c>
      <c r="D86" s="301" t="s">
        <v>66</v>
      </c>
      <c r="E86" s="303" t="s">
        <v>407</v>
      </c>
      <c r="F86" s="1"/>
      <c r="G86" s="1"/>
      <c r="H86" s="46"/>
      <c r="I86" s="46"/>
      <c r="J86" s="46"/>
      <c r="K86" s="1"/>
      <c r="L86" s="1"/>
      <c r="M86" s="1"/>
      <c r="N86" s="1"/>
      <c r="O86" s="1"/>
      <c r="P86" s="1"/>
      <c r="Q86" s="1"/>
      <c r="R86" s="1"/>
      <c r="S86" s="1"/>
      <c r="T86" s="1"/>
      <c r="U86" s="1"/>
      <c r="V86" s="1"/>
      <c r="W86" s="1"/>
      <c r="X86" s="1"/>
      <c r="Y86" s="1"/>
      <c r="Z86" s="1"/>
    </row>
    <row r="87" spans="1:26" ht="18.75" customHeight="1">
      <c r="A87" s="306"/>
      <c r="B87" s="276"/>
      <c r="C87" s="276"/>
      <c r="D87" s="302"/>
      <c r="E87" s="304"/>
      <c r="F87" s="1"/>
      <c r="G87" s="1"/>
      <c r="H87" s="46"/>
      <c r="I87" s="46"/>
      <c r="J87" s="46"/>
      <c r="K87" s="1"/>
      <c r="L87" s="1"/>
      <c r="M87" s="1"/>
      <c r="N87" s="1"/>
      <c r="O87" s="1"/>
      <c r="P87" s="1"/>
      <c r="Q87" s="1"/>
      <c r="R87" s="1"/>
      <c r="S87" s="1"/>
      <c r="T87" s="1"/>
      <c r="U87" s="1"/>
      <c r="V87" s="1"/>
      <c r="W87" s="1"/>
      <c r="X87" s="1"/>
      <c r="Y87" s="1"/>
      <c r="Z87" s="1"/>
    </row>
    <row r="88" spans="1:26" ht="18.75" customHeight="1">
      <c r="A88" s="27" t="s">
        <v>408</v>
      </c>
      <c r="B88" s="103" t="s">
        <v>409</v>
      </c>
      <c r="C88" s="71">
        <f>Ipp_wc*Nps*Ddemag_cc/2</f>
        <v>1.4231579912023462</v>
      </c>
      <c r="D88" s="29" t="s">
        <v>66</v>
      </c>
      <c r="E88" s="106" t="s">
        <v>410</v>
      </c>
      <c r="F88" s="1"/>
      <c r="G88" s="1"/>
      <c r="H88" s="46"/>
      <c r="I88" s="46"/>
      <c r="J88" s="46"/>
      <c r="K88" s="1"/>
      <c r="L88" s="1"/>
      <c r="M88" s="1"/>
      <c r="N88" s="1"/>
      <c r="O88" s="1"/>
      <c r="P88" s="1"/>
      <c r="Q88" s="1"/>
      <c r="R88" s="1"/>
      <c r="S88" s="1"/>
      <c r="T88" s="1"/>
      <c r="U88" s="1"/>
      <c r="V88" s="1"/>
      <c r="W88" s="1"/>
      <c r="X88" s="1"/>
      <c r="Y88" s="1"/>
      <c r="Z88" s="1"/>
    </row>
    <row r="89" spans="1:26" ht="18.75" customHeight="1">
      <c r="A89" s="46"/>
      <c r="B89" s="46"/>
      <c r="C89" s="46"/>
      <c r="D89" s="46"/>
      <c r="E89" s="46"/>
      <c r="F89" s="46"/>
      <c r="G89" s="1"/>
      <c r="H89" s="46"/>
      <c r="I89" s="46"/>
      <c r="J89" s="46"/>
      <c r="K89" s="1"/>
      <c r="L89" s="1"/>
      <c r="M89" s="1"/>
      <c r="N89" s="1"/>
      <c r="O89" s="1"/>
      <c r="P89" s="1"/>
      <c r="Q89" s="1"/>
      <c r="R89" s="1"/>
      <c r="S89" s="1"/>
      <c r="T89" s="1"/>
      <c r="U89" s="1"/>
      <c r="V89" s="1"/>
      <c r="W89" s="1"/>
      <c r="X89" s="1"/>
      <c r="Y89" s="1"/>
      <c r="Z89" s="1"/>
    </row>
    <row r="90" spans="1:26" ht="18.75" customHeight="1">
      <c r="A90" s="323" t="s">
        <v>411</v>
      </c>
      <c r="B90" s="241"/>
      <c r="C90" s="241"/>
      <c r="D90" s="241"/>
      <c r="E90" s="242"/>
      <c r="F90" s="1"/>
      <c r="G90" s="1"/>
      <c r="H90" s="46"/>
      <c r="I90" s="46"/>
      <c r="J90" s="46"/>
      <c r="K90" s="1"/>
      <c r="L90" s="1"/>
      <c r="M90" s="1"/>
      <c r="N90" s="1"/>
      <c r="O90" s="1"/>
      <c r="P90" s="1"/>
      <c r="Q90" s="1"/>
      <c r="R90" s="1"/>
      <c r="S90" s="1"/>
      <c r="T90" s="1"/>
      <c r="U90" s="1"/>
      <c r="V90" s="1"/>
      <c r="W90" s="1"/>
      <c r="X90" s="1"/>
      <c r="Y90" s="1"/>
      <c r="Z90" s="1"/>
    </row>
    <row r="91" spans="1:26" ht="18.75" customHeight="1">
      <c r="A91" s="142" t="s">
        <v>412</v>
      </c>
      <c r="B91" s="143" t="s">
        <v>413</v>
      </c>
      <c r="C91" s="42">
        <f>((2*(Vout_cv+Vf+(DCR_Lout*mOhms*Iocc))*Iocc/(eff_xfmr*Ipp_nom^2*fmax_target*kHz))/uH)</f>
        <v>871.38948780604665</v>
      </c>
      <c r="D91" s="204" t="s">
        <v>180</v>
      </c>
      <c r="E91" s="212"/>
      <c r="F91" s="1"/>
      <c r="G91" s="1"/>
      <c r="H91" s="46"/>
      <c r="I91" s="46"/>
      <c r="J91" s="46"/>
      <c r="K91" s="1"/>
      <c r="L91" s="1"/>
      <c r="M91" s="1"/>
      <c r="N91" s="1"/>
      <c r="O91" s="1"/>
      <c r="P91" s="1"/>
      <c r="Q91" s="1"/>
      <c r="R91" s="1"/>
      <c r="S91" s="1"/>
      <c r="T91" s="1"/>
      <c r="U91" s="1"/>
      <c r="V91" s="1"/>
      <c r="W91" s="1"/>
      <c r="X91" s="1"/>
      <c r="Y91" s="1"/>
      <c r="Z91" s="1"/>
    </row>
    <row r="92" spans="1:26" ht="18.75" customHeight="1">
      <c r="A92" s="18" t="s">
        <v>414</v>
      </c>
      <c r="B92" s="110" t="s">
        <v>415</v>
      </c>
      <c r="C92" s="42">
        <f>IF(((((2*(Vout_cv+Vf+(DCR_Lout*mOhms*Iocc))*Iocc/(eff_xfmr*Ipp_nom^2*fmax_target*kHz))/uH)*uH*Ipp_nom)/(Vbulk_max*Kam_nom))/ns&lt;tonmin_limit,(tonmin_limit*1.01*Vbulk_max*Kam_nom/Ipp_nom*ns),(2*(Vout_cv+Vf+(DCR_Lout*mOhms*Iocc))*Iocc/(eff_xfmr*Ipp_nom^2*fmax_target*kHz)))/uH</f>
        <v>871.38948780604665</v>
      </c>
      <c r="D92" s="21" t="s">
        <v>180</v>
      </c>
      <c r="E92" s="136" t="s">
        <v>416</v>
      </c>
      <c r="F92" s="1"/>
      <c r="G92" s="1"/>
      <c r="H92" s="46"/>
      <c r="I92" s="46"/>
      <c r="J92" s="46"/>
      <c r="K92" s="1"/>
      <c r="L92" s="1"/>
      <c r="M92" s="1"/>
      <c r="N92" s="1"/>
      <c r="O92" s="1"/>
      <c r="P92" s="1"/>
      <c r="Q92" s="1"/>
      <c r="R92" s="1"/>
      <c r="S92" s="1"/>
      <c r="T92" s="1"/>
      <c r="U92" s="1"/>
      <c r="V92" s="1"/>
      <c r="W92" s="1"/>
      <c r="X92" s="1"/>
      <c r="Y92" s="1"/>
      <c r="Z92" s="1"/>
    </row>
    <row r="93" spans="1:26" ht="18.75" customHeight="1">
      <c r="A93" s="117" t="s">
        <v>417</v>
      </c>
      <c r="B93" s="118" t="s">
        <v>418</v>
      </c>
      <c r="C93" s="120">
        <f>IF('START HERE'!C55="","",'START HERE'!C55)</f>
        <v>900</v>
      </c>
      <c r="D93" s="89" t="s">
        <v>180</v>
      </c>
      <c r="E93" s="122" t="s">
        <v>203</v>
      </c>
      <c r="F93" s="1"/>
      <c r="G93" s="1"/>
      <c r="H93" s="1"/>
      <c r="I93" s="1"/>
      <c r="J93" s="1"/>
      <c r="K93" s="1"/>
      <c r="L93" s="1"/>
      <c r="M93" s="1"/>
      <c r="N93" s="1"/>
      <c r="O93" s="1"/>
      <c r="P93" s="1"/>
      <c r="Q93" s="1"/>
      <c r="R93" s="1"/>
      <c r="S93" s="1"/>
      <c r="T93" s="1"/>
      <c r="U93" s="1"/>
      <c r="V93" s="1"/>
      <c r="W93" s="1"/>
      <c r="X93" s="1"/>
      <c r="Y93" s="1"/>
      <c r="Z93" s="1"/>
    </row>
    <row r="94" spans="1:26" ht="18.75" customHeight="1">
      <c r="A94" s="18" t="s">
        <v>419</v>
      </c>
      <c r="B94" s="110" t="s">
        <v>420</v>
      </c>
      <c r="C94" s="42">
        <f>IF(Lp_actual="",Lp_rcmd,Lp_actual)</f>
        <v>900</v>
      </c>
      <c r="D94" s="204" t="s">
        <v>180</v>
      </c>
      <c r="E94" s="212"/>
      <c r="F94" s="1"/>
      <c r="G94" s="1"/>
      <c r="H94" s="1"/>
      <c r="I94" s="1"/>
      <c r="J94" s="1"/>
      <c r="K94" s="1"/>
      <c r="L94" s="1"/>
      <c r="M94" s="1"/>
      <c r="N94" s="1"/>
      <c r="O94" s="1"/>
      <c r="P94" s="1"/>
      <c r="Q94" s="1"/>
      <c r="R94" s="1"/>
      <c r="S94" s="1"/>
      <c r="T94" s="1"/>
      <c r="U94" s="1"/>
      <c r="V94" s="1"/>
      <c r="W94" s="1"/>
      <c r="X94" s="1"/>
      <c r="Y94" s="1"/>
      <c r="Z94" s="1"/>
    </row>
    <row r="95" spans="1:26" ht="18.75" customHeight="1">
      <c r="A95" s="137" t="s">
        <v>421</v>
      </c>
      <c r="B95" s="138" t="s">
        <v>422</v>
      </c>
      <c r="C95" s="139">
        <f>(Nps*Ddemag_cc*(Vout_cv+Vf+(DCR_Lout*mOhms*Iocc))/(Lp*uH*Ipp_nom)/kHz)</f>
        <v>78.425053902544178</v>
      </c>
      <c r="D95" s="144" t="s">
        <v>86</v>
      </c>
      <c r="E95" s="145" t="str">
        <f>IF(fmax&gt;100,"Design exceeds capability of part",IF(fmax&lt;32,"Design will operate only in the AM range, not all features may be available",""))</f>
        <v/>
      </c>
      <c r="F95" s="1"/>
      <c r="G95" s="1"/>
      <c r="H95" s="1"/>
      <c r="I95" s="1"/>
      <c r="J95" s="1"/>
      <c r="K95" s="1"/>
      <c r="L95" s="1"/>
      <c r="M95" s="1"/>
      <c r="N95" s="1"/>
      <c r="O95" s="1"/>
      <c r="P95" s="1"/>
      <c r="Q95" s="1"/>
      <c r="R95" s="1"/>
      <c r="S95" s="1"/>
      <c r="T95" s="1"/>
      <c r="U95" s="1"/>
      <c r="V95" s="1"/>
      <c r="W95" s="1"/>
      <c r="X95" s="1"/>
      <c r="Y95" s="1"/>
      <c r="Z95" s="1"/>
    </row>
    <row r="96" spans="1:26" ht="18.75" customHeight="1">
      <c r="A96" s="18" t="s">
        <v>423</v>
      </c>
      <c r="B96" s="110" t="s">
        <v>424</v>
      </c>
      <c r="C96" s="42">
        <f>(1/fmax*kHz)</f>
        <v>12.751027257726362</v>
      </c>
      <c r="D96" s="204" t="s">
        <v>303</v>
      </c>
      <c r="E96" s="212"/>
      <c r="F96" s="1"/>
      <c r="G96" s="1"/>
      <c r="H96" s="1"/>
      <c r="I96" s="1"/>
      <c r="J96" s="1"/>
      <c r="K96" s="1"/>
      <c r="L96" s="1"/>
      <c r="M96" s="1"/>
      <c r="N96" s="1"/>
      <c r="O96" s="1"/>
      <c r="P96" s="1"/>
      <c r="Q96" s="1"/>
      <c r="R96" s="1"/>
      <c r="S96" s="1"/>
      <c r="T96" s="1"/>
      <c r="U96" s="1"/>
      <c r="V96" s="1"/>
      <c r="W96" s="1"/>
      <c r="X96" s="1"/>
      <c r="Y96" s="1"/>
      <c r="Z96" s="1"/>
    </row>
    <row r="97" spans="1:26" ht="18.75" customHeight="1">
      <c r="A97" s="18" t="s">
        <v>425</v>
      </c>
      <c r="B97" s="110" t="s">
        <v>426</v>
      </c>
      <c r="C97" s="42">
        <f>Ipp_nom*Lp/Vbulk_valley</f>
        <v>6.1839804303478143</v>
      </c>
      <c r="D97" s="204" t="s">
        <v>303</v>
      </c>
      <c r="E97" s="212"/>
      <c r="F97" s="1"/>
      <c r="G97" s="1"/>
      <c r="H97" s="1"/>
      <c r="I97" s="1"/>
      <c r="J97" s="1"/>
      <c r="K97" s="1"/>
      <c r="L97" s="1"/>
      <c r="M97" s="1"/>
      <c r="N97" s="1"/>
      <c r="O97" s="1"/>
      <c r="P97" s="1"/>
      <c r="Q97" s="1"/>
      <c r="R97" s="1"/>
      <c r="S97" s="1"/>
      <c r="T97" s="1"/>
      <c r="U97" s="1"/>
      <c r="V97" s="1"/>
      <c r="W97" s="1"/>
      <c r="X97" s="1"/>
      <c r="Y97" s="1"/>
      <c r="Z97" s="1"/>
    </row>
    <row r="98" spans="1:26" ht="18.75" customHeight="1">
      <c r="A98" s="18" t="s">
        <v>427</v>
      </c>
      <c r="B98" s="110" t="s">
        <v>428</v>
      </c>
      <c r="C98" s="42">
        <f>(ton_max*us)*(fmax*kHz)</f>
        <v>0.48497899858230564</v>
      </c>
      <c r="D98" s="204"/>
      <c r="E98" s="212"/>
      <c r="F98" s="1"/>
      <c r="G98" s="1"/>
      <c r="H98" s="1"/>
      <c r="I98" s="1"/>
      <c r="J98" s="1"/>
      <c r="K98" s="1"/>
      <c r="L98" s="1"/>
      <c r="M98" s="1"/>
      <c r="N98" s="1"/>
      <c r="O98" s="1"/>
      <c r="P98" s="1"/>
      <c r="Q98" s="1"/>
      <c r="R98" s="1"/>
      <c r="S98" s="1"/>
      <c r="T98" s="1"/>
      <c r="U98" s="1"/>
      <c r="V98" s="1"/>
      <c r="W98" s="1"/>
      <c r="X98" s="1"/>
      <c r="Y98" s="1"/>
      <c r="Z98" s="1"/>
    </row>
    <row r="99" spans="1:26" ht="18.75" customHeight="1">
      <c r="A99" s="18" t="s">
        <v>429</v>
      </c>
      <c r="B99" s="110" t="s">
        <v>430</v>
      </c>
      <c r="C99" s="42">
        <f>(Lp*uH)*Ipp_nom/(Nps*(Vout_cv+Vf+(DCR_Lout*mOhms*Iocc)))/us</f>
        <v>5.4191865845337022</v>
      </c>
      <c r="D99" s="204" t="s">
        <v>303</v>
      </c>
      <c r="E99" s="212"/>
      <c r="F99" s="1"/>
      <c r="G99" s="1"/>
      <c r="H99" s="1"/>
      <c r="I99" s="1"/>
      <c r="J99" s="1"/>
      <c r="K99" s="1"/>
      <c r="L99" s="1"/>
      <c r="M99" s="1"/>
      <c r="N99" s="1"/>
      <c r="O99" s="1"/>
      <c r="P99" s="1"/>
      <c r="Q99" s="1"/>
      <c r="R99" s="1"/>
      <c r="S99" s="1"/>
      <c r="T99" s="1"/>
      <c r="U99" s="1"/>
      <c r="V99" s="1"/>
      <c r="W99" s="1"/>
      <c r="X99" s="1"/>
      <c r="Y99" s="1"/>
      <c r="Z99" s="1"/>
    </row>
    <row r="100" spans="1:26" ht="18.75" customHeight="1">
      <c r="A100" s="18" t="s">
        <v>431</v>
      </c>
      <c r="B100" s="110" t="s">
        <v>432</v>
      </c>
      <c r="C100" s="42">
        <f>(Ipp_nom/SQRT(3))*(SQRT(ton_max/tsw))</f>
        <v>0.50128954073011511</v>
      </c>
      <c r="D100" s="204" t="s">
        <v>66</v>
      </c>
      <c r="E100" s="212"/>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8" t="s">
        <v>433</v>
      </c>
      <c r="B101" s="110" t="s">
        <v>434</v>
      </c>
      <c r="C101" s="42">
        <f>Ipp_nom*Nps</f>
        <v>6.3273790322580652</v>
      </c>
      <c r="D101" s="204" t="s">
        <v>66</v>
      </c>
      <c r="E101" s="212"/>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8" t="s">
        <v>435</v>
      </c>
      <c r="B102" s="110" t="s">
        <v>436</v>
      </c>
      <c r="C102" s="42">
        <f>Isp_max*SQRT(Ddemag_cc/3)</f>
        <v>2.3815389494043608</v>
      </c>
      <c r="D102" s="204" t="s">
        <v>66</v>
      </c>
      <c r="E102" s="212"/>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8" t="s">
        <v>437</v>
      </c>
      <c r="B103" s="110" t="s">
        <v>438</v>
      </c>
      <c r="C103" s="42">
        <v>8.15</v>
      </c>
      <c r="D103" s="21" t="s">
        <v>37</v>
      </c>
      <c r="E103" s="136" t="s">
        <v>286</v>
      </c>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8" t="s">
        <v>439</v>
      </c>
      <c r="B104" s="110" t="s">
        <v>440</v>
      </c>
      <c r="C104" s="42">
        <v>7.35</v>
      </c>
      <c r="D104" s="21" t="s">
        <v>37</v>
      </c>
      <c r="E104" s="136" t="s">
        <v>286</v>
      </c>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38" t="s">
        <v>441</v>
      </c>
      <c r="B105" s="110" t="s">
        <v>442</v>
      </c>
      <c r="C105" s="42">
        <f>(VDDoff_max+Vfa)/(Vout_cc+Vf+(DCR_Lout*mOhms*Iocc))</f>
        <v>0.24097938144329897</v>
      </c>
      <c r="D105" s="204"/>
      <c r="E105" s="212"/>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8" t="s">
        <v>443</v>
      </c>
      <c r="B106" s="110" t="s">
        <v>444</v>
      </c>
      <c r="C106" s="42">
        <f>Nps/Nas_rcmd</f>
        <v>21.059893048128341</v>
      </c>
      <c r="D106" s="204"/>
      <c r="E106" s="212"/>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84" t="s">
        <v>445</v>
      </c>
      <c r="B107" s="113" t="s">
        <v>446</v>
      </c>
      <c r="C107" s="88">
        <f>IF('START HERE'!C57="","",'START HERE'!C57)</f>
        <v>20</v>
      </c>
      <c r="D107" s="351" t="s">
        <v>203</v>
      </c>
      <c r="E107" s="212"/>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38" t="s">
        <v>447</v>
      </c>
      <c r="B108" s="110" t="s">
        <v>448</v>
      </c>
      <c r="C108" s="42">
        <f>IF('START HERE'!C57="",Npa_rcmd,Npa_actual)</f>
        <v>20</v>
      </c>
      <c r="D108" s="204"/>
      <c r="E108" s="212"/>
      <c r="F108" s="1"/>
      <c r="G108" s="1"/>
      <c r="H108" s="1"/>
      <c r="I108" s="1"/>
      <c r="J108" s="1"/>
      <c r="K108" s="1"/>
      <c r="L108" s="1"/>
      <c r="M108" s="1"/>
      <c r="N108" s="1"/>
      <c r="O108" s="1"/>
      <c r="P108" s="1"/>
      <c r="Q108" s="1"/>
      <c r="R108" s="1"/>
      <c r="S108" s="1"/>
      <c r="T108" s="1"/>
      <c r="U108" s="1"/>
      <c r="V108" s="1"/>
      <c r="W108" s="1"/>
      <c r="X108" s="1"/>
      <c r="Y108" s="1"/>
      <c r="Z108" s="1"/>
    </row>
    <row r="109" spans="1:26" ht="55.5" customHeight="1">
      <c r="A109" s="137" t="s">
        <v>449</v>
      </c>
      <c r="B109" s="138" t="s">
        <v>450</v>
      </c>
      <c r="C109" s="139">
        <f>((Vout_cv+Vf+(DCR_Lout*mOhms*Iocc))*Nps-Vfa*Npa)/Npa</f>
        <v>9.1530000000000005</v>
      </c>
      <c r="D109" s="144" t="s">
        <v>37</v>
      </c>
      <c r="E109" s="146" t="str">
        <f>IF(VDD &gt; 25,"A zener clamp is needed to protect VDD from Exceeding ABS MAX over entire operating range","")</f>
        <v/>
      </c>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47" t="s">
        <v>451</v>
      </c>
      <c r="B110" s="148" t="s">
        <v>452</v>
      </c>
      <c r="C110" s="149">
        <f>Nps/Npa</f>
        <v>0.25375000000000003</v>
      </c>
      <c r="D110" s="324"/>
      <c r="E110" s="214"/>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47" t="s">
        <v>453</v>
      </c>
      <c r="B111" s="110" t="s">
        <v>454</v>
      </c>
      <c r="C111" s="149">
        <v>280</v>
      </c>
      <c r="D111" s="150" t="s">
        <v>219</v>
      </c>
      <c r="E111" s="15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8" t="s">
        <v>455</v>
      </c>
      <c r="B112" s="110" t="s">
        <v>456</v>
      </c>
      <c r="C112" s="42">
        <f>(Lp*uH*Ipp_nom)/(Vbulk_max*Kam_nom)/ns</f>
        <v>826.5023314373002</v>
      </c>
      <c r="D112" s="152" t="s">
        <v>219</v>
      </c>
      <c r="E112" s="153" t="str">
        <f>IF(ton_min&lt;tonmin_limit,"Increase Primary Inductance","")</f>
        <v/>
      </c>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8" t="s">
        <v>457</v>
      </c>
      <c r="B113" s="110" t="s">
        <v>458</v>
      </c>
      <c r="C113" s="42">
        <f>((ton_min*ns)*Vbulk_max)/(Nps*(Vout_cv+Vf+(DCR_Lout*mOhms)))/us</f>
        <v>1.3547966461334255</v>
      </c>
      <c r="D113" s="204" t="s">
        <v>303</v>
      </c>
      <c r="E113" s="212"/>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54" t="s">
        <v>459</v>
      </c>
      <c r="B114" s="155" t="s">
        <v>460</v>
      </c>
      <c r="C114" s="156">
        <f>((VDDoff_min+Vfa)/Nas)-Vf-(DCR_Lout*mOhms*Iocc)</f>
        <v>32.894581280788174</v>
      </c>
      <c r="D114" s="350" t="s">
        <v>37</v>
      </c>
      <c r="E114" s="236"/>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314" t="s">
        <v>461</v>
      </c>
      <c r="B116" s="225"/>
      <c r="C116" s="225"/>
      <c r="D116" s="225"/>
      <c r="E116" s="226"/>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21" t="s">
        <v>462</v>
      </c>
      <c r="B117" s="157" t="s">
        <v>463</v>
      </c>
      <c r="C117" s="42">
        <f>(Vbulk_max+(Nps*(Vout_cv+Vf+((DCR_Lout*mOhms)*Iocc_target))))*1.3</f>
        <v>710.41263146040558</v>
      </c>
      <c r="D117" s="352" t="s">
        <v>37</v>
      </c>
      <c r="E117" s="212"/>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84" t="s">
        <v>464</v>
      </c>
      <c r="B118" s="113" t="s">
        <v>465</v>
      </c>
      <c r="C118" s="88">
        <f>'START HERE'!C60</f>
        <v>900</v>
      </c>
      <c r="D118" s="158" t="s">
        <v>37</v>
      </c>
      <c r="E118" s="335" t="s">
        <v>46</v>
      </c>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84" t="s">
        <v>466</v>
      </c>
      <c r="B119" s="113" t="s">
        <v>467</v>
      </c>
      <c r="C119" s="158">
        <f>'START HERE'!C61</f>
        <v>55</v>
      </c>
      <c r="D119" s="158" t="s">
        <v>213</v>
      </c>
      <c r="E119" s="336"/>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84" t="s">
        <v>468</v>
      </c>
      <c r="B120" s="113" t="s">
        <v>469</v>
      </c>
      <c r="C120" s="88">
        <f>'START HERE'!C62</f>
        <v>8</v>
      </c>
      <c r="D120" s="158" t="s">
        <v>168</v>
      </c>
      <c r="E120" s="336"/>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84" t="s">
        <v>470</v>
      </c>
      <c r="B121" s="113" t="s">
        <v>471</v>
      </c>
      <c r="C121" s="88">
        <f>'START HERE'!C63</f>
        <v>32</v>
      </c>
      <c r="D121" s="158" t="s">
        <v>219</v>
      </c>
      <c r="E121" s="336"/>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30" t="s">
        <v>472</v>
      </c>
      <c r="B122" s="113" t="s">
        <v>473</v>
      </c>
      <c r="C122" s="158">
        <f>'START HERE'!C64</f>
        <v>56</v>
      </c>
      <c r="D122" s="158" t="s">
        <v>219</v>
      </c>
      <c r="E122" s="336"/>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84" t="s">
        <v>474</v>
      </c>
      <c r="B123" s="113" t="s">
        <v>475</v>
      </c>
      <c r="C123" s="88">
        <f>'START HERE'!C65</f>
        <v>38</v>
      </c>
      <c r="D123" s="158" t="s">
        <v>225</v>
      </c>
      <c r="E123" s="337"/>
      <c r="F123" s="1"/>
      <c r="G123" s="1"/>
      <c r="H123" s="1"/>
      <c r="I123" s="1"/>
      <c r="J123" s="1"/>
      <c r="K123" s="1"/>
      <c r="L123" s="1"/>
      <c r="M123" s="1"/>
      <c r="N123" s="1"/>
      <c r="O123" s="1"/>
      <c r="P123" s="1"/>
      <c r="Q123" s="1"/>
      <c r="R123" s="1"/>
      <c r="S123" s="1"/>
      <c r="T123" s="1"/>
      <c r="U123" s="1"/>
      <c r="V123" s="1"/>
      <c r="W123" s="1"/>
      <c r="X123" s="1"/>
      <c r="Y123" s="1"/>
      <c r="Z123" s="1"/>
    </row>
    <row r="124" spans="1:26" ht="19.5" customHeight="1">
      <c r="A124" s="18" t="s">
        <v>476</v>
      </c>
      <c r="B124" s="57" t="s">
        <v>477</v>
      </c>
      <c r="C124" s="42">
        <f>1/(2*PI()*SQRT(Lp*uH*Coss*2*pF))/MHz</f>
        <v>0.50582761377211138</v>
      </c>
      <c r="D124" s="204" t="s">
        <v>309</v>
      </c>
      <c r="E124" s="212"/>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8" t="s">
        <v>478</v>
      </c>
      <c r="B125" s="110" t="s">
        <v>479</v>
      </c>
      <c r="C125" s="42">
        <f>1/(2*fres_actual*MHz)/us</f>
        <v>0.98847905172939654</v>
      </c>
      <c r="D125" s="206" t="s">
        <v>480</v>
      </c>
      <c r="E125" s="212"/>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8" t="s">
        <v>481</v>
      </c>
      <c r="B126" s="110" t="s">
        <v>482</v>
      </c>
      <c r="C126" s="159" t="str">
        <f>IF((1-((tres_actual*us)*(fmax*kHz))-Ddemag_cc)&lt;(1-((2.1*us)*(fmax*kHz))-Ddemag_cc),"NO","YES")</f>
        <v>YES</v>
      </c>
      <c r="D126" s="349" t="str">
        <f>IF(C126="NO", "Efficiency will be impacted","")</f>
        <v/>
      </c>
      <c r="E126" s="212"/>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8" t="s">
        <v>483</v>
      </c>
      <c r="B127" s="110" t="s">
        <v>484</v>
      </c>
      <c r="C127" s="42">
        <f>Vds_min_rating/Vds</f>
        <v>0.78934736828933949</v>
      </c>
      <c r="D127" s="204"/>
      <c r="E127" s="212"/>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8" t="s">
        <v>485</v>
      </c>
      <c r="B128" s="110" t="s">
        <v>486</v>
      </c>
      <c r="C128" s="42">
        <f>((Ipp_wc/SQRT(3))*(SQRT(ton_max/tsw)))*10</f>
        <v>5.3058989375173908</v>
      </c>
      <c r="D128" s="204" t="s">
        <v>66</v>
      </c>
      <c r="E128" s="212"/>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8" t="s">
        <v>487</v>
      </c>
      <c r="B129" s="110" t="s">
        <v>488</v>
      </c>
      <c r="C129" s="42">
        <f>Ipp_wc*10</f>
        <v>13.196480938416425</v>
      </c>
      <c r="D129" s="204" t="s">
        <v>66</v>
      </c>
      <c r="E129" s="212"/>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8" t="s">
        <v>489</v>
      </c>
      <c r="B130" s="110" t="s">
        <v>490</v>
      </c>
      <c r="C130" s="42">
        <f>(Ipri_RMS^2)*Rdson</f>
        <v>2.010329629163278</v>
      </c>
      <c r="D130" s="204" t="s">
        <v>96</v>
      </c>
      <c r="E130" s="212"/>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8" t="s">
        <v>491</v>
      </c>
      <c r="B131" s="110" t="s">
        <v>492</v>
      </c>
      <c r="C131" s="42">
        <f>fmax*kHz*((((Coss*pF)*(Vbulk_max-Vflyback)^2)/2)+(((Vbulk_max+Vflyback)*Ipp_nom*tf*ns)/2))</f>
        <v>0.89270718392711501</v>
      </c>
      <c r="D131" s="204" t="s">
        <v>96</v>
      </c>
      <c r="E131" s="212"/>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8" t="s">
        <v>493</v>
      </c>
      <c r="B132" s="110" t="s">
        <v>494</v>
      </c>
      <c r="C132" s="42">
        <f>Pfet_cond+Pfet_switch</f>
        <v>2.903036813090393</v>
      </c>
      <c r="D132" s="204" t="s">
        <v>96</v>
      </c>
      <c r="E132" s="212"/>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27" t="s">
        <v>495</v>
      </c>
      <c r="B133" s="103" t="s">
        <v>496</v>
      </c>
      <c r="C133" s="71">
        <f>(0.95*Vds)-(Vbulk_max+Nps*(Vout_cv+Vf+(DCR_Lout*mOhms)))</f>
        <v>308.52874503045723</v>
      </c>
      <c r="D133" s="218" t="s">
        <v>37</v>
      </c>
      <c r="E133" s="220"/>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57"/>
      <c r="C134" s="10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314" t="s">
        <v>497</v>
      </c>
      <c r="B135" s="225"/>
      <c r="C135" s="225"/>
      <c r="D135" s="225"/>
      <c r="E135" s="226"/>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84" t="s">
        <v>498</v>
      </c>
      <c r="B136" s="113" t="s">
        <v>499</v>
      </c>
      <c r="C136" s="88">
        <f>IF('START HERE'!C43="",0.7,'START HERE'!C43)</f>
        <v>0.8</v>
      </c>
      <c r="D136" s="89" t="s">
        <v>37</v>
      </c>
      <c r="E136" s="90" t="s">
        <v>203</v>
      </c>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8" t="s">
        <v>500</v>
      </c>
      <c r="B137" s="110" t="s">
        <v>501</v>
      </c>
      <c r="C137" s="42">
        <f>((Vbulk_max+Vdrain_clamp)/Nps)+Vout_ovp+(DCR_Lout*mOhms*Iocc)</f>
        <v>168.4729064039409</v>
      </c>
      <c r="D137" s="204" t="s">
        <v>37</v>
      </c>
      <c r="E137" s="212"/>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8" t="s">
        <v>502</v>
      </c>
      <c r="B138" s="110" t="s">
        <v>503</v>
      </c>
      <c r="C138" s="42">
        <f>Isec_rms</f>
        <v>2.3815389494043608</v>
      </c>
      <c r="D138" s="204" t="s">
        <v>66</v>
      </c>
      <c r="E138" s="212"/>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27" t="s">
        <v>504</v>
      </c>
      <c r="B139" s="103" t="s">
        <v>505</v>
      </c>
      <c r="C139" s="71">
        <f>Vf*Iocc</f>
        <v>1.0756544354838711</v>
      </c>
      <c r="D139" s="218" t="s">
        <v>96</v>
      </c>
      <c r="E139" s="220"/>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60"/>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314" t="s">
        <v>506</v>
      </c>
      <c r="B141" s="225"/>
      <c r="C141" s="225"/>
      <c r="D141" s="225"/>
      <c r="E141" s="226"/>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84" t="s">
        <v>507</v>
      </c>
      <c r="B142" s="113" t="s">
        <v>508</v>
      </c>
      <c r="C142" s="88">
        <f>IF('START HERE'!C75="",0.7,'START HERE'!C75)</f>
        <v>1.2</v>
      </c>
      <c r="D142" s="89" t="s">
        <v>37</v>
      </c>
      <c r="E142" s="90" t="s">
        <v>203</v>
      </c>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27" t="s">
        <v>500</v>
      </c>
      <c r="B143" s="103" t="s">
        <v>509</v>
      </c>
      <c r="C143" s="71">
        <f>(Vout_cv*Nps/Npa)+(Vbulk_max/Npa)+VDD</f>
        <v>36.27356274847714</v>
      </c>
      <c r="D143" s="218" t="s">
        <v>37</v>
      </c>
      <c r="E143" s="220"/>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314" t="s">
        <v>510</v>
      </c>
      <c r="B145" s="225"/>
      <c r="C145" s="225"/>
      <c r="D145" s="225"/>
      <c r="E145" s="226"/>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61" t="s">
        <v>511</v>
      </c>
      <c r="B146" s="162" t="s">
        <v>512</v>
      </c>
      <c r="C146" s="163">
        <f>IF('START HERE'!C45="",0,'START HERE'!C45)</f>
        <v>0</v>
      </c>
      <c r="D146" s="164" t="s">
        <v>141</v>
      </c>
      <c r="E146" s="165" t="s">
        <v>203</v>
      </c>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66"/>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314" t="s">
        <v>513</v>
      </c>
      <c r="B148" s="225"/>
      <c r="C148" s="225"/>
      <c r="D148" s="225"/>
      <c r="E148" s="226"/>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345" t="s">
        <v>514</v>
      </c>
      <c r="B149" s="339" t="s">
        <v>515</v>
      </c>
      <c r="C149" s="338">
        <f>(Itran*tresp*ms)/Vout_delta/uF</f>
        <v>480000</v>
      </c>
      <c r="D149" s="341" t="s">
        <v>59</v>
      </c>
      <c r="E149" s="340" t="s">
        <v>516</v>
      </c>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306"/>
      <c r="B150" s="276"/>
      <c r="C150" s="276"/>
      <c r="D150" s="302"/>
      <c r="E150" s="304"/>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345" t="s">
        <v>517</v>
      </c>
      <c r="B151" s="339" t="s">
        <v>518</v>
      </c>
      <c r="C151" s="338">
        <f>'LOOKUP TABLES AND DROPDOWN LIST'!T23</f>
        <v>470</v>
      </c>
      <c r="D151" s="342" t="s">
        <v>59</v>
      </c>
      <c r="E151" s="343"/>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306"/>
      <c r="B152" s="276"/>
      <c r="C152" s="276"/>
      <c r="D152" s="209"/>
      <c r="E152" s="344"/>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67" t="s">
        <v>519</v>
      </c>
      <c r="B153" s="26" t="s">
        <v>520</v>
      </c>
      <c r="C153" s="168">
        <f>IF('START HERE'!C69="","",'START HERE'!C69)</f>
        <v>470</v>
      </c>
      <c r="D153" s="169" t="s">
        <v>521</v>
      </c>
      <c r="E153" s="170" t="s">
        <v>203</v>
      </c>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71" t="s">
        <v>522</v>
      </c>
      <c r="B154" s="129" t="s">
        <v>523</v>
      </c>
      <c r="C154" s="135">
        <f>IF(Cout_actual="",Cout_rcmd,Cout_actual)</f>
        <v>470</v>
      </c>
      <c r="D154" s="206" t="s">
        <v>524</v>
      </c>
      <c r="E154" s="212"/>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71" t="s">
        <v>525</v>
      </c>
      <c r="B155" s="129" t="s">
        <v>526</v>
      </c>
      <c r="C155" s="135">
        <f>SQRT((Iocc^2)+((Lp*uH*Ipp_nom*fmax*kHz/Vbulk_valley)*((Isp_max^2/3)-Isp_max*Iocc)))</f>
        <v>2.0381417893261871</v>
      </c>
      <c r="D155" s="206" t="s">
        <v>66</v>
      </c>
      <c r="E155" s="212"/>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83" t="s">
        <v>527</v>
      </c>
      <c r="B156" s="129" t="s">
        <v>528</v>
      </c>
      <c r="C156" s="135">
        <f>Vripple_target*mV/Isp_max/mOhms</f>
        <v>12.643465737100032</v>
      </c>
      <c r="D156" s="206" t="s">
        <v>141</v>
      </c>
      <c r="E156" s="212"/>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72" t="s">
        <v>529</v>
      </c>
      <c r="B157" s="26" t="s">
        <v>530</v>
      </c>
      <c r="C157" s="168">
        <f>IF('START HERE'!C71="","",'START HERE'!C71)</f>
        <v>12</v>
      </c>
      <c r="D157" s="169" t="s">
        <v>141</v>
      </c>
      <c r="E157" s="170" t="s">
        <v>203</v>
      </c>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83" t="s">
        <v>531</v>
      </c>
      <c r="B158" s="129" t="s">
        <v>532</v>
      </c>
      <c r="C158" s="135">
        <f>IF(ESRactual="",ESRrcmd,ESRactual)</f>
        <v>12</v>
      </c>
      <c r="D158" s="206" t="s">
        <v>141</v>
      </c>
      <c r="E158" s="212"/>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73" t="s">
        <v>533</v>
      </c>
      <c r="B159" s="174" t="s">
        <v>534</v>
      </c>
      <c r="C159" s="175">
        <f>(SQRT(((Isp_max*ESR*mOhms)^2)+((Iocc*ton_max*us)/(Cout*uF))^2))/mV</f>
        <v>77.962278572350073</v>
      </c>
      <c r="D159" s="329" t="s">
        <v>84</v>
      </c>
      <c r="E159" s="220"/>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346" t="s">
        <v>535</v>
      </c>
      <c r="B161" s="225"/>
      <c r="C161" s="225"/>
      <c r="D161" s="225"/>
      <c r="E161" s="226"/>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4.25" customHeight="1">
      <c r="A162" s="18" t="s">
        <v>536</v>
      </c>
      <c r="B162" s="110" t="s">
        <v>537</v>
      </c>
      <c r="C162" s="116">
        <v>190</v>
      </c>
      <c r="D162" s="21" t="s">
        <v>538</v>
      </c>
      <c r="E162" s="136" t="s">
        <v>286</v>
      </c>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8" t="s">
        <v>539</v>
      </c>
      <c r="B163" s="110" t="s">
        <v>540</v>
      </c>
      <c r="C163" s="116">
        <v>225</v>
      </c>
      <c r="D163" s="21" t="s">
        <v>541</v>
      </c>
      <c r="E163" s="136" t="s">
        <v>286</v>
      </c>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8" t="s">
        <v>542</v>
      </c>
      <c r="B164" s="110" t="s">
        <v>543</v>
      </c>
      <c r="C164" s="116">
        <v>275</v>
      </c>
      <c r="D164" s="21" t="s">
        <v>544</v>
      </c>
      <c r="E164" s="136" t="s">
        <v>286</v>
      </c>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8" t="s">
        <v>545</v>
      </c>
      <c r="B165" s="110" t="s">
        <v>546</v>
      </c>
      <c r="C165" s="116">
        <v>70</v>
      </c>
      <c r="D165" s="21" t="s">
        <v>547</v>
      </c>
      <c r="E165" s="136" t="s">
        <v>286</v>
      </c>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8" t="s">
        <v>548</v>
      </c>
      <c r="B166" s="110" t="s">
        <v>549</v>
      </c>
      <c r="C166" s="116">
        <v>80</v>
      </c>
      <c r="D166" s="21" t="s">
        <v>550</v>
      </c>
      <c r="E166" s="136" t="s">
        <v>286</v>
      </c>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8" t="s">
        <v>551</v>
      </c>
      <c r="B167" s="110" t="s">
        <v>552</v>
      </c>
      <c r="C167" s="116">
        <v>100</v>
      </c>
      <c r="D167" s="21" t="s">
        <v>553</v>
      </c>
      <c r="E167" s="136" t="s">
        <v>286</v>
      </c>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348" t="s">
        <v>554</v>
      </c>
      <c r="B168" s="277" t="s">
        <v>555</v>
      </c>
      <c r="C168" s="330">
        <f>'LOOKUP TABLES AND DROPDOWN LIST'!H57</f>
        <v>44.2</v>
      </c>
      <c r="D168" s="207" t="s">
        <v>556</v>
      </c>
      <c r="E168" s="343"/>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306"/>
      <c r="B169" s="276"/>
      <c r="C169" s="276"/>
      <c r="D169" s="209"/>
      <c r="E169" s="344"/>
      <c r="F169" s="1"/>
      <c r="G169" s="1"/>
      <c r="H169" s="1"/>
      <c r="I169" s="1"/>
      <c r="J169" s="1"/>
      <c r="K169" s="1"/>
      <c r="L169" s="1"/>
      <c r="M169" s="1"/>
      <c r="N169" s="1"/>
      <c r="O169" s="1"/>
      <c r="P169" s="1"/>
      <c r="Q169" s="1"/>
      <c r="R169" s="1"/>
      <c r="S169" s="1"/>
      <c r="T169" s="1"/>
      <c r="U169" s="1"/>
      <c r="V169" s="1"/>
      <c r="W169" s="1"/>
      <c r="X169" s="1"/>
      <c r="Y169" s="1"/>
      <c r="Z169" s="1"/>
    </row>
    <row r="170" spans="1:26" ht="15" customHeight="1">
      <c r="A170" s="331" t="s">
        <v>557</v>
      </c>
      <c r="B170" s="328" t="s">
        <v>558</v>
      </c>
      <c r="C170" s="347">
        <f>IF('START HERE'!C78="","",'START HERE'!C78)</f>
        <v>44.2</v>
      </c>
      <c r="D170" s="327" t="s">
        <v>559</v>
      </c>
      <c r="E170" s="326" t="s">
        <v>203</v>
      </c>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306"/>
      <c r="B171" s="276"/>
      <c r="C171" s="276"/>
      <c r="D171" s="302"/>
      <c r="E171" s="304"/>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76" t="s">
        <v>560</v>
      </c>
      <c r="B172" s="110" t="s">
        <v>561</v>
      </c>
      <c r="C172" s="177">
        <f>IF(Rvs1_actual="",Rvs1_rcmd,Rvs1_actual)</f>
        <v>44.2</v>
      </c>
      <c r="D172" s="204" t="s">
        <v>562</v>
      </c>
      <c r="E172" s="212"/>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76" t="s">
        <v>563</v>
      </c>
      <c r="B173" s="110" t="s">
        <v>564</v>
      </c>
      <c r="C173" s="177">
        <f>IF(Vin_type="AC",(R_vs1*kOhms*Npa*Ivslrun_min*uA)/SQRT(2),R_vs1*kOhms*Npa*Ivslrun_min*uA)</f>
        <v>118.76565496809251</v>
      </c>
      <c r="D173" s="204" t="str">
        <f t="shared" ref="D173:D178" si="0">IF(Vin_type="AC","VAC","VDC")</f>
        <v>VAC</v>
      </c>
      <c r="E173" s="212"/>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37" t="s">
        <v>565</v>
      </c>
      <c r="B174" s="138" t="s">
        <v>566</v>
      </c>
      <c r="C174" s="139">
        <f>IF(Vin_type="AC",(R_vs1*kOhms*Npa*Ivslrun_nom*uA)/SQRT(2),R_vs1*kOhms*Npa*Ivslrun_nom*uA)</f>
        <v>140.64353877800428</v>
      </c>
      <c r="D174" s="300" t="str">
        <f t="shared" si="0"/>
        <v>VAC</v>
      </c>
      <c r="E174" s="212"/>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76" t="s">
        <v>567</v>
      </c>
      <c r="B175" s="110" t="s">
        <v>568</v>
      </c>
      <c r="C175" s="177">
        <f>IF(Vin_type="AC",(R_vs1*kOhms*Npa*Ivslrun_max*uA)/SQRT(2),R_vs1*kOhms*Npa*Ivslrun_max*uA)</f>
        <v>171.89765850644969</v>
      </c>
      <c r="D175" s="204" t="str">
        <f t="shared" si="0"/>
        <v>VAC</v>
      </c>
      <c r="E175" s="212"/>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76" t="s">
        <v>570</v>
      </c>
      <c r="B176" s="110" t="s">
        <v>571</v>
      </c>
      <c r="C176" s="42">
        <f>IF(Vin_type="AC",((R_vs1*kOhms*Npa*Ivslstop_min*uA)+(Vbulk_min-Vbulk_valley))/SQRT(2),((R_vs1*kOhms*Npa*Ivslstop_min*uA)+(Vbulk_min-Vbulk_valley)))</f>
        <v>95.44969564618026</v>
      </c>
      <c r="D176" s="204" t="str">
        <f t="shared" si="0"/>
        <v>VAC</v>
      </c>
      <c r="E176" s="212"/>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80" t="s">
        <v>573</v>
      </c>
      <c r="B177" s="138" t="s">
        <v>576</v>
      </c>
      <c r="C177" s="139">
        <f>IF(Vin_type="AC",((R_vs1*kOhms*Npa*Ivslstop_nom*uA)+(Vbulk_min-Vbulk_valley))/SQRT(2),((R_vs1*kOhms*Npa*Ivslstop_nom*uA)+(Vbulk_min-Vbulk_valley)))</f>
        <v>101.70051959186934</v>
      </c>
      <c r="D177" s="300" t="str">
        <f t="shared" si="0"/>
        <v>VAC</v>
      </c>
      <c r="E177" s="212"/>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76" t="s">
        <v>579</v>
      </c>
      <c r="B178" s="110" t="s">
        <v>580</v>
      </c>
      <c r="C178" s="42">
        <f>IF(Vin_type="AC",((R_vs1*kOhms*Npa*Ivslstop_max*uA)+(Vbulk_min-Vbulk_valley))/SQRT(2),((R_vs1*kOhms*Npa*Ivslstop_max*uA)+(Vbulk_min-Vbulk_valley)))</f>
        <v>114.20216748324748</v>
      </c>
      <c r="D178" s="204" t="str">
        <f t="shared" si="0"/>
        <v>VAC</v>
      </c>
      <c r="E178" s="212"/>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8" t="s">
        <v>585</v>
      </c>
      <c r="B179" s="110" t="s">
        <v>587</v>
      </c>
      <c r="C179" s="116">
        <v>4.5199999999999996</v>
      </c>
      <c r="D179" s="21" t="s">
        <v>37</v>
      </c>
      <c r="E179" s="136" t="s">
        <v>286</v>
      </c>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76" t="s">
        <v>588</v>
      </c>
      <c r="B180" s="110" t="s">
        <v>589</v>
      </c>
      <c r="C180" s="42">
        <v>4.5999999999999996</v>
      </c>
      <c r="D180" s="21" t="s">
        <v>37</v>
      </c>
      <c r="E180" s="136" t="s">
        <v>286</v>
      </c>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76" t="s">
        <v>591</v>
      </c>
      <c r="B181" s="110" t="s">
        <v>592</v>
      </c>
      <c r="C181" s="42">
        <v>4.71</v>
      </c>
      <c r="D181" s="21" t="s">
        <v>37</v>
      </c>
      <c r="E181" s="136" t="s">
        <v>286</v>
      </c>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348" t="s">
        <v>594</v>
      </c>
      <c r="B182" s="277" t="s">
        <v>595</v>
      </c>
      <c r="C182" s="330">
        <f>'LOOKUP TABLES AND DROPDOWN LIST'!H60</f>
        <v>36.5</v>
      </c>
      <c r="D182" s="207" t="s">
        <v>263</v>
      </c>
      <c r="E182" s="343"/>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306"/>
      <c r="B183" s="276"/>
      <c r="C183" s="276"/>
      <c r="D183" s="209"/>
      <c r="E183" s="344"/>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331" t="s">
        <v>600</v>
      </c>
      <c r="B184" s="328" t="s">
        <v>601</v>
      </c>
      <c r="C184" s="332">
        <f>IF('START HERE'!C81="","",'START HERE'!C81)</f>
        <v>36.5</v>
      </c>
      <c r="D184" s="327" t="s">
        <v>263</v>
      </c>
      <c r="E184" s="326" t="s">
        <v>203</v>
      </c>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306"/>
      <c r="B185" s="276"/>
      <c r="C185" s="276"/>
      <c r="D185" s="302"/>
      <c r="E185" s="304"/>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76" t="s">
        <v>607</v>
      </c>
      <c r="B186" s="110" t="s">
        <v>608</v>
      </c>
      <c r="C186" s="42">
        <f>IF(Rvs2_actual="",Rvs2_rcmd,Rvs2_actual)</f>
        <v>36.5</v>
      </c>
      <c r="D186" s="204" t="s">
        <v>263</v>
      </c>
      <c r="E186" s="212"/>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76" t="s">
        <v>610</v>
      </c>
      <c r="B187" s="110" t="s">
        <v>611</v>
      </c>
      <c r="C187" s="42">
        <f>(((R_vs1*kOhms*Vovp_min)/(R_vs2*kOhms)+Vovp_min)/Nas)+Vf+(DCR_Lout*mOhms*Iocc)</f>
        <v>40.183386193400345</v>
      </c>
      <c r="D187" s="204" t="s">
        <v>37</v>
      </c>
      <c r="E187" s="212"/>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80" t="s">
        <v>615</v>
      </c>
      <c r="B188" s="138" t="s">
        <v>616</v>
      </c>
      <c r="C188" s="139">
        <f>(((R_vs1*kOhms*Vovp_nom)/(R_vs2*kOhms)+Vovp_nom)/Nas)+Vf+(DCR_Lout*mOhms*Iocc)</f>
        <v>40.880437276469387</v>
      </c>
      <c r="D188" s="144" t="s">
        <v>37</v>
      </c>
      <c r="E188" s="145" t="s">
        <v>619</v>
      </c>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83" t="s">
        <v>621</v>
      </c>
      <c r="B189" s="103" t="s">
        <v>623</v>
      </c>
      <c r="C189" s="71">
        <f>(((R_vs1*kOhms*Vovp_max)/(R_vs2*kOhms)+Vovp_max)/Nas)+Vf+(DCR_Lout*mOhms*Iocc)</f>
        <v>41.838882515689313</v>
      </c>
      <c r="D189" s="218" t="s">
        <v>37</v>
      </c>
      <c r="E189" s="220"/>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8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314" t="s">
        <v>626</v>
      </c>
      <c r="B191" s="225"/>
      <c r="C191" s="225"/>
      <c r="D191" s="225"/>
      <c r="E191" s="226"/>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87" t="s">
        <v>628</v>
      </c>
      <c r="B192" s="110" t="s">
        <v>629</v>
      </c>
      <c r="C192" s="116">
        <v>25</v>
      </c>
      <c r="D192" s="21" t="s">
        <v>630</v>
      </c>
      <c r="E192" s="136" t="s">
        <v>286</v>
      </c>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87" t="s">
        <v>631</v>
      </c>
      <c r="B193" s="110" t="s">
        <v>632</v>
      </c>
      <c r="C193" s="116">
        <f>tdoff+50</f>
        <v>106</v>
      </c>
      <c r="D193" s="204" t="s">
        <v>219</v>
      </c>
      <c r="E193" s="212"/>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87" t="s">
        <v>633</v>
      </c>
      <c r="B194" s="110" t="s">
        <v>634</v>
      </c>
      <c r="C194" s="42">
        <f>'LOOKUP TABLES AND DROPDOWN LIST'!H63</f>
        <v>1.62</v>
      </c>
      <c r="D194" s="204" t="s">
        <v>635</v>
      </c>
      <c r="E194" s="212"/>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25" t="s">
        <v>636</v>
      </c>
      <c r="B195" s="113" t="s">
        <v>637</v>
      </c>
      <c r="C195" s="88">
        <f>IF('START HERE'!C84="","",'START HERE'!C84)</f>
        <v>1.62</v>
      </c>
      <c r="D195" s="114" t="s">
        <v>263</v>
      </c>
      <c r="E195" s="188" t="s">
        <v>203</v>
      </c>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87" t="s">
        <v>638</v>
      </c>
      <c r="B196" s="110" t="s">
        <v>639</v>
      </c>
      <c r="C196" s="42">
        <f>IF(Rlc_actual="",Rlc_rcmd,Rlc_actual)</f>
        <v>1.62</v>
      </c>
      <c r="D196" s="204" t="s">
        <v>263</v>
      </c>
      <c r="E196" s="212"/>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358" t="s">
        <v>640</v>
      </c>
      <c r="B197" s="355" t="str">
        <f>IF(Rlc&lt;0.95*Rlc_rcmd,"Using a resistor value that is significantly less than that recommended will result in a higher constant current output at higher input line voltage.",IF(Rlc&gt;1.05*Rlc_rcmd,"Using a resistor value that is significantly higher than that recommended will result in lower constant current output at higher input line voltage.","Output Constant Current will have minimal deviation over input line voltage range."))</f>
        <v>Output Constant Current will have minimal deviation over input line voltage range.</v>
      </c>
      <c r="C197" s="356"/>
      <c r="D197" s="356"/>
      <c r="E197" s="343"/>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288"/>
      <c r="B198" s="357"/>
      <c r="C198" s="252"/>
      <c r="D198" s="252"/>
      <c r="E198" s="253"/>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96"/>
      <c r="B199" s="189"/>
      <c r="C199" s="189"/>
      <c r="D199" s="189"/>
      <c r="E199" s="189"/>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314" t="s">
        <v>641</v>
      </c>
      <c r="B200" s="225"/>
      <c r="C200" s="225"/>
      <c r="D200" s="225"/>
      <c r="E200" s="226"/>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8" t="s">
        <v>642</v>
      </c>
      <c r="B201" s="110" t="s">
        <v>643</v>
      </c>
      <c r="C201" s="116">
        <v>2.65</v>
      </c>
      <c r="D201" s="21" t="s">
        <v>77</v>
      </c>
      <c r="E201" s="136" t="s">
        <v>286</v>
      </c>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8" t="s">
        <v>644</v>
      </c>
      <c r="B202" s="110" t="s">
        <v>645</v>
      </c>
      <c r="C202" s="116">
        <v>23</v>
      </c>
      <c r="D202" s="21" t="s">
        <v>37</v>
      </c>
      <c r="E202" s="136" t="s">
        <v>286</v>
      </c>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8" t="s">
        <v>646</v>
      </c>
      <c r="B203" s="110" t="s">
        <v>647</v>
      </c>
      <c r="C203" s="116">
        <v>8.15</v>
      </c>
      <c r="D203" s="21" t="s">
        <v>37</v>
      </c>
      <c r="E203" s="136" t="s">
        <v>286</v>
      </c>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8" t="s">
        <v>648</v>
      </c>
      <c r="B204" s="110" t="s">
        <v>649</v>
      </c>
      <c r="C204" s="42">
        <f>0.8*Psb_target*mW/(0.5*Lp*uH*(Ipp_fm^2))/kHz</f>
        <v>0.36597535665865399</v>
      </c>
      <c r="D204" s="204" t="s">
        <v>86</v>
      </c>
      <c r="E204" s="212"/>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8" t="s">
        <v>651</v>
      </c>
      <c r="B205" s="110" t="s">
        <v>652</v>
      </c>
      <c r="C205" s="42">
        <v>20</v>
      </c>
      <c r="D205" s="204" t="s">
        <v>93</v>
      </c>
      <c r="E205" s="212"/>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8" t="s">
        <v>653</v>
      </c>
      <c r="B206" s="110" t="s">
        <v>655</v>
      </c>
      <c r="C206" s="42">
        <f>Cvdd1</f>
        <v>4.7</v>
      </c>
      <c r="D206" s="204" t="s">
        <v>656</v>
      </c>
      <c r="E206" s="212"/>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8" t="s">
        <v>657</v>
      </c>
      <c r="B207" s="110" t="s">
        <v>658</v>
      </c>
      <c r="C207" s="42">
        <f>'LOOKUP TABLES AND DROPDOWN LIST'!Q27</f>
        <v>22</v>
      </c>
      <c r="D207" s="204" t="s">
        <v>660</v>
      </c>
      <c r="E207" s="212"/>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8" t="s">
        <v>661</v>
      </c>
      <c r="B208" s="110" t="s">
        <v>662</v>
      </c>
      <c r="C208" s="42">
        <f>'LOOKUP TABLES AND DROPDOWN LIST'!Q31</f>
        <v>6.8</v>
      </c>
      <c r="D208" s="204" t="s">
        <v>663</v>
      </c>
      <c r="E208" s="212"/>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27" t="s">
        <v>664</v>
      </c>
      <c r="B209" s="103" t="s">
        <v>665</v>
      </c>
      <c r="C209" s="71">
        <f>MAX(C206:C208)</f>
        <v>22</v>
      </c>
      <c r="D209" s="218" t="s">
        <v>666</v>
      </c>
      <c r="E209" s="220"/>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314" t="s">
        <v>668</v>
      </c>
      <c r="B211" s="225"/>
      <c r="C211" s="225"/>
      <c r="D211" s="225"/>
      <c r="E211" s="226"/>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25" t="s">
        <v>670</v>
      </c>
      <c r="B212" s="113" t="s">
        <v>671</v>
      </c>
      <c r="C212" s="158">
        <f>'START HERE'!C86</f>
        <v>2.4950000000000001</v>
      </c>
      <c r="D212" s="89" t="s">
        <v>37</v>
      </c>
      <c r="E212" s="190" t="s">
        <v>203</v>
      </c>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25" t="s">
        <v>672</v>
      </c>
      <c r="B213" s="113" t="s">
        <v>673</v>
      </c>
      <c r="C213" s="158">
        <f>'START HERE'!C87</f>
        <v>4</v>
      </c>
      <c r="D213" s="89" t="s">
        <v>675</v>
      </c>
      <c r="E213" s="190" t="s">
        <v>203</v>
      </c>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345" t="s">
        <v>677</v>
      </c>
      <c r="B214" s="277" t="s">
        <v>678</v>
      </c>
      <c r="C214" s="359">
        <f>'LOOKUP TABLES AND DROPDOWN LIST'!H66</f>
        <v>44.2</v>
      </c>
      <c r="D214" s="207" t="s">
        <v>680</v>
      </c>
      <c r="E214" s="343"/>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306"/>
      <c r="B215" s="276"/>
      <c r="C215" s="276"/>
      <c r="D215" s="209"/>
      <c r="E215" s="344"/>
      <c r="F215" s="1"/>
      <c r="G215" s="1"/>
      <c r="H215" s="1"/>
      <c r="I215" s="1"/>
      <c r="J215" s="1"/>
      <c r="K215" s="1"/>
      <c r="L215" s="1"/>
      <c r="M215" s="1"/>
      <c r="N215" s="1"/>
      <c r="O215" s="1"/>
      <c r="P215" s="1"/>
      <c r="Q215" s="1"/>
      <c r="R215" s="1"/>
      <c r="S215" s="1"/>
      <c r="T215" s="1"/>
      <c r="U215" s="1"/>
      <c r="V215" s="1"/>
      <c r="W215" s="1"/>
      <c r="X215" s="1"/>
      <c r="Y215" s="1"/>
      <c r="Z215" s="1"/>
    </row>
    <row r="216" spans="1:26" ht="15" customHeight="1">
      <c r="A216" s="362" t="s">
        <v>681</v>
      </c>
      <c r="B216" s="328" t="s">
        <v>683</v>
      </c>
      <c r="C216" s="360">
        <f>IF('START HERE'!C89="","",'START HERE'!C89)</f>
        <v>44.2</v>
      </c>
      <c r="D216" s="327" t="s">
        <v>263</v>
      </c>
      <c r="E216" s="326" t="s">
        <v>203</v>
      </c>
      <c r="F216" s="1"/>
      <c r="G216" s="1"/>
      <c r="H216" s="1"/>
      <c r="I216" s="1"/>
      <c r="J216" s="1"/>
      <c r="K216" s="1"/>
      <c r="L216" s="1"/>
      <c r="M216" s="1"/>
      <c r="N216" s="1"/>
      <c r="O216" s="1"/>
      <c r="P216" s="1"/>
      <c r="Q216" s="1"/>
      <c r="R216" s="1"/>
      <c r="S216" s="1"/>
      <c r="T216" s="1"/>
      <c r="U216" s="1"/>
      <c r="V216" s="1"/>
      <c r="W216" s="1"/>
      <c r="X216" s="1"/>
      <c r="Y216" s="1"/>
      <c r="Z216" s="1"/>
    </row>
    <row r="217" spans="1:26" ht="15" customHeight="1">
      <c r="A217" s="306"/>
      <c r="B217" s="276"/>
      <c r="C217" s="276"/>
      <c r="D217" s="302"/>
      <c r="E217" s="304"/>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91" t="s">
        <v>685</v>
      </c>
      <c r="B218" s="110" t="s">
        <v>686</v>
      </c>
      <c r="C218" s="116">
        <f>IF(Rfb2_actual="",Rfb2_rcmd,Rfb2_actual)</f>
        <v>44.2</v>
      </c>
      <c r="D218" s="204" t="s">
        <v>263</v>
      </c>
      <c r="E218" s="212"/>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345" t="s">
        <v>687</v>
      </c>
      <c r="B219" s="277" t="s">
        <v>688</v>
      </c>
      <c r="C219" s="359">
        <f>'LOOKUP TABLES AND DROPDOWN LIST'!H69</f>
        <v>649</v>
      </c>
      <c r="D219" s="207" t="s">
        <v>263</v>
      </c>
      <c r="E219" s="343"/>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306"/>
      <c r="B220" s="276"/>
      <c r="C220" s="276"/>
      <c r="D220" s="209"/>
      <c r="E220" s="344"/>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307" t="s">
        <v>690</v>
      </c>
      <c r="B221" s="328" t="s">
        <v>692</v>
      </c>
      <c r="C221" s="360">
        <f>IF('START HERE'!C91="","",'START HERE'!C91)</f>
        <v>649</v>
      </c>
      <c r="D221" s="327" t="s">
        <v>263</v>
      </c>
      <c r="E221" s="326" t="s">
        <v>203</v>
      </c>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306"/>
      <c r="B222" s="276"/>
      <c r="C222" s="276"/>
      <c r="D222" s="302"/>
      <c r="E222" s="304"/>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87" t="s">
        <v>695</v>
      </c>
      <c r="B223" s="110" t="s">
        <v>696</v>
      </c>
      <c r="C223" s="192">
        <f>((IF(Rfb1_actual="",Rfb1_rcmd,Rfb1_actual))+(Rinj/kOhms))</f>
        <v>649.02</v>
      </c>
      <c r="D223" s="204" t="s">
        <v>263</v>
      </c>
      <c r="E223" s="212"/>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67" t="s">
        <v>698</v>
      </c>
      <c r="B224" s="113" t="s">
        <v>699</v>
      </c>
      <c r="C224" s="193">
        <v>20</v>
      </c>
      <c r="D224" s="194" t="s">
        <v>701</v>
      </c>
      <c r="E224" s="195" t="s">
        <v>702</v>
      </c>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96" t="s">
        <v>704</v>
      </c>
      <c r="B225" s="138" t="s">
        <v>705</v>
      </c>
      <c r="C225" s="139">
        <f>(R_fb1*kOhms*(Vref431/(R_fb2*kOhms)))+Vref431</f>
        <v>39.130857466063347</v>
      </c>
      <c r="D225" s="300" t="s">
        <v>37</v>
      </c>
      <c r="E225" s="212"/>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98" t="s">
        <v>707</v>
      </c>
      <c r="B226" s="113" t="s">
        <v>709</v>
      </c>
      <c r="C226" s="199">
        <v>50</v>
      </c>
      <c r="D226" s="200" t="s">
        <v>318</v>
      </c>
      <c r="E226" s="190" t="s">
        <v>203</v>
      </c>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84" t="s">
        <v>711</v>
      </c>
      <c r="B227" s="26" t="s">
        <v>712</v>
      </c>
      <c r="C227" s="193">
        <v>3</v>
      </c>
      <c r="D227" s="89" t="s">
        <v>713</v>
      </c>
      <c r="E227" s="190" t="s">
        <v>203</v>
      </c>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84" t="s">
        <v>715</v>
      </c>
      <c r="B228" s="26" t="s">
        <v>716</v>
      </c>
      <c r="C228" s="193">
        <v>100</v>
      </c>
      <c r="D228" s="194" t="s">
        <v>168</v>
      </c>
      <c r="E228" s="190" t="s">
        <v>203</v>
      </c>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84" t="s">
        <v>717</v>
      </c>
      <c r="B229" s="113" t="s">
        <v>718</v>
      </c>
      <c r="C229" s="193">
        <v>80</v>
      </c>
      <c r="D229" s="89" t="s">
        <v>86</v>
      </c>
      <c r="E229" s="190" t="s">
        <v>203</v>
      </c>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84" t="s">
        <v>720</v>
      </c>
      <c r="B230" s="113" t="s">
        <v>721</v>
      </c>
      <c r="C230" s="193">
        <v>1.4</v>
      </c>
      <c r="D230" s="89" t="s">
        <v>37</v>
      </c>
      <c r="E230" s="190" t="s">
        <v>203</v>
      </c>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8" t="s">
        <v>722</v>
      </c>
      <c r="B231" s="110" t="s">
        <v>724</v>
      </c>
      <c r="C231" s="42">
        <f>(tf_opto*us)/(2*PI()*Rl_opto)/nF</f>
        <v>4.7746482927568596</v>
      </c>
      <c r="D231" s="204" t="s">
        <v>725</v>
      </c>
      <c r="E231" s="212"/>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8" t="s">
        <v>727</v>
      </c>
      <c r="B232" s="110" t="s">
        <v>728</v>
      </c>
      <c r="C232" s="116">
        <v>40</v>
      </c>
      <c r="D232" s="204" t="s">
        <v>729</v>
      </c>
      <c r="E232" s="212"/>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348" t="s">
        <v>731</v>
      </c>
      <c r="B233" s="277" t="s">
        <v>732</v>
      </c>
      <c r="C233" s="361">
        <v>0</v>
      </c>
      <c r="D233" s="207" t="s">
        <v>735</v>
      </c>
      <c r="E233" s="343"/>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306"/>
      <c r="B234" s="276"/>
      <c r="C234" s="276"/>
      <c r="D234" s="209"/>
      <c r="E234" s="344"/>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84" t="s">
        <v>737</v>
      </c>
      <c r="B235" s="113" t="s">
        <v>738</v>
      </c>
      <c r="C235" s="158">
        <f>IF('START HERE'!C100="","",'START HERE'!C100)</f>
        <v>0</v>
      </c>
      <c r="D235" s="89" t="s">
        <v>740</v>
      </c>
      <c r="E235" s="190" t="s">
        <v>203</v>
      </c>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8" t="s">
        <v>741</v>
      </c>
      <c r="B236" s="110" t="s">
        <v>742</v>
      </c>
      <c r="C236" s="116">
        <f>IF(Cext_actual="",Cext_rcmd,Cext_actual)</f>
        <v>0</v>
      </c>
      <c r="D236" s="204" t="s">
        <v>743</v>
      </c>
      <c r="E236" s="212"/>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8" t="s">
        <v>744</v>
      </c>
      <c r="B237" s="110" t="s">
        <v>746</v>
      </c>
      <c r="C237" s="116">
        <f>'LOOKUP TABLES AND DROPDOWN LIST'!W23</f>
        <v>4.7E-2</v>
      </c>
      <c r="D237" s="204" t="s">
        <v>747</v>
      </c>
      <c r="E237" s="212"/>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84" t="s">
        <v>749</v>
      </c>
      <c r="B238" s="113" t="s">
        <v>750</v>
      </c>
      <c r="C238" s="158">
        <f>IF('START HERE'!C102="","",'START HERE'!C102)</f>
        <v>0.1</v>
      </c>
      <c r="D238" s="89" t="s">
        <v>751</v>
      </c>
      <c r="E238" s="190" t="s">
        <v>203</v>
      </c>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8" t="s">
        <v>752</v>
      </c>
      <c r="B239" s="110" t="s">
        <v>753</v>
      </c>
      <c r="C239" s="116">
        <f>IF(Cfb_actual="",Cfb_rcmd,Cfb_actual)</f>
        <v>0.1</v>
      </c>
      <c r="D239" s="35"/>
      <c r="E239" s="202"/>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8" t="s">
        <v>755</v>
      </c>
      <c r="B240" s="110" t="s">
        <v>756</v>
      </c>
      <c r="C240" s="116">
        <v>22</v>
      </c>
      <c r="D240" s="204" t="s">
        <v>757</v>
      </c>
      <c r="E240" s="212"/>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84" t="s">
        <v>759</v>
      </c>
      <c r="B241" s="113" t="s">
        <v>760</v>
      </c>
      <c r="C241" s="158">
        <f>IF('START HERE'!C104="","",'START HERE'!C104)</f>
        <v>22</v>
      </c>
      <c r="D241" s="89" t="s">
        <v>761</v>
      </c>
      <c r="E241" s="190" t="s">
        <v>203</v>
      </c>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8" t="s">
        <v>763</v>
      </c>
      <c r="B242" s="110" t="s">
        <v>764</v>
      </c>
      <c r="C242" s="116">
        <f>IF(R_fb4_actual="",R_fb4_rcmd,R_fb4_actual)</f>
        <v>22</v>
      </c>
      <c r="D242" s="204" t="s">
        <v>765</v>
      </c>
      <c r="E242" s="212"/>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8" t="s">
        <v>766</v>
      </c>
      <c r="B243" s="110" t="s">
        <v>767</v>
      </c>
      <c r="C243" s="42">
        <f>(R_fb4*kOhms)/((R_fb4*kOhms)+(Requ*kOhms))</f>
        <v>0.35483870967741937</v>
      </c>
      <c r="D243" s="204"/>
      <c r="E243" s="212"/>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8" t="s">
        <v>769</v>
      </c>
      <c r="B244" s="110" t="s">
        <v>770</v>
      </c>
      <c r="C244" s="192">
        <f>480*kOhms/(-2.5)/kOhms</f>
        <v>-192</v>
      </c>
      <c r="D244" s="204" t="s">
        <v>772</v>
      </c>
      <c r="E244" s="212"/>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8" t="s">
        <v>774</v>
      </c>
      <c r="B245" s="110" t="s">
        <v>775</v>
      </c>
      <c r="C245" s="116">
        <v>50.4</v>
      </c>
      <c r="D245" s="204" t="s">
        <v>776</v>
      </c>
      <c r="E245" s="212"/>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8" t="s">
        <v>777</v>
      </c>
      <c r="B246" s="110" t="s">
        <v>778</v>
      </c>
      <c r="C246" s="42">
        <f>((Pout/(fmax*kHz))*((Ipp_nom/Ipp_nom)^2)*(1/Vout_cv))/uC</f>
        <v>16.066294344735216</v>
      </c>
      <c r="D246" s="204" t="s">
        <v>781</v>
      </c>
      <c r="E246" s="212"/>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8" t="s">
        <v>783</v>
      </c>
      <c r="B247" s="110" t="s">
        <v>784</v>
      </c>
      <c r="C247" s="116">
        <v>1.5</v>
      </c>
      <c r="D247" s="204" t="s">
        <v>785</v>
      </c>
      <c r="E247" s="212"/>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84" t="s">
        <v>786</v>
      </c>
      <c r="B248" s="113" t="s">
        <v>787</v>
      </c>
      <c r="C248" s="158">
        <f>IF('START HERE'!C106="","",'START HERE'!C106)</f>
        <v>6.1899999999999997E-2</v>
      </c>
      <c r="D248" s="89" t="s">
        <v>789</v>
      </c>
      <c r="E248" s="190" t="s">
        <v>203</v>
      </c>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8" t="s">
        <v>790</v>
      </c>
      <c r="B249" s="110" t="s">
        <v>792</v>
      </c>
      <c r="C249" s="116">
        <f>IF(Rtl_actual="",Rtl_rcmd,Rtl_actual)</f>
        <v>6.1899999999999997E-2</v>
      </c>
      <c r="D249" s="204" t="s">
        <v>794</v>
      </c>
      <c r="E249" s="212"/>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8" t="s">
        <v>795</v>
      </c>
      <c r="B250" s="110" t="s">
        <v>796</v>
      </c>
      <c r="C250" s="116">
        <f>'LOOKUP TABLES AND DROPDOWN LIST'!W82</f>
        <v>330</v>
      </c>
      <c r="D250" s="204" t="s">
        <v>213</v>
      </c>
      <c r="E250" s="212"/>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84" t="s">
        <v>797</v>
      </c>
      <c r="B251" s="113" t="s">
        <v>798</v>
      </c>
      <c r="C251" s="158">
        <f>IF('START HERE'!C108="","",'START HERE'!C108)</f>
        <v>330</v>
      </c>
      <c r="D251" s="114" t="s">
        <v>213</v>
      </c>
      <c r="E251" s="188" t="s">
        <v>203</v>
      </c>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27" t="s">
        <v>803</v>
      </c>
      <c r="B252" s="103" t="s">
        <v>805</v>
      </c>
      <c r="C252" s="95">
        <f>IF(Cz_actual="",Cz_rcmd,Cz_actual)</f>
        <v>330</v>
      </c>
      <c r="D252" s="218" t="s">
        <v>213</v>
      </c>
      <c r="E252" s="220"/>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46"/>
      <c r="B253" s="5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46"/>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46"/>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46"/>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46"/>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3">
    <mergeCell ref="C221:C222"/>
    <mergeCell ref="C233:C234"/>
    <mergeCell ref="A216:A217"/>
    <mergeCell ref="A214:A215"/>
    <mergeCell ref="A221:A222"/>
    <mergeCell ref="B221:B222"/>
    <mergeCell ref="A219:A220"/>
    <mergeCell ref="B219:B220"/>
    <mergeCell ref="A233:A234"/>
    <mergeCell ref="B233:B234"/>
    <mergeCell ref="B216:B217"/>
    <mergeCell ref="C216:C217"/>
    <mergeCell ref="A200:E200"/>
    <mergeCell ref="A191:E191"/>
    <mergeCell ref="D194:E194"/>
    <mergeCell ref="A211:E211"/>
    <mergeCell ref="D207:E207"/>
    <mergeCell ref="D214:E215"/>
    <mergeCell ref="C219:C220"/>
    <mergeCell ref="D208:E208"/>
    <mergeCell ref="D209:E209"/>
    <mergeCell ref="B197:E198"/>
    <mergeCell ref="A197:A198"/>
    <mergeCell ref="D204:E204"/>
    <mergeCell ref="D205:E205"/>
    <mergeCell ref="D196:E196"/>
    <mergeCell ref="D206:E206"/>
    <mergeCell ref="B214:B215"/>
    <mergeCell ref="C214:C215"/>
    <mergeCell ref="D246:E246"/>
    <mergeCell ref="D247:E247"/>
    <mergeCell ref="D252:E252"/>
    <mergeCell ref="D249:E249"/>
    <mergeCell ref="D250:E250"/>
    <mergeCell ref="D236:E236"/>
    <mergeCell ref="D237:E237"/>
    <mergeCell ref="D216:D217"/>
    <mergeCell ref="D218:E218"/>
    <mergeCell ref="D242:E242"/>
    <mergeCell ref="D240:E240"/>
    <mergeCell ref="D233:E234"/>
    <mergeCell ref="D219:E220"/>
    <mergeCell ref="D225:E225"/>
    <mergeCell ref="E216:E217"/>
    <mergeCell ref="E221:E222"/>
    <mergeCell ref="D223:E223"/>
    <mergeCell ref="D221:D222"/>
    <mergeCell ref="D232:E232"/>
    <mergeCell ref="D231:E231"/>
    <mergeCell ref="D243:E243"/>
    <mergeCell ref="D244:E244"/>
    <mergeCell ref="D245:E245"/>
    <mergeCell ref="D155:E155"/>
    <mergeCell ref="D158:E158"/>
    <mergeCell ref="D156:E156"/>
    <mergeCell ref="D132:E132"/>
    <mergeCell ref="D133:E133"/>
    <mergeCell ref="D100:E100"/>
    <mergeCell ref="D101:E101"/>
    <mergeCell ref="D102:E102"/>
    <mergeCell ref="D127:E127"/>
    <mergeCell ref="D130:E130"/>
    <mergeCell ref="D125:E125"/>
    <mergeCell ref="D124:E124"/>
    <mergeCell ref="D126:E126"/>
    <mergeCell ref="E118:E123"/>
    <mergeCell ref="C86:C87"/>
    <mergeCell ref="D83:E83"/>
    <mergeCell ref="D131:E131"/>
    <mergeCell ref="D81:E81"/>
    <mergeCell ref="D94:E94"/>
    <mergeCell ref="D96:E96"/>
    <mergeCell ref="D97:E97"/>
    <mergeCell ref="A116:E116"/>
    <mergeCell ref="D113:E113"/>
    <mergeCell ref="D114:E114"/>
    <mergeCell ref="A90:E90"/>
    <mergeCell ref="D91:E91"/>
    <mergeCell ref="D128:E128"/>
    <mergeCell ref="D129:E129"/>
    <mergeCell ref="D105:E105"/>
    <mergeCell ref="D106:E106"/>
    <mergeCell ref="D107:E107"/>
    <mergeCell ref="D108:E108"/>
    <mergeCell ref="D117:E117"/>
    <mergeCell ref="D110:E110"/>
    <mergeCell ref="D98:E98"/>
    <mergeCell ref="D99:E99"/>
    <mergeCell ref="C168:C169"/>
    <mergeCell ref="A161:E161"/>
    <mergeCell ref="D168:E169"/>
    <mergeCell ref="D175:E175"/>
    <mergeCell ref="D173:E173"/>
    <mergeCell ref="D174:E174"/>
    <mergeCell ref="C170:C171"/>
    <mergeCell ref="D170:D171"/>
    <mergeCell ref="A182:A183"/>
    <mergeCell ref="D182:E183"/>
    <mergeCell ref="A170:A171"/>
    <mergeCell ref="A168:A169"/>
    <mergeCell ref="D176:E176"/>
    <mergeCell ref="D177:E177"/>
    <mergeCell ref="D178:E178"/>
    <mergeCell ref="D172:E172"/>
    <mergeCell ref="E170:E171"/>
    <mergeCell ref="D138:E138"/>
    <mergeCell ref="D139:E139"/>
    <mergeCell ref="D154:E154"/>
    <mergeCell ref="D151:E152"/>
    <mergeCell ref="A135:E135"/>
    <mergeCell ref="A149:A150"/>
    <mergeCell ref="A151:A152"/>
    <mergeCell ref="A145:E145"/>
    <mergeCell ref="A148:E148"/>
    <mergeCell ref="A141:E141"/>
    <mergeCell ref="D143:E143"/>
    <mergeCell ref="D137:E137"/>
    <mergeCell ref="A1:E1"/>
    <mergeCell ref="A2:E2"/>
    <mergeCell ref="D12:E12"/>
    <mergeCell ref="E4:E9"/>
    <mergeCell ref="D55:E55"/>
    <mergeCell ref="D51:E51"/>
    <mergeCell ref="D54:E54"/>
    <mergeCell ref="D36:E36"/>
    <mergeCell ref="D57:E57"/>
    <mergeCell ref="D44:E44"/>
    <mergeCell ref="D10:E10"/>
    <mergeCell ref="D11:E11"/>
    <mergeCell ref="D21:D22"/>
    <mergeCell ref="D13:E13"/>
    <mergeCell ref="D14:E14"/>
    <mergeCell ref="E16:E28"/>
    <mergeCell ref="A3:E3"/>
    <mergeCell ref="C4:D4"/>
    <mergeCell ref="A15:E15"/>
    <mergeCell ref="A69:E69"/>
    <mergeCell ref="D40:E40"/>
    <mergeCell ref="D41:E41"/>
    <mergeCell ref="D193:E193"/>
    <mergeCell ref="D187:E187"/>
    <mergeCell ref="D189:E189"/>
    <mergeCell ref="E184:E185"/>
    <mergeCell ref="D186:E186"/>
    <mergeCell ref="D184:D185"/>
    <mergeCell ref="B170:B171"/>
    <mergeCell ref="B168:B169"/>
    <mergeCell ref="D159:E159"/>
    <mergeCell ref="B182:B183"/>
    <mergeCell ref="C182:C183"/>
    <mergeCell ref="A184:A185"/>
    <mergeCell ref="B184:B185"/>
    <mergeCell ref="C184:C185"/>
    <mergeCell ref="D59:E59"/>
    <mergeCell ref="C151:C152"/>
    <mergeCell ref="B151:B152"/>
    <mergeCell ref="B149:B150"/>
    <mergeCell ref="C149:C150"/>
    <mergeCell ref="E149:E150"/>
    <mergeCell ref="D149:D150"/>
    <mergeCell ref="D49:E49"/>
    <mergeCell ref="D38:E38"/>
    <mergeCell ref="D39:E39"/>
    <mergeCell ref="A53:E53"/>
    <mergeCell ref="D45:E45"/>
    <mergeCell ref="D60:E60"/>
    <mergeCell ref="D64:E64"/>
    <mergeCell ref="D67:E67"/>
    <mergeCell ref="D61:E61"/>
    <mergeCell ref="D63:E63"/>
    <mergeCell ref="D66:E66"/>
    <mergeCell ref="D65:E65"/>
    <mergeCell ref="A35:E35"/>
    <mergeCell ref="A34:E34"/>
    <mergeCell ref="A32:E32"/>
    <mergeCell ref="C25:C26"/>
    <mergeCell ref="A33:E33"/>
    <mergeCell ref="A42:E42"/>
    <mergeCell ref="A43:E43"/>
    <mergeCell ref="D48:E48"/>
    <mergeCell ref="A47:E47"/>
    <mergeCell ref="D30:E30"/>
    <mergeCell ref="D31:E31"/>
    <mergeCell ref="A19:A20"/>
    <mergeCell ref="A21:A22"/>
    <mergeCell ref="C21:C22"/>
    <mergeCell ref="B19:B20"/>
    <mergeCell ref="B21:B22"/>
    <mergeCell ref="C19:C20"/>
    <mergeCell ref="D25:D26"/>
    <mergeCell ref="D29:E29"/>
    <mergeCell ref="D19:D20"/>
    <mergeCell ref="A25:A26"/>
    <mergeCell ref="B25:B26"/>
    <mergeCell ref="D74:E74"/>
    <mergeCell ref="D76:E76"/>
    <mergeCell ref="D77:E77"/>
    <mergeCell ref="D82:E82"/>
    <mergeCell ref="D85:E85"/>
    <mergeCell ref="D86:D87"/>
    <mergeCell ref="E86:E87"/>
    <mergeCell ref="A86:A87"/>
    <mergeCell ref="B86:B87"/>
  </mergeCells>
  <pageMargins left="0.7" right="0.7" top="0.75" bottom="0.75"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1" width="11.88671875" customWidth="1"/>
    <col min="2" max="2" width="10.6640625" customWidth="1"/>
    <col min="3" max="3" width="9.109375" customWidth="1"/>
    <col min="4" max="4" width="46.33203125" customWidth="1"/>
    <col min="5" max="6" width="9.33203125" customWidth="1"/>
    <col min="7" max="7" width="45.6640625" customWidth="1"/>
    <col min="8" max="8" width="9.109375" customWidth="1"/>
    <col min="9" max="9" width="18.88671875" customWidth="1"/>
    <col min="10" max="10" width="43.88671875" customWidth="1"/>
    <col min="11" max="12" width="9.109375" customWidth="1"/>
    <col min="13" max="13" width="10.109375" customWidth="1"/>
    <col min="14" max="15" width="9.109375" customWidth="1"/>
    <col min="16" max="16" width="13.6640625" customWidth="1"/>
    <col min="17" max="17" width="9.109375" customWidth="1"/>
    <col min="18" max="18" width="9.33203125" customWidth="1"/>
    <col min="19" max="19" width="9.109375" customWidth="1"/>
    <col min="20" max="20" width="11.33203125" customWidth="1"/>
    <col min="21" max="22" width="9.109375" customWidth="1"/>
    <col min="23" max="23" width="9.33203125" customWidth="1"/>
    <col min="24" max="26" width="9.109375" customWidth="1"/>
  </cols>
  <sheetData>
    <row r="1" spans="1:26" ht="18.75" customHeight="1">
      <c r="A1" s="368" t="s">
        <v>569</v>
      </c>
      <c r="B1" s="178" t="s">
        <v>19</v>
      </c>
      <c r="C1" s="160"/>
      <c r="D1" s="178" t="s">
        <v>572</v>
      </c>
      <c r="E1" s="179">
        <f>100*kHz</f>
        <v>100000</v>
      </c>
      <c r="F1" s="160"/>
      <c r="G1" s="160"/>
      <c r="H1" s="160"/>
      <c r="I1" s="160"/>
      <c r="J1" s="160"/>
      <c r="K1" s="160"/>
      <c r="L1" s="160"/>
      <c r="M1" s="160"/>
      <c r="N1" s="160"/>
      <c r="O1" s="160"/>
      <c r="P1" s="160"/>
      <c r="Q1" s="160"/>
      <c r="R1" s="160"/>
      <c r="S1" s="160"/>
      <c r="T1" s="160"/>
      <c r="U1" s="160"/>
      <c r="V1" s="160"/>
      <c r="W1" s="160"/>
      <c r="X1" s="160"/>
      <c r="Y1" s="160"/>
      <c r="Z1" s="160"/>
    </row>
    <row r="2" spans="1:26" ht="14.25" customHeight="1">
      <c r="A2" s="276"/>
      <c r="B2" s="178" t="s">
        <v>574</v>
      </c>
      <c r="C2" s="160"/>
      <c r="D2" s="178" t="s">
        <v>575</v>
      </c>
      <c r="E2" s="178">
        <v>170</v>
      </c>
      <c r="F2" s="160"/>
      <c r="G2" s="160"/>
      <c r="H2" s="160"/>
      <c r="I2" s="160"/>
      <c r="J2" s="160"/>
      <c r="K2" s="160"/>
      <c r="L2" s="160"/>
      <c r="M2" s="160"/>
      <c r="N2" s="160"/>
      <c r="O2" s="160"/>
      <c r="P2" s="160"/>
      <c r="Q2" s="160"/>
      <c r="R2" s="160"/>
      <c r="S2" s="160"/>
      <c r="T2" s="160"/>
      <c r="U2" s="160"/>
      <c r="V2" s="160"/>
      <c r="W2" s="160"/>
      <c r="X2" s="160"/>
      <c r="Y2" s="160"/>
      <c r="Z2" s="160"/>
    </row>
    <row r="3" spans="1:26" ht="14.25" customHeight="1">
      <c r="A3" s="181"/>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ht="14.25" customHeight="1">
      <c r="A4" s="178" t="s">
        <v>577</v>
      </c>
      <c r="B4" s="179">
        <f>10^-3</f>
        <v>1E-3</v>
      </c>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26" ht="14.25" customHeight="1">
      <c r="A5" s="178" t="s">
        <v>578</v>
      </c>
      <c r="B5" s="179">
        <f>(10^-6)</f>
        <v>9.9999999999999995E-7</v>
      </c>
      <c r="C5" s="160"/>
      <c r="D5" s="160"/>
      <c r="E5" s="160"/>
      <c r="F5" s="160"/>
      <c r="G5" s="160"/>
      <c r="H5" s="160"/>
      <c r="I5" s="160"/>
      <c r="J5" s="160"/>
      <c r="K5" s="160"/>
      <c r="L5" s="160"/>
      <c r="M5" s="160"/>
      <c r="N5" s="160"/>
      <c r="O5" s="160"/>
      <c r="P5" s="160"/>
      <c r="Q5" s="160"/>
      <c r="R5" s="160"/>
      <c r="S5" s="160"/>
      <c r="T5" s="160"/>
      <c r="U5" s="160"/>
      <c r="V5" s="160"/>
      <c r="W5" s="160"/>
      <c r="X5" s="160"/>
      <c r="Y5" s="160"/>
      <c r="Z5" s="160"/>
    </row>
    <row r="6" spans="1:26" ht="14.25" customHeight="1">
      <c r="A6" s="178" t="s">
        <v>581</v>
      </c>
      <c r="B6" s="179">
        <f>10^3</f>
        <v>1000</v>
      </c>
      <c r="C6" s="160"/>
      <c r="D6" s="160"/>
      <c r="E6" s="160"/>
      <c r="F6" s="160"/>
      <c r="G6" s="160"/>
      <c r="H6" s="160"/>
      <c r="I6" s="160"/>
      <c r="J6" s="160"/>
      <c r="K6" s="160"/>
      <c r="L6" s="160"/>
      <c r="M6" s="160"/>
      <c r="N6" s="160"/>
      <c r="O6" s="160"/>
      <c r="P6" s="160"/>
      <c r="Q6" s="160"/>
      <c r="R6" s="160"/>
      <c r="S6" s="160"/>
      <c r="T6" s="160"/>
      <c r="U6" s="160"/>
      <c r="V6" s="160"/>
      <c r="W6" s="160"/>
      <c r="X6" s="160"/>
      <c r="Y6" s="160"/>
      <c r="Z6" s="160"/>
    </row>
    <row r="7" spans="1:26" ht="14.25" customHeight="1">
      <c r="A7" s="178" t="s">
        <v>582</v>
      </c>
      <c r="B7" s="179">
        <f t="shared" ref="B7:B9" si="0">10^-3</f>
        <v>1E-3</v>
      </c>
      <c r="C7" s="160"/>
      <c r="D7" s="160"/>
      <c r="E7" s="160"/>
      <c r="F7" s="160"/>
      <c r="G7" s="160"/>
      <c r="H7" s="160"/>
      <c r="I7" s="160"/>
      <c r="J7" s="160"/>
      <c r="K7" s="160"/>
      <c r="L7" s="160"/>
      <c r="M7" s="160"/>
      <c r="N7" s="160"/>
      <c r="O7" s="160"/>
      <c r="P7" s="160"/>
      <c r="Q7" s="160"/>
      <c r="R7" s="160"/>
      <c r="S7" s="160"/>
      <c r="T7" s="160"/>
      <c r="U7" s="160"/>
      <c r="V7" s="160"/>
      <c r="W7" s="160"/>
      <c r="X7" s="160"/>
      <c r="Y7" s="160"/>
      <c r="Z7" s="160"/>
    </row>
    <row r="8" spans="1:26" ht="14.25" customHeight="1">
      <c r="A8" s="178" t="s">
        <v>583</v>
      </c>
      <c r="B8" s="179">
        <f t="shared" si="0"/>
        <v>1E-3</v>
      </c>
      <c r="C8" s="160"/>
      <c r="D8" s="160"/>
      <c r="E8" s="160"/>
      <c r="F8" s="160"/>
      <c r="G8" s="160"/>
      <c r="H8" s="160"/>
      <c r="I8" s="160"/>
      <c r="J8" s="160"/>
      <c r="K8" s="160"/>
      <c r="L8" s="160"/>
      <c r="M8" s="160"/>
      <c r="N8" s="160"/>
      <c r="O8" s="160"/>
      <c r="P8" s="160"/>
      <c r="Q8" s="160"/>
      <c r="R8" s="160"/>
      <c r="S8" s="160"/>
      <c r="T8" s="160"/>
      <c r="U8" s="160"/>
      <c r="V8" s="160"/>
      <c r="W8" s="160"/>
      <c r="X8" s="160"/>
      <c r="Y8" s="160"/>
      <c r="Z8" s="160"/>
    </row>
    <row r="9" spans="1:26" ht="14.25" customHeight="1">
      <c r="A9" s="178" t="s">
        <v>584</v>
      </c>
      <c r="B9" s="179">
        <f t="shared" si="0"/>
        <v>1E-3</v>
      </c>
      <c r="C9" s="160"/>
      <c r="D9" s="160"/>
      <c r="E9" s="160"/>
      <c r="F9" s="160"/>
      <c r="G9" s="160"/>
      <c r="H9" s="160"/>
      <c r="I9" s="160"/>
      <c r="J9" s="160"/>
      <c r="K9" s="160"/>
      <c r="L9" s="160"/>
      <c r="M9" s="160"/>
      <c r="N9" s="160"/>
      <c r="O9" s="160"/>
      <c r="P9" s="160"/>
      <c r="Q9" s="160"/>
      <c r="R9" s="160"/>
      <c r="S9" s="160"/>
      <c r="T9" s="160"/>
      <c r="U9" s="160"/>
      <c r="V9" s="160"/>
      <c r="W9" s="160"/>
      <c r="X9" s="160"/>
      <c r="Y9" s="160"/>
      <c r="Z9" s="160"/>
    </row>
    <row r="10" spans="1:26" ht="14.25" customHeight="1">
      <c r="A10" s="178" t="s">
        <v>586</v>
      </c>
      <c r="B10" s="179">
        <f t="shared" ref="B10:B11" si="1">(10^-6)</f>
        <v>9.9999999999999995E-7</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row>
    <row r="11" spans="1:26" ht="14.25" customHeight="1">
      <c r="A11" s="178" t="s">
        <v>590</v>
      </c>
      <c r="B11" s="179">
        <f t="shared" si="1"/>
        <v>9.9999999999999995E-7</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1:26" ht="14.25" customHeight="1">
      <c r="A12" s="178" t="s">
        <v>593</v>
      </c>
      <c r="B12" s="179">
        <f>10^-9</f>
        <v>1.0000000000000001E-9</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row>
    <row r="13" spans="1:26" ht="14.25" customHeight="1">
      <c r="A13" s="178" t="s">
        <v>596</v>
      </c>
      <c r="B13" s="179">
        <f>10^-3</f>
        <v>1E-3</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row>
    <row r="14" spans="1:26" ht="14.25" customHeight="1">
      <c r="A14" s="178" t="s">
        <v>597</v>
      </c>
      <c r="B14" s="179">
        <f>10^-12</f>
        <v>9.9999999999999998E-13</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row>
    <row r="15" spans="1:26" ht="14.25" customHeight="1">
      <c r="A15" s="178" t="s">
        <v>598</v>
      </c>
      <c r="B15" s="179">
        <f>10^6</f>
        <v>1000000</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spans="1:26" ht="14.25" customHeight="1">
      <c r="A16" s="178" t="s">
        <v>599</v>
      </c>
      <c r="B16" s="179">
        <f>(10^-6)</f>
        <v>9.9999999999999995E-7</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7" spans="1:26" ht="14.25" customHeight="1">
      <c r="A17" s="178" t="s">
        <v>602</v>
      </c>
      <c r="B17" s="179">
        <f>10^3</f>
        <v>1000</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row>
    <row r="18" spans="1:26" ht="14.25" customHeight="1">
      <c r="A18" s="178" t="s">
        <v>603</v>
      </c>
      <c r="B18" s="179">
        <f t="shared" ref="B18:B19" si="2">10^-9</f>
        <v>1.0000000000000001E-9</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row>
    <row r="19" spans="1:26" ht="14.25" customHeight="1">
      <c r="A19" s="178" t="s">
        <v>604</v>
      </c>
      <c r="B19" s="179">
        <f t="shared" si="2"/>
        <v>1.0000000000000001E-9</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row>
    <row r="20" spans="1:26" ht="14.25" customHeight="1">
      <c r="A20" s="178" t="s">
        <v>605</v>
      </c>
      <c r="B20" s="179">
        <f>(10^-6)</f>
        <v>9.9999999999999995E-7</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row>
    <row r="21" spans="1:26" ht="14.25" customHeight="1">
      <c r="A21" s="160"/>
      <c r="B21" s="160"/>
      <c r="C21" s="160"/>
      <c r="D21" s="160"/>
      <c r="E21" s="160"/>
      <c r="F21" s="160"/>
      <c r="G21" s="160"/>
      <c r="H21" s="160"/>
      <c r="I21" s="160" t="s">
        <v>606</v>
      </c>
      <c r="J21" s="160"/>
      <c r="K21" s="160"/>
      <c r="L21" s="160"/>
      <c r="M21" s="160"/>
      <c r="N21" s="160"/>
      <c r="O21" s="160"/>
      <c r="P21" s="364" t="s">
        <v>609</v>
      </c>
      <c r="Q21" s="223"/>
      <c r="R21" s="160"/>
      <c r="S21" s="364" t="s">
        <v>612</v>
      </c>
      <c r="T21" s="223"/>
      <c r="U21" s="160"/>
      <c r="V21" s="364" t="s">
        <v>613</v>
      </c>
      <c r="W21" s="222"/>
      <c r="X21" s="222"/>
      <c r="Y21" s="223"/>
      <c r="Z21" s="160"/>
    </row>
    <row r="22" spans="1:26" ht="14.25" customHeight="1">
      <c r="A22" s="363" t="s">
        <v>614</v>
      </c>
      <c r="B22" s="222"/>
      <c r="C22" s="223"/>
      <c r="D22" s="160"/>
      <c r="E22" s="364" t="s">
        <v>617</v>
      </c>
      <c r="F22" s="222"/>
      <c r="G22" s="223"/>
      <c r="H22" s="160"/>
      <c r="I22" s="160" t="s">
        <v>618</v>
      </c>
      <c r="J22" s="182">
        <f>Cbulk_rcmd</f>
        <v>27.450980392156854</v>
      </c>
      <c r="K22" s="160" t="s">
        <v>59</v>
      </c>
      <c r="L22" s="160" t="s">
        <v>620</v>
      </c>
      <c r="M22" s="160"/>
      <c r="N22" s="160"/>
      <c r="O22" s="160"/>
      <c r="P22" s="160" t="s">
        <v>622</v>
      </c>
      <c r="Q22" s="184">
        <f>((Irun*mA+(Qg*nC*fmax*kHz))*(Cout*uF*Vout_cc/Iocc))/(VDDon-(VDDoff_max+1))*10^12</f>
        <v>5399692.3868295811</v>
      </c>
      <c r="R22" s="160" t="s">
        <v>213</v>
      </c>
      <c r="S22" s="160" t="s">
        <v>624</v>
      </c>
      <c r="T22" s="184">
        <f>(ton_max*us*Iocc)/(0.2*Vripple_target*mV)*10^12</f>
        <v>519673904.59758466</v>
      </c>
      <c r="U22" s="160" t="s">
        <v>213</v>
      </c>
      <c r="V22" s="160" t="s">
        <v>625</v>
      </c>
      <c r="W22" s="184">
        <f>(10*Copto*nF)*10^12</f>
        <v>47746.482927568592</v>
      </c>
      <c r="X22" s="160" t="s">
        <v>213</v>
      </c>
      <c r="Y22" s="160"/>
      <c r="Z22" s="160"/>
    </row>
    <row r="23" spans="1:26" ht="14.25" customHeight="1">
      <c r="A23" s="186">
        <v>100</v>
      </c>
      <c r="B23" s="186">
        <v>105</v>
      </c>
      <c r="C23" s="160"/>
      <c r="D23" s="160"/>
      <c r="E23" s="364" t="s">
        <v>627</v>
      </c>
      <c r="F23" s="222"/>
      <c r="G23" s="223"/>
      <c r="H23" s="160"/>
      <c r="I23" s="160"/>
      <c r="J23" s="160"/>
      <c r="K23" s="160"/>
      <c r="L23" s="160"/>
      <c r="M23" s="160"/>
      <c r="N23" s="160"/>
      <c r="O23" s="160"/>
      <c r="P23" s="160"/>
      <c r="Q23" s="160">
        <f>(IF(Q22&lt;10000,Q24*10^INT(LOG(Q22)),Q25*10^INT(LOG(Q22))))*10^-6</f>
        <v>4.7</v>
      </c>
      <c r="R23" s="160" t="s">
        <v>59</v>
      </c>
      <c r="S23" s="160"/>
      <c r="T23" s="160">
        <f>(IF(T22&lt;10000,T24*10^INT(LOG(T22)),T25*10^INT(LOG(T22))))*10^-6</f>
        <v>470</v>
      </c>
      <c r="U23" s="160" t="s">
        <v>59</v>
      </c>
      <c r="V23" s="160"/>
      <c r="W23" s="160">
        <f>(IF(W22&lt;10000,W24*10^INT(LOG(W22)),W25*10^INT(LOG(W22))))*10^-6</f>
        <v>4.7E-2</v>
      </c>
      <c r="X23" s="160" t="s">
        <v>59</v>
      </c>
      <c r="Y23" s="160"/>
      <c r="Z23" s="160"/>
    </row>
    <row r="24" spans="1:26" ht="14.25" customHeight="1">
      <c r="A24" s="186">
        <v>105</v>
      </c>
      <c r="B24" s="186">
        <v>110</v>
      </c>
      <c r="C24" s="160"/>
      <c r="D24" s="160"/>
      <c r="E24" s="160">
        <v>1</v>
      </c>
      <c r="F24" s="160">
        <v>1.2</v>
      </c>
      <c r="G24" s="160"/>
      <c r="H24" s="160"/>
      <c r="I24" s="160"/>
      <c r="J24" s="160"/>
      <c r="K24" s="160"/>
      <c r="L24" s="160"/>
      <c r="M24" s="160"/>
      <c r="N24" s="160"/>
      <c r="O24" s="160"/>
      <c r="P24" s="160"/>
      <c r="Q24" s="160">
        <f>IF((10^(LOG(Q22)-INT(LOG(Q22))))-VLOOKUP((10^(LOG(Q22)-INT(LOG(Q22)))),C_s1:C_f1,1)&lt;VLOOKUP((10^(LOG(Q22)-INT(LOG(Q22)))),C_s1:C_f1,2)-(10^(LOG(Q22)-INT(LOG(Q22)))),VLOOKUP((10^(LOG(Q22)-INT(LOG(Q22)))),C_s1:C_f1,1),VLOOKUP((10^(LOG(Q22)-INT(LOG(Q22)))),C_s1:C_f1,2))</f>
        <v>5.6</v>
      </c>
      <c r="R24" s="160"/>
      <c r="S24" s="160"/>
      <c r="T24" s="160">
        <f>IF((10^(LOG(T22)-INT(LOG(T22))))-VLOOKUP((10^(LOG(T22)-INT(LOG(T22)))),C_s1:C_f1,1)&lt;VLOOKUP((10^(LOG(T22)-INT(LOG(T22)))),C_s1:C_f1,2)-(10^(LOG(T22)-INT(LOG(T22)))),VLOOKUP((10^(LOG(T22)-INT(LOG(T22)))),C_s1:C_f1,1),VLOOKUP((10^(LOG(T22)-INT(LOG(T22)))),C_s1:C_f1,2))</f>
        <v>5.6</v>
      </c>
      <c r="U24" s="160"/>
      <c r="V24" s="160"/>
      <c r="W24" s="160">
        <f>IF((10^(LOG(W22)-INT(LOG(W22))))-VLOOKUP((10^(LOG(W22)-INT(LOG(W22)))),C_s1:C_f1,1)&lt;VLOOKUP((10^(LOG(W22)-INT(LOG(W22)))),C_s1:C_f1,2)-(10^(LOG(W22)-INT(LOG(W22)))),VLOOKUP((10^(LOG(W22)-INT(LOG(W22)))),C_s1:C_f1,1),VLOOKUP((10^(LOG(W22)-INT(LOG(W22)))),C_s1:C_f1,2))</f>
        <v>4.7</v>
      </c>
      <c r="X24" s="160"/>
      <c r="Y24" s="160"/>
      <c r="Z24" s="160"/>
    </row>
    <row r="25" spans="1:26" ht="14.25" customHeight="1">
      <c r="A25" s="186">
        <v>110</v>
      </c>
      <c r="B25" s="186">
        <v>115</v>
      </c>
      <c r="C25" s="160"/>
      <c r="D25" s="160"/>
      <c r="E25" s="160">
        <v>1.2</v>
      </c>
      <c r="F25" s="160">
        <v>1.5</v>
      </c>
      <c r="G25" s="160"/>
      <c r="H25" s="160"/>
      <c r="I25" s="160"/>
      <c r="J25" s="160"/>
      <c r="K25" s="160"/>
      <c r="L25" s="160"/>
      <c r="M25" s="160"/>
      <c r="N25" s="160"/>
      <c r="O25" s="160"/>
      <c r="P25" s="160"/>
      <c r="Q25" s="160">
        <f>IF((10^(LOG(Q22)-INT(LOG(Q22))))-VLOOKUP((10^(LOG(Q22)-INT(LOG(Q22)))),C_s2:C_f2,1)&lt;VLOOKUP((10^(LOG(Q22)-INT(LOG(Q22)))),C_s2:C_f2,2)-(10^(LOG(Q22)-INT(LOG(Q22)))),VLOOKUP((10^(LOG(Q22)-INT(LOG(Q22)))),C_s2:C_f2,1),VLOOKUP((10^(LOG(Q22)-INT(LOG(Q22)))),C_s2:C_f2,2))</f>
        <v>4.7</v>
      </c>
      <c r="R25" s="160"/>
      <c r="S25" s="160"/>
      <c r="T25" s="160">
        <f>IF((10^(LOG(T22)-INT(LOG(T22))))-VLOOKUP((10^(LOG(T22)-INT(LOG(T22)))),C_s2:C_f2,1)&lt;VLOOKUP((10^(LOG(T22)-INT(LOG(T22)))),C_s2:C_f2,2)-(10^(LOG(T22)-INT(LOG(T22)))),VLOOKUP((10^(LOG(T22)-INT(LOG(T22)))),C_s2:C_f2,1),VLOOKUP((10^(LOG(T22)-INT(LOG(T22)))),C_s2:C_f2,2))</f>
        <v>4.7</v>
      </c>
      <c r="U25" s="160"/>
      <c r="V25" s="160"/>
      <c r="W25" s="160">
        <f>IF((10^(LOG(W22)-INT(LOG(W22))))-VLOOKUP((10^(LOG(W22)-INT(LOG(W22)))),C_s2:C_f2,1)&lt;VLOOKUP((10^(LOG(W22)-INT(LOG(W22)))),C_s2:C_f2,2)-(10^(LOG(W22)-INT(LOG(W22)))),VLOOKUP((10^(LOG(W22)-INT(LOG(W22)))),C_s2:C_f2,1),VLOOKUP((10^(LOG(W22)-INT(LOG(W22)))),C_s2:C_f2,2))</f>
        <v>4.7</v>
      </c>
      <c r="X25" s="160"/>
      <c r="Y25" s="160"/>
      <c r="Z25" s="160"/>
    </row>
    <row r="26" spans="1:26" ht="14.25" customHeight="1">
      <c r="A26" s="186">
        <v>115</v>
      </c>
      <c r="B26" s="186">
        <v>121</v>
      </c>
      <c r="C26" s="160"/>
      <c r="D26" s="160"/>
      <c r="E26" s="160">
        <v>1.5</v>
      </c>
      <c r="F26" s="160">
        <v>1.8</v>
      </c>
      <c r="G26" s="160"/>
      <c r="H26" s="160"/>
      <c r="I26" s="160"/>
      <c r="J26" s="160"/>
      <c r="K26" s="160"/>
      <c r="L26" s="160"/>
      <c r="M26" s="160"/>
      <c r="N26" s="160"/>
      <c r="O26" s="160"/>
      <c r="P26" s="160" t="s">
        <v>650</v>
      </c>
      <c r="Q26" s="184">
        <f>((2*(Irun*mA+Qg*nC)*(tov*ms))/((VDD*1.5)-(VDDoff+1)))*10^12</f>
        <v>23146963.642319024</v>
      </c>
      <c r="R26" s="160" t="s">
        <v>213</v>
      </c>
      <c r="S26" s="160"/>
      <c r="T26" s="160"/>
      <c r="U26" s="160"/>
      <c r="V26" s="160"/>
      <c r="W26" s="160"/>
      <c r="X26" s="160"/>
      <c r="Y26" s="160"/>
      <c r="Z26" s="160"/>
    </row>
    <row r="27" spans="1:26" ht="14.25" customHeight="1">
      <c r="A27" s="186">
        <v>121</v>
      </c>
      <c r="B27" s="186">
        <v>127</v>
      </c>
      <c r="C27" s="160"/>
      <c r="D27" s="160"/>
      <c r="E27" s="160">
        <v>1.8</v>
      </c>
      <c r="F27" s="160">
        <v>2.2000000000000002</v>
      </c>
      <c r="G27" s="160"/>
      <c r="H27" s="160"/>
      <c r="I27" s="367" t="s">
        <v>654</v>
      </c>
      <c r="J27" s="222"/>
      <c r="K27" s="223"/>
      <c r="L27" s="160"/>
      <c r="M27" s="160"/>
      <c r="N27" s="160"/>
      <c r="O27" s="160"/>
      <c r="P27" s="160"/>
      <c r="Q27" s="160">
        <f>(IF(Q26&lt;10000,Q28*10^INT(LOG(Q26)),Q29*10^INT(LOG(Q26))))*10^-6</f>
        <v>22</v>
      </c>
      <c r="R27" s="160" t="s">
        <v>59</v>
      </c>
      <c r="S27" s="160"/>
      <c r="T27" s="160"/>
      <c r="U27" s="160"/>
      <c r="V27" s="160"/>
      <c r="W27" s="160"/>
      <c r="X27" s="160"/>
      <c r="Y27" s="160"/>
      <c r="Z27" s="160"/>
    </row>
    <row r="28" spans="1:26" ht="14.25" customHeight="1">
      <c r="A28" s="186">
        <v>127</v>
      </c>
      <c r="B28" s="186">
        <v>133</v>
      </c>
      <c r="C28" s="160"/>
      <c r="D28" s="160"/>
      <c r="E28" s="160">
        <v>2.2000000000000002</v>
      </c>
      <c r="F28" s="160">
        <v>2.7</v>
      </c>
      <c r="G28" s="160"/>
      <c r="H28" s="160"/>
      <c r="I28" s="367" t="s">
        <v>659</v>
      </c>
      <c r="J28" s="222"/>
      <c r="K28" s="223"/>
      <c r="L28" s="160"/>
      <c r="M28" s="160"/>
      <c r="N28" s="160"/>
      <c r="O28" s="160"/>
      <c r="P28" s="160"/>
      <c r="Q28" s="160">
        <f>IF((10^(LOG(Q26)-INT(LOG(Q26))))-VLOOKUP((10^(LOG(Q26)-INT(LOG(Q26)))),C_s1:C_f1,1)&lt;VLOOKUP((10^(LOG(Q26)-INT(LOG(Q26)))),C_s1:C_f1,2)-(10^(LOG(Q26)-INT(LOG(Q26)))),VLOOKUP((10^(LOG(Q26)-INT(LOG(Q26)))),C_s1:C_f1,1),VLOOKUP((10^(LOG(Q26)-INT(LOG(Q26)))),C_s1:C_f1,2))</f>
        <v>2.2000000000000002</v>
      </c>
      <c r="R28" s="160"/>
      <c r="S28" s="160"/>
      <c r="T28" s="160"/>
      <c r="U28" s="160"/>
      <c r="V28" s="160"/>
      <c r="W28" s="160"/>
      <c r="X28" s="160"/>
      <c r="Y28" s="160"/>
      <c r="Z28" s="160"/>
    </row>
    <row r="29" spans="1:26" ht="14.25" customHeight="1">
      <c r="A29" s="186">
        <v>133</v>
      </c>
      <c r="B29" s="186">
        <v>140</v>
      </c>
      <c r="C29" s="160"/>
      <c r="D29" s="160"/>
      <c r="E29" s="160">
        <v>2.7</v>
      </c>
      <c r="F29" s="160">
        <v>3.3</v>
      </c>
      <c r="G29" s="160"/>
      <c r="H29" s="160"/>
      <c r="I29" s="160" t="s">
        <v>667</v>
      </c>
      <c r="J29" s="160">
        <f>(1/fline_min)/(2*PI())*ASIN((Vbulkvalley_desired)/Vbulk_min)</f>
        <v>2.5000000000000001E-3</v>
      </c>
      <c r="K29" s="160" t="s">
        <v>669</v>
      </c>
      <c r="L29" s="160"/>
      <c r="M29" s="160"/>
      <c r="N29" s="160"/>
      <c r="O29" s="160"/>
      <c r="P29" s="160"/>
      <c r="Q29" s="160">
        <f>IF((10^(LOG(Q26)-INT(LOG(Q26))))-VLOOKUP((10^(LOG(Q26)-INT(LOG(Q26)))),C_s2:C_f2,1)&lt;VLOOKUP((10^(LOG(Q26)-INT(LOG(Q26)))),C_s2:C_f2,2)-(10^(LOG(Q26)-INT(LOG(Q26)))),VLOOKUP((10^(LOG(Q26)-INT(LOG(Q26)))),C_s2:C_f2,1),VLOOKUP((10^(LOG(Q26)-INT(LOG(Q26)))),C_s2:C_f2,2))</f>
        <v>2.2000000000000002</v>
      </c>
      <c r="R29" s="160"/>
      <c r="S29" s="160"/>
      <c r="T29" s="160"/>
      <c r="U29" s="160"/>
      <c r="V29" s="160"/>
      <c r="W29" s="160"/>
      <c r="X29" s="160"/>
      <c r="Y29" s="160"/>
      <c r="Z29" s="160"/>
    </row>
    <row r="30" spans="1:26" ht="14.25" customHeight="1">
      <c r="A30" s="186">
        <v>140</v>
      </c>
      <c r="B30" s="186">
        <v>147</v>
      </c>
      <c r="C30" s="160"/>
      <c r="D30" s="160"/>
      <c r="E30" s="160">
        <v>3.3</v>
      </c>
      <c r="F30" s="160">
        <v>3.9</v>
      </c>
      <c r="G30" s="160"/>
      <c r="H30" s="160"/>
      <c r="I30" s="160" t="s">
        <v>674</v>
      </c>
      <c r="J30" s="160">
        <f>((1/fline_min)/2)+t_1</f>
        <v>1.2500000000000001E-2</v>
      </c>
      <c r="K30" s="160" t="s">
        <v>669</v>
      </c>
      <c r="L30" s="160"/>
      <c r="M30" s="160"/>
      <c r="N30" s="160"/>
      <c r="O30" s="160"/>
      <c r="P30" s="160" t="s">
        <v>676</v>
      </c>
      <c r="Q30" s="184">
        <f>(Irun*mA+(Qg*nC*fmin*kHz))/(1*fmin*kHz)*10^12</f>
        <v>7278924.7010357054</v>
      </c>
      <c r="R30" s="160" t="s">
        <v>213</v>
      </c>
      <c r="S30" s="160"/>
      <c r="T30" s="160"/>
      <c r="U30" s="160"/>
      <c r="V30" s="160"/>
      <c r="W30" s="160"/>
      <c r="X30" s="160"/>
      <c r="Y30" s="160"/>
      <c r="Z30" s="160"/>
    </row>
    <row r="31" spans="1:26" ht="14.25" customHeight="1">
      <c r="A31" s="186">
        <v>147</v>
      </c>
      <c r="B31" s="186">
        <v>154</v>
      </c>
      <c r="C31" s="160"/>
      <c r="D31" s="160"/>
      <c r="E31" s="160">
        <v>3.9</v>
      </c>
      <c r="F31" s="160">
        <v>4.7</v>
      </c>
      <c r="G31" s="160"/>
      <c r="H31" s="160"/>
      <c r="I31" s="160" t="s">
        <v>679</v>
      </c>
      <c r="J31" s="160">
        <f>((t_line*10^-3)/2)+t_1-((t_line*10^-3)/4)</f>
        <v>7.5000000000000006E-3</v>
      </c>
      <c r="K31" s="160" t="s">
        <v>669</v>
      </c>
      <c r="L31" s="160"/>
      <c r="M31" s="160"/>
      <c r="N31" s="160"/>
      <c r="O31" s="160"/>
      <c r="P31" s="160"/>
      <c r="Q31" s="160">
        <f>(IF(Q30&lt;10000,Q32*10^INT(LOG(Q30)),Q33*10^INT(LOG(Q30))))*10^-6</f>
        <v>6.8</v>
      </c>
      <c r="R31" s="160" t="s">
        <v>59</v>
      </c>
      <c r="S31" s="160"/>
      <c r="T31" s="160"/>
      <c r="U31" s="160"/>
      <c r="V31" s="160"/>
      <c r="W31" s="160"/>
      <c r="X31" s="160"/>
      <c r="Y31" s="160"/>
      <c r="Z31" s="160"/>
    </row>
    <row r="32" spans="1:26" ht="14.25" customHeight="1">
      <c r="A32" s="186">
        <v>154</v>
      </c>
      <c r="B32" s="186">
        <v>162</v>
      </c>
      <c r="C32" s="160"/>
      <c r="D32" s="160"/>
      <c r="E32" s="160">
        <v>4.7</v>
      </c>
      <c r="F32" s="160">
        <v>5.6</v>
      </c>
      <c r="G32" s="160"/>
      <c r="H32" s="160"/>
      <c r="I32" s="160" t="s">
        <v>682</v>
      </c>
      <c r="J32" s="160">
        <f>((t_line*10^-3)/4)-t_1</f>
        <v>2.5000000000000001E-3</v>
      </c>
      <c r="K32" s="160" t="s">
        <v>669</v>
      </c>
      <c r="L32" s="160"/>
      <c r="M32" s="160"/>
      <c r="N32" s="160"/>
      <c r="O32" s="160"/>
      <c r="P32" s="160"/>
      <c r="Q32" s="160">
        <f>IF((10^(LOG(Q30)-INT(LOG(Q30))))-VLOOKUP((10^(LOG(Q30)-INT(LOG(Q30)))),C_s1:C_f1,1)&lt;VLOOKUP((10^(LOG(Q30)-INT(LOG(Q30)))),C_s1:C_f1,2)-(10^(LOG(Q30)-INT(LOG(Q30)))),VLOOKUP((10^(LOG(Q30)-INT(LOG(Q30)))),C_s1:C_f1,1),VLOOKUP((10^(LOG(Q30)-INT(LOG(Q30)))),C_s1:C_f1,2))</f>
        <v>6.8</v>
      </c>
      <c r="R32" s="160"/>
      <c r="S32" s="160"/>
      <c r="T32" s="160"/>
      <c r="U32" s="160"/>
      <c r="V32" s="160"/>
      <c r="W32" s="160"/>
      <c r="X32" s="160"/>
      <c r="Y32" s="160"/>
      <c r="Z32" s="160"/>
    </row>
    <row r="33" spans="1:26" ht="14.25" customHeight="1">
      <c r="A33" s="186">
        <v>162</v>
      </c>
      <c r="B33" s="186">
        <v>169</v>
      </c>
      <c r="C33" s="160"/>
      <c r="D33" s="160"/>
      <c r="E33" s="160">
        <v>5.6</v>
      </c>
      <c r="F33" s="160">
        <v>6.8</v>
      </c>
      <c r="G33" s="160"/>
      <c r="H33" s="160"/>
      <c r="I33" s="160" t="s">
        <v>684</v>
      </c>
      <c r="J33" s="184">
        <f>(SQRT((2*Cbulk*uF)*(((Cbulk*uF)*(Vinput_min^2))-(Pin*t_discharge))))/(Cbulk*uF)</f>
        <v>181.75613914706446</v>
      </c>
      <c r="K33" s="160" t="s">
        <v>37</v>
      </c>
      <c r="L33" s="160"/>
      <c r="M33" s="160"/>
      <c r="N33" s="160"/>
      <c r="O33" s="160"/>
      <c r="P33" s="160"/>
      <c r="Q33" s="160">
        <f>IF((10^(LOG(Q30)-INT(LOG(Q30))))-VLOOKUP((10^(LOG(Q30)-INT(LOG(Q30)))),C_s2:C_f2,1)&lt;VLOOKUP((10^(LOG(Q30)-INT(LOG(Q30)))),C_s2:C_f2,2)-(10^(LOG(Q30)-INT(LOG(Q30)))),VLOOKUP((10^(LOG(Q30)-INT(LOG(Q30)))),C_s2:C_f2,1),VLOOKUP((10^(LOG(Q30)-INT(LOG(Q30)))),C_s2:C_f2,2))</f>
        <v>6.8</v>
      </c>
      <c r="R33" s="160"/>
      <c r="S33" s="160"/>
      <c r="T33" s="160"/>
      <c r="U33" s="160"/>
      <c r="V33" s="160"/>
      <c r="W33" s="160"/>
      <c r="X33" s="160"/>
      <c r="Y33" s="160"/>
      <c r="Z33" s="160"/>
    </row>
    <row r="34" spans="1:26" ht="14.25" customHeight="1">
      <c r="A34" s="186">
        <v>169</v>
      </c>
      <c r="B34" s="186">
        <v>178</v>
      </c>
      <c r="C34" s="160"/>
      <c r="D34" s="160"/>
      <c r="E34" s="160">
        <v>6.8</v>
      </c>
      <c r="F34" s="160">
        <v>8.1999999999999993</v>
      </c>
      <c r="G34" s="160"/>
      <c r="H34" s="160"/>
      <c r="I34" s="367" t="s">
        <v>689</v>
      </c>
      <c r="J34" s="222"/>
      <c r="K34" s="223"/>
      <c r="L34" s="160"/>
      <c r="M34" s="160"/>
      <c r="N34" s="160"/>
      <c r="O34" s="160"/>
      <c r="P34" s="160"/>
      <c r="Q34" s="160"/>
      <c r="R34" s="160"/>
      <c r="S34" s="160"/>
      <c r="T34" s="160"/>
      <c r="U34" s="160"/>
      <c r="V34" s="160"/>
      <c r="W34" s="160"/>
      <c r="X34" s="160"/>
      <c r="Y34" s="160"/>
      <c r="Z34" s="160"/>
    </row>
    <row r="35" spans="1:26" ht="14.25" customHeight="1">
      <c r="A35" s="186">
        <v>178</v>
      </c>
      <c r="B35" s="186">
        <v>187</v>
      </c>
      <c r="C35" s="160"/>
      <c r="D35" s="160"/>
      <c r="E35" s="160">
        <v>8.1999999999999993</v>
      </c>
      <c r="F35" s="160">
        <v>10</v>
      </c>
      <c r="G35" s="160"/>
      <c r="H35" s="160"/>
      <c r="I35" s="160" t="s">
        <v>691</v>
      </c>
      <c r="J35" s="160">
        <f>(1/fline_min)/(2*PI())*ASIN((Vbulkvalley_1)/Vbulk_min)</f>
        <v>2.5312088516027897E-3</v>
      </c>
      <c r="K35" s="160" t="s">
        <v>669</v>
      </c>
      <c r="L35" s="160"/>
      <c r="M35" s="160"/>
      <c r="N35" s="160"/>
      <c r="O35" s="160"/>
      <c r="P35" s="160"/>
      <c r="Q35" s="160"/>
      <c r="R35" s="160"/>
      <c r="S35" s="160"/>
      <c r="T35" s="160"/>
      <c r="U35" s="160"/>
      <c r="V35" s="160"/>
      <c r="W35" s="160"/>
      <c r="X35" s="160"/>
      <c r="Y35" s="160"/>
      <c r="Z35" s="160"/>
    </row>
    <row r="36" spans="1:26" ht="14.25" customHeight="1">
      <c r="A36" s="186">
        <v>187</v>
      </c>
      <c r="B36" s="186">
        <v>196</v>
      </c>
      <c r="C36" s="160"/>
      <c r="D36" s="160"/>
      <c r="E36" s="364" t="s">
        <v>693</v>
      </c>
      <c r="F36" s="222"/>
      <c r="G36" s="223"/>
      <c r="H36" s="160"/>
      <c r="I36" s="160" t="s">
        <v>694</v>
      </c>
      <c r="J36" s="160">
        <f>((t_line*10^-3)/2)+t1_1</f>
        <v>1.253120885160279E-2</v>
      </c>
      <c r="K36" s="160" t="s">
        <v>669</v>
      </c>
      <c r="L36" s="160"/>
      <c r="M36" s="160"/>
      <c r="N36" s="160"/>
      <c r="O36" s="160"/>
      <c r="P36" s="160"/>
      <c r="Q36" s="160"/>
      <c r="R36" s="160"/>
      <c r="S36" s="160"/>
      <c r="T36" s="160"/>
      <c r="U36" s="160"/>
      <c r="V36" s="160"/>
      <c r="W36" s="160"/>
      <c r="X36" s="160"/>
      <c r="Y36" s="160"/>
      <c r="Z36" s="160"/>
    </row>
    <row r="37" spans="1:26" ht="14.25" customHeight="1">
      <c r="A37" s="186">
        <v>196</v>
      </c>
      <c r="B37" s="186">
        <v>205</v>
      </c>
      <c r="C37" s="160"/>
      <c r="D37" s="160"/>
      <c r="E37" s="160">
        <v>1</v>
      </c>
      <c r="F37" s="160">
        <v>1.5</v>
      </c>
      <c r="G37" s="160"/>
      <c r="H37" s="160"/>
      <c r="I37" s="160" t="s">
        <v>697</v>
      </c>
      <c r="J37" s="160">
        <f>t2_1-((t_line*10^-3)/4)</f>
        <v>7.5312088516027902E-3</v>
      </c>
      <c r="K37" s="160" t="s">
        <v>669</v>
      </c>
      <c r="L37" s="160"/>
      <c r="M37" s="160"/>
      <c r="N37" s="160"/>
      <c r="O37" s="160"/>
      <c r="P37" s="160"/>
      <c r="Q37" s="160"/>
      <c r="R37" s="160"/>
      <c r="S37" s="160"/>
      <c r="T37" s="160"/>
      <c r="U37" s="160"/>
      <c r="V37" s="160"/>
      <c r="W37" s="160"/>
      <c r="X37" s="160"/>
      <c r="Y37" s="160"/>
      <c r="Z37" s="160"/>
    </row>
    <row r="38" spans="1:26" ht="14.25" customHeight="1">
      <c r="A38" s="186">
        <v>205</v>
      </c>
      <c r="B38" s="186">
        <v>215</v>
      </c>
      <c r="C38" s="160"/>
      <c r="D38" s="160"/>
      <c r="E38" s="160">
        <v>1.5</v>
      </c>
      <c r="F38" s="160">
        <v>2.2000000000000002</v>
      </c>
      <c r="G38" s="160"/>
      <c r="H38" s="160"/>
      <c r="I38" s="160" t="s">
        <v>700</v>
      </c>
      <c r="J38" s="160">
        <f>((t_line*10^-3)/4)-t1_1</f>
        <v>2.4687911483972104E-3</v>
      </c>
      <c r="K38" s="160" t="s">
        <v>669</v>
      </c>
      <c r="L38" s="160"/>
      <c r="M38" s="160"/>
      <c r="N38" s="160"/>
      <c r="O38" s="160"/>
      <c r="P38" s="160"/>
      <c r="Q38" s="160"/>
      <c r="R38" s="160"/>
      <c r="S38" s="160"/>
      <c r="T38" s="160"/>
      <c r="U38" s="160"/>
      <c r="V38" s="160"/>
      <c r="W38" s="160"/>
      <c r="X38" s="160"/>
      <c r="Y38" s="160"/>
      <c r="Z38" s="160"/>
    </row>
    <row r="39" spans="1:26" ht="14.25" customHeight="1">
      <c r="A39" s="186">
        <v>215</v>
      </c>
      <c r="B39" s="186">
        <v>226</v>
      </c>
      <c r="C39" s="160"/>
      <c r="D39" s="160"/>
      <c r="E39" s="160">
        <v>2.2000000000000002</v>
      </c>
      <c r="F39" s="160">
        <v>3.3</v>
      </c>
      <c r="G39" s="160"/>
      <c r="H39" s="160"/>
      <c r="I39" s="160" t="s">
        <v>703</v>
      </c>
      <c r="J39" s="184">
        <f>SQRT((2*Cbulk*uF)*(((Cbulk*uF)*(Vinput_min^2))-(Pin*tdischarge_1)))/(Cbulk*uF)</f>
        <v>181.39215929040384</v>
      </c>
      <c r="K39" s="160" t="s">
        <v>37</v>
      </c>
      <c r="L39" s="160"/>
      <c r="M39" s="160"/>
      <c r="N39" s="160"/>
      <c r="O39" s="160"/>
      <c r="P39" s="160"/>
      <c r="Q39" s="160"/>
      <c r="R39" s="160"/>
      <c r="S39" s="160"/>
      <c r="T39" s="160"/>
      <c r="U39" s="160"/>
      <c r="V39" s="160"/>
      <c r="W39" s="160"/>
      <c r="X39" s="160"/>
      <c r="Y39" s="160"/>
      <c r="Z39" s="160"/>
    </row>
    <row r="40" spans="1:26" ht="14.25" customHeight="1">
      <c r="A40" s="186">
        <v>226</v>
      </c>
      <c r="B40" s="186">
        <v>237</v>
      </c>
      <c r="C40" s="160"/>
      <c r="D40" s="160"/>
      <c r="E40" s="160">
        <v>3.3</v>
      </c>
      <c r="F40" s="160">
        <v>4.7</v>
      </c>
      <c r="G40" s="160"/>
      <c r="H40" s="160"/>
      <c r="I40" s="197" t="s">
        <v>706</v>
      </c>
      <c r="J40" s="160"/>
      <c r="K40" s="160"/>
      <c r="L40" s="160"/>
      <c r="M40" s="160"/>
      <c r="N40" s="160"/>
      <c r="O40" s="160"/>
      <c r="P40" s="160"/>
      <c r="Q40" s="160"/>
      <c r="R40" s="160"/>
      <c r="S40" s="160"/>
      <c r="T40" s="160"/>
      <c r="U40" s="160"/>
      <c r="V40" s="160"/>
      <c r="W40" s="160"/>
      <c r="X40" s="160"/>
      <c r="Y40" s="160"/>
      <c r="Z40" s="160"/>
    </row>
    <row r="41" spans="1:26" ht="14.25" customHeight="1">
      <c r="A41" s="186">
        <v>237</v>
      </c>
      <c r="B41" s="186">
        <v>249</v>
      </c>
      <c r="C41" s="160"/>
      <c r="D41" s="160"/>
      <c r="E41" s="160">
        <v>4.7</v>
      </c>
      <c r="F41" s="160">
        <v>6.8</v>
      </c>
      <c r="G41" s="160"/>
      <c r="H41" s="160"/>
      <c r="I41" s="160" t="s">
        <v>708</v>
      </c>
      <c r="J41" s="160">
        <f>(1/fline_min)/(2*PI())*ASIN(Vbulkvalley_2/Vbulk_min)</f>
        <v>2.5247149782269573E-3</v>
      </c>
      <c r="K41" s="160" t="s">
        <v>669</v>
      </c>
      <c r="L41" s="160"/>
      <c r="M41" s="160"/>
      <c r="N41" s="160"/>
      <c r="O41" s="160"/>
      <c r="P41" s="160"/>
      <c r="Q41" s="160"/>
      <c r="R41" s="160"/>
      <c r="S41" s="160"/>
      <c r="T41" s="160"/>
      <c r="U41" s="160"/>
      <c r="V41" s="160"/>
      <c r="W41" s="160"/>
      <c r="X41" s="160"/>
      <c r="Y41" s="160"/>
      <c r="Z41" s="160"/>
    </row>
    <row r="42" spans="1:26" ht="14.25" customHeight="1">
      <c r="A42" s="186">
        <v>249</v>
      </c>
      <c r="B42" s="186">
        <v>261</v>
      </c>
      <c r="C42" s="160"/>
      <c r="D42" s="160"/>
      <c r="E42" s="160">
        <v>6.8</v>
      </c>
      <c r="F42" s="160">
        <v>10</v>
      </c>
      <c r="G42" s="160"/>
      <c r="H42" s="160"/>
      <c r="I42" s="160" t="s">
        <v>710</v>
      </c>
      <c r="J42" s="160">
        <f>((t_line*10^-3)/2)+t1_2</f>
        <v>1.2524714978226957E-2</v>
      </c>
      <c r="K42" s="160" t="s">
        <v>669</v>
      </c>
      <c r="L42" s="160"/>
      <c r="M42" s="160"/>
      <c r="N42" s="160"/>
      <c r="O42" s="160"/>
      <c r="P42" s="160"/>
      <c r="Q42" s="160"/>
      <c r="R42" s="160"/>
      <c r="S42" s="160"/>
      <c r="T42" s="160"/>
      <c r="U42" s="160"/>
      <c r="V42" s="160"/>
      <c r="W42" s="160"/>
      <c r="X42" s="160"/>
      <c r="Y42" s="160"/>
      <c r="Z42" s="160"/>
    </row>
    <row r="43" spans="1:26" ht="14.25" customHeight="1">
      <c r="A43" s="186">
        <v>261</v>
      </c>
      <c r="B43" s="186">
        <v>274</v>
      </c>
      <c r="C43" s="160"/>
      <c r="D43" s="160"/>
      <c r="E43" s="160"/>
      <c r="F43" s="160"/>
      <c r="G43" s="160"/>
      <c r="H43" s="160"/>
      <c r="I43" s="160" t="s">
        <v>714</v>
      </c>
      <c r="J43" s="160">
        <f>t2_2-((t_line*10^-3)/4)</f>
        <v>7.524714978226957E-3</v>
      </c>
      <c r="K43" s="160" t="s">
        <v>669</v>
      </c>
      <c r="L43" s="160"/>
      <c r="M43" s="160"/>
      <c r="N43" s="160"/>
      <c r="O43" s="160"/>
      <c r="P43" s="160"/>
      <c r="Q43" s="160"/>
      <c r="R43" s="160"/>
      <c r="S43" s="160"/>
      <c r="T43" s="160"/>
      <c r="U43" s="160"/>
      <c r="V43" s="160"/>
      <c r="W43" s="160"/>
      <c r="X43" s="160"/>
      <c r="Y43" s="160"/>
      <c r="Z43" s="160"/>
    </row>
    <row r="44" spans="1:26" ht="14.25" customHeight="1">
      <c r="A44" s="186">
        <v>274</v>
      </c>
      <c r="B44" s="186">
        <v>287</v>
      </c>
      <c r="C44" s="160"/>
      <c r="D44" s="160"/>
      <c r="E44" s="160"/>
      <c r="F44" s="160"/>
      <c r="G44" s="160"/>
      <c r="H44" s="160"/>
      <c r="I44" s="160" t="s">
        <v>719</v>
      </c>
      <c r="J44" s="160">
        <f>((t_line*10^-3)/4)-t1_2</f>
        <v>2.4752850217730428E-3</v>
      </c>
      <c r="K44" s="160" t="s">
        <v>669</v>
      </c>
      <c r="L44" s="160"/>
      <c r="M44" s="160"/>
      <c r="N44" s="160"/>
      <c r="O44" s="160"/>
      <c r="P44" s="160"/>
      <c r="Q44" s="160"/>
      <c r="R44" s="160"/>
      <c r="S44" s="160"/>
      <c r="T44" s="160"/>
      <c r="U44" s="160"/>
      <c r="V44" s="160"/>
      <c r="W44" s="160"/>
      <c r="X44" s="160"/>
      <c r="Y44" s="160"/>
      <c r="Z44" s="160"/>
    </row>
    <row r="45" spans="1:26" ht="14.25" customHeight="1">
      <c r="A45" s="186">
        <v>287</v>
      </c>
      <c r="B45" s="186">
        <v>301</v>
      </c>
      <c r="C45" s="160"/>
      <c r="D45" s="160"/>
      <c r="E45" s="160"/>
      <c r="F45" s="160"/>
      <c r="G45" s="160"/>
      <c r="H45" s="160"/>
      <c r="I45" s="160" t="s">
        <v>723</v>
      </c>
      <c r="J45" s="184">
        <f>SQRT((2*Cbulk*uF)*(((Cbulk*uF)*(Vinput_min^2))-(Pin*tdischarge_2)))/(Cbulk*uF)</f>
        <v>181.46795561681037</v>
      </c>
      <c r="K45" s="160" t="s">
        <v>37</v>
      </c>
      <c r="L45" s="160"/>
      <c r="M45" s="160"/>
      <c r="N45" s="160"/>
      <c r="O45" s="160"/>
      <c r="P45" s="160"/>
      <c r="Q45" s="160"/>
      <c r="R45" s="160"/>
      <c r="S45" s="160"/>
      <c r="T45" s="160"/>
      <c r="U45" s="160"/>
      <c r="V45" s="160"/>
      <c r="W45" s="160"/>
      <c r="X45" s="160"/>
      <c r="Y45" s="160"/>
      <c r="Z45" s="160"/>
    </row>
    <row r="46" spans="1:26" ht="14.25" customHeight="1">
      <c r="A46" s="186">
        <v>301</v>
      </c>
      <c r="B46" s="186">
        <v>316</v>
      </c>
      <c r="C46" s="160"/>
      <c r="D46" s="160"/>
      <c r="E46" s="160"/>
      <c r="F46" s="160"/>
      <c r="G46" s="160"/>
      <c r="H46" s="160"/>
      <c r="I46" s="197" t="s">
        <v>726</v>
      </c>
      <c r="J46" s="160"/>
      <c r="K46" s="160"/>
      <c r="L46" s="160"/>
      <c r="M46" s="160"/>
      <c r="N46" s="160"/>
      <c r="O46" s="160"/>
      <c r="P46" s="160"/>
      <c r="Q46" s="160"/>
      <c r="R46" s="160"/>
      <c r="S46" s="160"/>
      <c r="T46" s="160"/>
      <c r="U46" s="160"/>
      <c r="V46" s="160"/>
      <c r="W46" s="160"/>
      <c r="X46" s="160"/>
      <c r="Y46" s="160"/>
      <c r="Z46" s="160"/>
    </row>
    <row r="47" spans="1:26" ht="14.25" customHeight="1">
      <c r="A47" s="186">
        <v>316</v>
      </c>
      <c r="B47" s="186">
        <v>332</v>
      </c>
      <c r="C47" s="160"/>
      <c r="D47" s="160"/>
      <c r="E47" s="160"/>
      <c r="F47" s="160"/>
      <c r="G47" s="160"/>
      <c r="H47" s="160"/>
      <c r="I47" s="160" t="s">
        <v>730</v>
      </c>
      <c r="J47" s="160">
        <f>(1/fline_min)/(2*PI())*ASIN(Vbulkvalley_3/Vbulk_min)</f>
        <v>2.5260661724945135E-3</v>
      </c>
      <c r="K47" s="160" t="s">
        <v>669</v>
      </c>
      <c r="L47" s="160"/>
      <c r="M47" s="160"/>
      <c r="N47" s="160"/>
      <c r="O47" s="160"/>
      <c r="P47" s="160"/>
      <c r="Q47" s="160"/>
      <c r="R47" s="160"/>
      <c r="S47" s="160"/>
      <c r="T47" s="160"/>
      <c r="U47" s="160"/>
      <c r="V47" s="160"/>
      <c r="W47" s="160"/>
      <c r="X47" s="160"/>
      <c r="Y47" s="160"/>
      <c r="Z47" s="160"/>
    </row>
    <row r="48" spans="1:26" ht="14.25" customHeight="1">
      <c r="A48" s="186">
        <v>332</v>
      </c>
      <c r="B48" s="186">
        <v>348</v>
      </c>
      <c r="C48" s="160"/>
      <c r="D48" s="160"/>
      <c r="E48" s="160"/>
      <c r="F48" s="160"/>
      <c r="G48" s="160"/>
      <c r="H48" s="160"/>
      <c r="I48" s="160" t="s">
        <v>733</v>
      </c>
      <c r="J48" s="160">
        <f>((t_line*10^-3)/2)+t1_3</f>
        <v>1.2526066172494514E-2</v>
      </c>
      <c r="K48" s="160" t="s">
        <v>669</v>
      </c>
      <c r="L48" s="160"/>
      <c r="M48" s="160"/>
      <c r="N48" s="160"/>
      <c r="O48" s="160"/>
      <c r="P48" s="160"/>
      <c r="Q48" s="160"/>
      <c r="R48" s="160"/>
      <c r="S48" s="160"/>
      <c r="T48" s="160"/>
      <c r="U48" s="160"/>
      <c r="V48" s="160"/>
      <c r="W48" s="160"/>
      <c r="X48" s="160"/>
      <c r="Y48" s="160"/>
      <c r="Z48" s="160"/>
    </row>
    <row r="49" spans="1:26" ht="14.25" customHeight="1">
      <c r="A49" s="186">
        <v>348</v>
      </c>
      <c r="B49" s="186">
        <v>365</v>
      </c>
      <c r="C49" s="160"/>
      <c r="D49" s="160"/>
      <c r="E49" s="160"/>
      <c r="F49" s="160"/>
      <c r="G49" s="160"/>
      <c r="H49" s="160"/>
      <c r="I49" s="160" t="s">
        <v>734</v>
      </c>
      <c r="J49" s="160">
        <f>t2_3-((t_line*10^-3)/4)</f>
        <v>7.526066172494514E-3</v>
      </c>
      <c r="K49" s="160" t="s">
        <v>669</v>
      </c>
      <c r="L49" s="160"/>
      <c r="M49" s="160"/>
      <c r="N49" s="160"/>
      <c r="O49" s="160"/>
      <c r="P49" s="160"/>
      <c r="Q49" s="160"/>
      <c r="R49" s="160"/>
      <c r="S49" s="160"/>
      <c r="T49" s="160"/>
      <c r="U49" s="160"/>
      <c r="V49" s="160"/>
      <c r="W49" s="160"/>
      <c r="X49" s="160"/>
      <c r="Y49" s="160"/>
      <c r="Z49" s="160"/>
    </row>
    <row r="50" spans="1:26" ht="14.25" customHeight="1">
      <c r="A50" s="186">
        <v>365</v>
      </c>
      <c r="B50" s="186">
        <v>383</v>
      </c>
      <c r="C50" s="160"/>
      <c r="D50" s="160"/>
      <c r="E50" s="160"/>
      <c r="F50" s="160"/>
      <c r="G50" s="160"/>
      <c r="H50" s="160"/>
      <c r="I50" s="160" t="s">
        <v>736</v>
      </c>
      <c r="J50" s="160">
        <f>((t_line*10^-3)/4)-t1_3</f>
        <v>2.4739338275054867E-3</v>
      </c>
      <c r="K50" s="160" t="s">
        <v>669</v>
      </c>
      <c r="L50" s="160"/>
      <c r="M50" s="160"/>
      <c r="N50" s="160"/>
      <c r="O50" s="160"/>
      <c r="P50" s="160"/>
      <c r="Q50" s="160"/>
      <c r="R50" s="160"/>
      <c r="S50" s="160"/>
      <c r="T50" s="160"/>
      <c r="U50" s="160"/>
      <c r="V50" s="160"/>
      <c r="W50" s="160"/>
      <c r="X50" s="160"/>
      <c r="Y50" s="160"/>
      <c r="Z50" s="160"/>
    </row>
    <row r="51" spans="1:26" ht="14.25" customHeight="1">
      <c r="A51" s="186">
        <v>383</v>
      </c>
      <c r="B51" s="186">
        <v>402</v>
      </c>
      <c r="C51" s="160"/>
      <c r="D51" s="160"/>
      <c r="E51" s="160"/>
      <c r="F51" s="160"/>
      <c r="G51" s="160"/>
      <c r="H51" s="160"/>
      <c r="I51" s="160" t="s">
        <v>739</v>
      </c>
      <c r="J51" s="184">
        <f>(SQRT((2*Cbulk*uF)*(((Cbulk*uF)*(Vinput_min^2))-(Pin*tdischarge_3))))/(Cbulk*uF)</f>
        <v>181.45218711994482</v>
      </c>
      <c r="K51" s="160" t="s">
        <v>37</v>
      </c>
      <c r="L51" s="160"/>
      <c r="M51" s="160"/>
      <c r="N51" s="160"/>
      <c r="O51" s="160"/>
      <c r="P51" s="160"/>
      <c r="Q51" s="160"/>
      <c r="R51" s="160"/>
      <c r="S51" s="160"/>
      <c r="T51" s="160"/>
      <c r="U51" s="160"/>
      <c r="V51" s="160"/>
      <c r="W51" s="160"/>
      <c r="X51" s="160"/>
      <c r="Y51" s="160"/>
      <c r="Z51" s="160"/>
    </row>
    <row r="52" spans="1:26" ht="14.25" customHeight="1">
      <c r="A52" s="186">
        <v>402</v>
      </c>
      <c r="B52" s="186">
        <v>422</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row>
    <row r="53" spans="1:26" ht="14.25" customHeight="1">
      <c r="A53" s="186">
        <v>422</v>
      </c>
      <c r="B53" s="186">
        <v>442</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row>
    <row r="54" spans="1:26" ht="14.25" customHeight="1">
      <c r="A54" s="186">
        <v>442</v>
      </c>
      <c r="B54" s="186">
        <v>464</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spans="1:26" ht="14.25" customHeight="1">
      <c r="A55" s="186">
        <v>464</v>
      </c>
      <c r="B55" s="186">
        <v>487</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spans="1:26" ht="14.25" customHeight="1">
      <c r="A56" s="186">
        <v>487</v>
      </c>
      <c r="B56" s="186">
        <v>511</v>
      </c>
      <c r="C56" s="160"/>
      <c r="D56" s="160"/>
      <c r="E56" s="160"/>
      <c r="F56" s="160"/>
      <c r="G56" s="201" t="s">
        <v>745</v>
      </c>
      <c r="H56" s="184">
        <f>Vbulk_run/(Npa*Ivslrun_max*uA)/kOhms</f>
        <v>44.997704257325758</v>
      </c>
      <c r="I56" s="160" t="s">
        <v>748</v>
      </c>
      <c r="J56" s="160"/>
      <c r="K56" s="160"/>
      <c r="L56" s="160"/>
      <c r="M56" s="160"/>
      <c r="N56" s="160"/>
      <c r="O56" s="160"/>
      <c r="P56" s="160"/>
      <c r="Q56" s="160"/>
      <c r="R56" s="160"/>
      <c r="S56" s="160"/>
      <c r="T56" s="160"/>
      <c r="U56" s="160"/>
      <c r="V56" s="160"/>
      <c r="W56" s="160"/>
      <c r="X56" s="160"/>
      <c r="Y56" s="160"/>
      <c r="Z56" s="160"/>
    </row>
    <row r="57" spans="1:26" ht="14.25" customHeight="1">
      <c r="A57" s="186">
        <v>511</v>
      </c>
      <c r="B57" s="186">
        <v>536</v>
      </c>
      <c r="C57" s="160"/>
      <c r="D57" s="160"/>
      <c r="E57" s="160"/>
      <c r="F57" s="160"/>
      <c r="G57" s="160"/>
      <c r="H57" s="160">
        <f>(IF((10^(LOG(H56)-INT(LOG(H56)))*100)-VLOOKUP((10^(LOG(H56)-INT(LOG(H56)))*100),E_48s:E_48f,1)&lt;VLOOKUP((10^(LOG(H56)-INT(LOG(H56)))*100),E_48s:E_48f,2)-(10^(LOG(H56)-INT(LOG(H56)))*100),VLOOKUP((10^(LOG(H56)-INT(LOG(H56)))*100),E_48s:E_48f,1),VLOOKUP((10^(LOG(H56)-INT(LOG(H56)))*100),E_48s:E_48f,2)))*10^INT(LOG(H56))/100</f>
        <v>44.2</v>
      </c>
      <c r="I57" s="160" t="s">
        <v>754</v>
      </c>
      <c r="J57" s="160"/>
      <c r="K57" s="160"/>
      <c r="L57" s="160"/>
      <c r="M57" s="160"/>
      <c r="N57" s="160"/>
      <c r="O57" s="160"/>
      <c r="P57" s="160"/>
      <c r="Q57" s="160"/>
      <c r="R57" s="160"/>
      <c r="S57" s="160"/>
      <c r="T57" s="160"/>
      <c r="U57" s="160"/>
      <c r="V57" s="160"/>
      <c r="W57" s="160"/>
      <c r="X57" s="160"/>
      <c r="Y57" s="160"/>
      <c r="Z57" s="160"/>
    </row>
    <row r="58" spans="1:26" ht="14.25" customHeight="1">
      <c r="A58" s="186">
        <v>536</v>
      </c>
      <c r="B58" s="186">
        <v>562</v>
      </c>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4.25" customHeight="1">
      <c r="A59" s="186">
        <v>562</v>
      </c>
      <c r="B59" s="186">
        <v>590</v>
      </c>
      <c r="C59" s="160"/>
      <c r="D59" s="160"/>
      <c r="E59" s="160"/>
      <c r="F59" s="160"/>
      <c r="G59" s="201" t="s">
        <v>758</v>
      </c>
      <c r="H59" s="184">
        <f>R_vs1*kOhms*Vovp_nom/(Nas*(Vout_ovp-Vf-(DCR_Lout*mOhms*Iocc))-Vovp_nom)/kOhms</f>
        <v>36.634234234234206</v>
      </c>
      <c r="I59" s="160" t="s">
        <v>762</v>
      </c>
      <c r="J59" s="160"/>
      <c r="K59" s="160"/>
      <c r="L59" s="160"/>
      <c r="M59" s="160"/>
      <c r="N59" s="160"/>
      <c r="O59" s="160"/>
      <c r="P59" s="160"/>
      <c r="Q59" s="160"/>
      <c r="R59" s="160"/>
      <c r="S59" s="160"/>
      <c r="T59" s="160"/>
      <c r="U59" s="160"/>
      <c r="V59" s="160"/>
      <c r="W59" s="160"/>
      <c r="X59" s="160"/>
      <c r="Y59" s="160"/>
      <c r="Z59" s="160"/>
    </row>
    <row r="60" spans="1:26" ht="14.25" customHeight="1">
      <c r="A60" s="186">
        <v>590</v>
      </c>
      <c r="B60" s="186">
        <v>619</v>
      </c>
      <c r="C60" s="160"/>
      <c r="D60" s="160"/>
      <c r="E60" s="160"/>
      <c r="F60" s="160"/>
      <c r="G60" s="160"/>
      <c r="H60" s="160">
        <f>(IF((10^(LOG(H59)-INT(LOG(H59)))*100)-VLOOKUP((10^(LOG(H59)-INT(LOG(H59)))*100),E_48s:E_48f,1)&lt;VLOOKUP((10^(LOG(H59)-INT(LOG(H59)))*100),E_48s:E_48f,2)-(10^(LOG(H59)-INT(LOG(H59)))*100),VLOOKUP((10^(LOG(H59)-INT(LOG(H59)))*100),E_48s:E_48f,1),VLOOKUP((10^(LOG(H59)-INT(LOG(H59)))*100),E_48s:E_48f,2)))*10^INT(LOG(H59))/100</f>
        <v>36.5</v>
      </c>
      <c r="I60" s="160" t="s">
        <v>768</v>
      </c>
      <c r="J60" s="160"/>
      <c r="K60" s="160"/>
      <c r="L60" s="160"/>
      <c r="M60" s="160"/>
      <c r="N60" s="160"/>
      <c r="O60" s="160"/>
      <c r="P60" s="160"/>
      <c r="Q60" s="160"/>
      <c r="R60" s="160"/>
      <c r="S60" s="160"/>
      <c r="T60" s="160"/>
      <c r="U60" s="160"/>
      <c r="V60" s="160"/>
      <c r="W60" s="160"/>
      <c r="X60" s="160"/>
      <c r="Y60" s="160"/>
      <c r="Z60" s="160"/>
    </row>
    <row r="61" spans="1:26" ht="14.25" customHeight="1">
      <c r="A61" s="186">
        <v>619</v>
      </c>
      <c r="B61" s="186">
        <v>649</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4.25" customHeight="1">
      <c r="A62" s="186">
        <v>649</v>
      </c>
      <c r="B62" s="186">
        <v>681</v>
      </c>
      <c r="C62" s="160"/>
      <c r="D62" s="160"/>
      <c r="E62" s="160"/>
      <c r="F62" s="160"/>
      <c r="G62" s="201" t="s">
        <v>771</v>
      </c>
      <c r="H62" s="184">
        <f>((Klc*R_vs1*kOhms*Rcs*tdelay*ns*Npa)/(Lp*uH))/kOhms</f>
        <v>1.6137911111111114</v>
      </c>
      <c r="I62" s="160" t="s">
        <v>773</v>
      </c>
      <c r="J62" s="160"/>
      <c r="K62" s="160"/>
      <c r="L62" s="160"/>
      <c r="M62" s="160"/>
      <c r="N62" s="160"/>
      <c r="O62" s="160"/>
      <c r="P62" s="160"/>
      <c r="Q62" s="160"/>
      <c r="R62" s="160"/>
      <c r="S62" s="160"/>
      <c r="T62" s="160"/>
      <c r="U62" s="160"/>
      <c r="V62" s="160"/>
      <c r="W62" s="160"/>
      <c r="X62" s="160"/>
      <c r="Y62" s="160"/>
      <c r="Z62" s="160"/>
    </row>
    <row r="63" spans="1:26" ht="14.25" customHeight="1">
      <c r="A63" s="186">
        <v>681</v>
      </c>
      <c r="B63" s="186">
        <v>715</v>
      </c>
      <c r="C63" s="160"/>
      <c r="D63" s="160"/>
      <c r="E63" s="160"/>
      <c r="F63" s="160"/>
      <c r="G63" s="160"/>
      <c r="H63" s="160">
        <f>(IF((10^(LOG(H62)-INT(LOG(H62)))*100)-VLOOKUP((10^(LOG(H62)-INT(LOG(H62)))*100),E_48s:E_48f,1)&lt;VLOOKUP((10^(LOG(H62)-INT(LOG(H62)))*100),E_48s:E_48f,2)-(10^(LOG(H62)-INT(LOG(H62)))*100),VLOOKUP((10^(LOG(H62)-INT(LOG(H62)))*100),E_48s:E_48f,1),VLOOKUP((10^(LOG(H62)-INT(LOG(H62)))*100),E_48s:E_48f,2)))*10^INT(LOG(H62))/100</f>
        <v>1.62</v>
      </c>
      <c r="I63" s="160" t="s">
        <v>779</v>
      </c>
      <c r="J63" s="160"/>
      <c r="K63" s="160"/>
      <c r="L63" s="160"/>
      <c r="M63" s="160"/>
      <c r="N63" s="160"/>
      <c r="O63" s="160"/>
      <c r="P63" s="160"/>
      <c r="Q63" s="160"/>
      <c r="R63" s="160"/>
      <c r="S63" s="160"/>
      <c r="T63" s="160"/>
      <c r="U63" s="160"/>
      <c r="V63" s="160"/>
      <c r="W63" s="160"/>
      <c r="X63" s="160"/>
      <c r="Y63" s="160"/>
      <c r="Z63" s="160"/>
    </row>
    <row r="64" spans="1:26" ht="14.25" customHeight="1">
      <c r="A64" s="186">
        <v>715</v>
      </c>
      <c r="B64" s="186">
        <v>750</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4.25" customHeight="1">
      <c r="A65" s="186">
        <v>750</v>
      </c>
      <c r="B65" s="186">
        <v>787</v>
      </c>
      <c r="C65" s="160"/>
      <c r="D65" s="160"/>
      <c r="E65" s="160"/>
      <c r="F65" s="160"/>
      <c r="G65" s="201" t="s">
        <v>780</v>
      </c>
      <c r="H65" s="184">
        <f>Vref431/((Iref431*uA*15)-Iref431*uA)/kOhms</f>
        <v>44.553571428571438</v>
      </c>
      <c r="I65" s="160" t="s">
        <v>782</v>
      </c>
      <c r="J65" s="160"/>
      <c r="K65" s="160"/>
      <c r="L65" s="160"/>
      <c r="M65" s="160"/>
      <c r="N65" s="160"/>
      <c r="O65" s="160"/>
      <c r="P65" s="160"/>
      <c r="Q65" s="160"/>
      <c r="R65" s="160"/>
      <c r="S65" s="160"/>
      <c r="T65" s="160"/>
      <c r="U65" s="160"/>
      <c r="V65" s="160"/>
      <c r="W65" s="160"/>
      <c r="X65" s="160"/>
      <c r="Y65" s="160"/>
      <c r="Z65" s="160"/>
    </row>
    <row r="66" spans="1:26" ht="14.25" customHeight="1">
      <c r="A66" s="186">
        <v>787</v>
      </c>
      <c r="B66" s="186">
        <v>825</v>
      </c>
      <c r="C66" s="160"/>
      <c r="D66" s="160"/>
      <c r="E66" s="160"/>
      <c r="F66" s="160"/>
      <c r="G66" s="160"/>
      <c r="H66" s="160">
        <f>(IF((10^(LOG(H65)-INT(LOG(H65)))*100)-VLOOKUP((10^(LOG(H65)-INT(LOG(H65)))*100),E_48s:E_48f,1)&lt;VLOOKUP((10^(LOG(H65)-INT(LOG(H65)))*100),E_48s:E_48f,2)-(10^(LOG(H65)-INT(LOG(H65)))*100),VLOOKUP((10^(LOG(H65)-INT(LOG(H65)))*100),E_48s:E_48f,1),VLOOKUP((10^(LOG(H65)-INT(LOG(H65)))*100),E_48s:E_48f,2)))*10^INT(LOG(H65))/100</f>
        <v>44.2</v>
      </c>
      <c r="I66" s="160" t="s">
        <v>788</v>
      </c>
      <c r="J66" s="160"/>
      <c r="K66" s="160"/>
      <c r="L66" s="160"/>
      <c r="M66" s="160"/>
      <c r="N66" s="160"/>
      <c r="O66" s="160"/>
      <c r="P66" s="160"/>
      <c r="Q66" s="160"/>
      <c r="R66" s="160"/>
      <c r="S66" s="160"/>
      <c r="T66" s="160"/>
      <c r="U66" s="160"/>
      <c r="V66" s="160"/>
      <c r="W66" s="160"/>
      <c r="X66" s="160"/>
      <c r="Y66" s="160"/>
      <c r="Z66" s="160"/>
    </row>
    <row r="67" spans="1:26" ht="14.25" customHeight="1">
      <c r="A67" s="186">
        <v>825</v>
      </c>
      <c r="B67" s="186">
        <v>866</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4.25" customHeight="1">
      <c r="A68" s="186">
        <v>866</v>
      </c>
      <c r="B68" s="186">
        <v>909</v>
      </c>
      <c r="C68" s="160"/>
      <c r="D68" s="160"/>
      <c r="E68" s="160"/>
      <c r="F68" s="160"/>
      <c r="G68" s="201" t="s">
        <v>791</v>
      </c>
      <c r="H68" s="184">
        <f>(Vout_cv-Vref431)/(Vref431/(R_fb2*kOhms))/kOhms</f>
        <v>664.41723446893786</v>
      </c>
      <c r="I68" s="160" t="s">
        <v>793</v>
      </c>
      <c r="J68" s="160"/>
      <c r="K68" s="160"/>
      <c r="L68" s="160"/>
      <c r="M68" s="160"/>
      <c r="N68" s="160"/>
      <c r="O68" s="160"/>
      <c r="P68" s="160"/>
      <c r="Q68" s="160"/>
      <c r="R68" s="160"/>
      <c r="S68" s="160"/>
      <c r="T68" s="160"/>
      <c r="U68" s="160"/>
      <c r="V68" s="160"/>
      <c r="W68" s="160"/>
      <c r="X68" s="160"/>
      <c r="Y68" s="160"/>
      <c r="Z68" s="160"/>
    </row>
    <row r="69" spans="1:26" ht="14.25" customHeight="1">
      <c r="A69" s="186">
        <v>909</v>
      </c>
      <c r="B69" s="186">
        <v>953</v>
      </c>
      <c r="C69" s="160"/>
      <c r="D69" s="160"/>
      <c r="E69" s="160"/>
      <c r="F69" s="160"/>
      <c r="G69" s="160"/>
      <c r="H69" s="160">
        <f>(IF((10^(LOG(H68)-INT(LOG(H68)))*100)-VLOOKUP((10^(LOG(H68)-INT(LOG(H68)))*100),E_48s:E_48f,1)&lt;VLOOKUP((10^(LOG(H68)-INT(LOG(H68)))*100),E_48s:E_48f,2)-(10^(LOG(H68)-INT(LOG(H68)))*100),VLOOKUP((10^(LOG(H68)-INT(LOG(H68)))*100),E_48s:E_48f,1),VLOOKUP((10^(LOG(H68)-INT(LOG(H68)))*100),E_48s:E_48f,2)))*10^INT(LOG(H68))/100</f>
        <v>649</v>
      </c>
      <c r="I69" s="160" t="s">
        <v>799</v>
      </c>
      <c r="J69" s="160"/>
      <c r="K69" s="160"/>
      <c r="L69" s="160"/>
      <c r="M69" s="160"/>
      <c r="N69" s="160"/>
      <c r="O69" s="160"/>
      <c r="P69" s="160"/>
      <c r="Q69" s="160"/>
      <c r="R69" s="160"/>
      <c r="S69" s="160"/>
      <c r="T69" s="160"/>
      <c r="U69" s="160"/>
      <c r="V69" s="160"/>
      <c r="W69" s="160"/>
      <c r="X69" s="160"/>
      <c r="Y69" s="160"/>
      <c r="Z69" s="160"/>
    </row>
    <row r="70" spans="1:26" ht="14.25" customHeight="1">
      <c r="A70" s="186">
        <v>953</v>
      </c>
      <c r="B70" s="186">
        <v>1000</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4.2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4.2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4.25" customHeight="1">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4.25"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4.25" customHeight="1">
      <c r="A75" s="160" t="s">
        <v>800</v>
      </c>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4.25" customHeight="1">
      <c r="A76" s="160"/>
      <c r="B76" s="160"/>
      <c r="C76" s="160"/>
      <c r="D76" s="364" t="s">
        <v>801</v>
      </c>
      <c r="E76" s="222"/>
      <c r="F76" s="223"/>
      <c r="G76" s="160" t="s">
        <v>802</v>
      </c>
      <c r="H76" s="160"/>
      <c r="I76" s="160"/>
      <c r="J76" s="160" t="s">
        <v>804</v>
      </c>
      <c r="K76" s="160"/>
      <c r="L76" s="160"/>
      <c r="M76" s="160"/>
      <c r="N76" s="160"/>
      <c r="O76" s="160"/>
      <c r="P76" s="160"/>
      <c r="Q76" s="160"/>
      <c r="R76" s="160"/>
      <c r="S76" s="160"/>
      <c r="T76" s="160"/>
      <c r="U76" s="160"/>
      <c r="V76" s="160"/>
      <c r="W76" s="160"/>
      <c r="X76" s="160"/>
      <c r="Y76" s="160"/>
      <c r="Z76" s="160"/>
    </row>
    <row r="77" spans="1:26" ht="14.25" customHeight="1">
      <c r="A77" s="365" t="s">
        <v>806</v>
      </c>
      <c r="B77" s="160" t="s">
        <v>807</v>
      </c>
      <c r="C77" s="46" t="s">
        <v>808</v>
      </c>
      <c r="D77" s="160" t="s">
        <v>809</v>
      </c>
      <c r="E77" s="160"/>
      <c r="F77" s="160"/>
      <c r="G77" s="160" t="s">
        <v>809</v>
      </c>
      <c r="H77" s="160"/>
      <c r="I77" s="160"/>
      <c r="J77" s="160" t="s">
        <v>809</v>
      </c>
      <c r="K77" s="160"/>
      <c r="L77" s="160"/>
      <c r="M77" s="160"/>
      <c r="N77" s="160"/>
      <c r="O77" s="160"/>
      <c r="P77" s="160"/>
      <c r="Q77" s="160"/>
      <c r="R77" s="160"/>
      <c r="S77" s="160"/>
      <c r="T77" s="160"/>
      <c r="U77" s="160"/>
      <c r="V77" s="160"/>
      <c r="W77" s="160"/>
      <c r="X77" s="160"/>
      <c r="Y77" s="160"/>
      <c r="Z77" s="160"/>
    </row>
    <row r="78" spans="1:26" ht="14.25" customHeight="1">
      <c r="A78" s="366"/>
      <c r="B78" s="160" t="s">
        <v>41</v>
      </c>
      <c r="C78" s="160" t="s">
        <v>810</v>
      </c>
      <c r="D78" s="160"/>
      <c r="E78" s="160" t="s">
        <v>811</v>
      </c>
      <c r="F78" s="160" t="s">
        <v>812</v>
      </c>
      <c r="G78" s="160"/>
      <c r="H78" s="160" t="s">
        <v>811</v>
      </c>
      <c r="I78" s="160" t="s">
        <v>812</v>
      </c>
      <c r="J78" s="160"/>
      <c r="K78" s="160" t="s">
        <v>811</v>
      </c>
      <c r="L78" s="160" t="s">
        <v>812</v>
      </c>
      <c r="M78" s="160"/>
      <c r="N78" s="160"/>
      <c r="O78" s="160"/>
      <c r="P78" s="160"/>
      <c r="Q78" s="160"/>
      <c r="R78" s="160"/>
      <c r="S78" s="160"/>
      <c r="T78" s="160"/>
      <c r="U78" s="160" t="s">
        <v>813</v>
      </c>
      <c r="V78" s="160"/>
      <c r="W78" s="160">
        <f>VLOOKUP(75,R79:S109,2,FALSE)</f>
        <v>794.32823472428208</v>
      </c>
      <c r="X78" s="160"/>
      <c r="Y78" s="160"/>
      <c r="Z78" s="160"/>
    </row>
    <row r="79" spans="1:26" ht="14.25" customHeight="1">
      <c r="A79" s="203">
        <v>1</v>
      </c>
      <c r="B79" s="160">
        <f t="shared" ref="B79:B109" si="3">10^A79</f>
        <v>10</v>
      </c>
      <c r="C79" s="160">
        <f t="shared" ref="C79:C109" si="4">2*PI()*B79</f>
        <v>62.831853071795862</v>
      </c>
      <c r="D79" s="160" t="str">
        <f>IMDIV(((CTRmin/100)*0.1),COMPLEX(1,'LOOKUP TABLES AND DROPDOWN LIST'!C79*((Copto*nF)+(Cext*uF))*((R_fb4*kOhms*Requ*kOhms)/((R_fb4*kOhms)+(Requ*kOhms)))))</f>
        <v>0.0499990934607654-0.000212899365703904i</v>
      </c>
      <c r="E79" s="160">
        <f t="shared" ref="E79:E109" si="5">20*LOG(IMABS(D79))</f>
        <v>-26.020678654990892</v>
      </c>
      <c r="F79" s="160">
        <f t="shared" ref="F79:F109" si="6">180/PI()*IMARGUMENT(D79)</f>
        <v>-0.24396765120735198</v>
      </c>
      <c r="G79" s="160" t="str">
        <f>IMDIV((Vout_cv/(2*Iocc)),COMPLEX(1,'LOOKUP TABLES AND DROPDOWN LIST'!C79*(Cout*uF)*(Vout_cv/(2*Iocc))))</f>
        <v>12.4687852589635-5.47707996976701i</v>
      </c>
      <c r="H79" s="160">
        <f t="shared" ref="H79:H109" si="7">20*LOG(IMABS(G79))</f>
        <v>22.682713557295287</v>
      </c>
      <c r="I79" s="160">
        <f t="shared" ref="I79:I109" si="8">180/PI()*IMARGUMENT(G79)</f>
        <v>-23.714122260666233</v>
      </c>
      <c r="J79" s="160" t="str">
        <f>IMPRODUCT((1/(R_tl*kOhms)),G_fb1,(G_fb2*kOhms),(K_fm4*kHz),(G_p4*uC),'LOOKUP TABLES AND DROPDOWN LIST'!D79,'LOOKUP TABLES AND DROPDOWN LIST'!G79)</f>
        <v>-554.575950583564+246.427211969134i</v>
      </c>
      <c r="K79" s="160">
        <f t="shared" ref="K79:K109" si="9">20*LOG(IMABS(J79))</f>
        <v>55.661791436392917</v>
      </c>
      <c r="L79" s="160">
        <f t="shared" ref="L79:L109" si="10">180/PI()*IMARGUMENT(J79)</f>
        <v>156.04191008812643</v>
      </c>
      <c r="M79" s="160"/>
      <c r="N79" s="160"/>
      <c r="O79" s="160"/>
      <c r="P79" s="160"/>
      <c r="Q79" s="160"/>
      <c r="R79" s="160">
        <f>MROUND(L109,5)</f>
        <v>15</v>
      </c>
      <c r="S79" s="160">
        <f>B109</f>
        <v>10000</v>
      </c>
      <c r="T79" s="160"/>
      <c r="U79" s="160"/>
      <c r="V79" s="160"/>
      <c r="W79" s="160"/>
      <c r="X79" s="160"/>
      <c r="Y79" s="160"/>
      <c r="Z79" s="160"/>
    </row>
    <row r="80" spans="1:26" ht="14.25" customHeight="1">
      <c r="A80" s="203">
        <v>1.1000000000000001</v>
      </c>
      <c r="B80" s="160">
        <f t="shared" si="3"/>
        <v>12.58925411794168</v>
      </c>
      <c r="C80" s="160">
        <f t="shared" si="4"/>
        <v>79.100616502201262</v>
      </c>
      <c r="D80" s="160" t="str">
        <f>IMDIV(((CTRmin/100)*0.1),COMPLEX(1,'LOOKUP TABLES AND DROPDOWN LIST'!C80*((Copto*nF)+(Cext*uF))*((R_fb4*kOhms*Requ*kOhms)/((R_fb4*kOhms)+(Requ*kOhms)))))</f>
        <v>0.0499985632473745-0.000268021579385224i</v>
      </c>
      <c r="E80" s="160">
        <f t="shared" si="5"/>
        <v>-26.020724709820072</v>
      </c>
      <c r="F80" s="160">
        <f t="shared" si="6"/>
        <v>-0.30713599007915565</v>
      </c>
      <c r="G80" s="160" t="str">
        <f>IMDIV((Vout_cv/(2*Iocc)),COMPLEX(1,'LOOKUP TABLES AND DROPDOWN LIST'!C80*(Cout*uF)*(Vout_cv/(2*Iocc))))</f>
        <v>11.3911519196832-6.29930418696326i</v>
      </c>
      <c r="H80" s="160">
        <f t="shared" si="7"/>
        <v>22.290148541992231</v>
      </c>
      <c r="I80" s="160">
        <f t="shared" si="8"/>
        <v>-28.942582912915991</v>
      </c>
      <c r="J80" s="160" t="str">
        <f>IMPRODUCT((1/(R_tl*kOhms)),G_fb1,(G_fb2*kOhms),(K_fm4*kHz),(G_p4*uC),'LOOKUP TABLES AND DROPDOWN LIST'!D80,'LOOKUP TABLES AND DROPDOWN LIST'!G80)</f>
        <v>-506.085226460772+283.418083210814i</v>
      </c>
      <c r="K80" s="160">
        <f t="shared" si="9"/>
        <v>55.269180366260677</v>
      </c>
      <c r="L80" s="160">
        <f t="shared" si="10"/>
        <v>150.75028109700483</v>
      </c>
      <c r="M80" s="160"/>
      <c r="N80" s="160"/>
      <c r="O80" s="160"/>
      <c r="P80" s="160"/>
      <c r="Q80" s="160"/>
      <c r="R80" s="160">
        <f>MROUND(L108,5)</f>
        <v>15</v>
      </c>
      <c r="S80" s="160">
        <f>B108</f>
        <v>7943.2823472428154</v>
      </c>
      <c r="T80" s="160"/>
      <c r="U80" s="160"/>
      <c r="V80" s="160"/>
      <c r="W80" s="160"/>
      <c r="X80" s="160"/>
      <c r="Y80" s="160"/>
      <c r="Z80" s="160"/>
    </row>
    <row r="81" spans="1:26" ht="14.25" customHeight="1">
      <c r="A81" s="203">
        <v>1.2</v>
      </c>
      <c r="B81" s="160">
        <f t="shared" si="3"/>
        <v>15.848931924611136</v>
      </c>
      <c r="C81" s="160">
        <f t="shared" si="4"/>
        <v>99.581776203206175</v>
      </c>
      <c r="D81" s="160" t="str">
        <f>IMDIV(((CTRmin/100)*0.1),COMPLEX(1,'LOOKUP TABLES AND DROPDOWN LIST'!C81*((Copto*nF)+(Cext*uF))*((R_fb4*kOhms*Requ*kOhms)/((R_fb4*kOhms)+(Requ*kOhms)))))</f>
        <v>0.049997722938815-0.000337413506309858i</v>
      </c>
      <c r="E81" s="160">
        <f t="shared" si="5"/>
        <v>-26.020797700804927</v>
      </c>
      <c r="F81" s="160">
        <f t="shared" si="6"/>
        <v>-0.38665913660342099</v>
      </c>
      <c r="G81" s="160" t="str">
        <f>IMDIV((Vout_cv/(2*Iocc)),COMPLEX(1,'LOOKUP TABLES AND DROPDOWN LIST'!C81*(Cout*uF)*(Vout_cv/(2*Iocc))))</f>
        <v>10.0188080976378-6.97494832925116i</v>
      </c>
      <c r="H81" s="160">
        <f t="shared" si="7"/>
        <v>21.732632683895488</v>
      </c>
      <c r="I81" s="160">
        <f t="shared" si="8"/>
        <v>-34.84507385438647</v>
      </c>
      <c r="J81" s="160" t="str">
        <f>IMPRODUCT((1/(R_tl*kOhms)),G_fb1,(G_fb2*kOhms),(K_fm4*kHz),(G_p4*uC),'LOOKUP TABLES AND DROPDOWN LIST'!D81,'LOOKUP TABLES AND DROPDOWN LIST'!G81)</f>
        <v>-444.333311254901+313.811367646427i</v>
      </c>
      <c r="K81" s="160">
        <f t="shared" si="9"/>
        <v>54.711591517179073</v>
      </c>
      <c r="L81" s="160">
        <f t="shared" si="10"/>
        <v>144.76826700901012</v>
      </c>
      <c r="M81" s="160"/>
      <c r="N81" s="160"/>
      <c r="O81" s="160"/>
      <c r="P81" s="160"/>
      <c r="Q81" s="160"/>
      <c r="R81" s="160">
        <f>MROUND(L107,5)</f>
        <v>20</v>
      </c>
      <c r="S81" s="160">
        <f>B107</f>
        <v>6309.5734448019384</v>
      </c>
      <c r="T81" s="160"/>
      <c r="U81" s="160"/>
      <c r="V81" s="160"/>
      <c r="W81" s="184">
        <f>(1/((2*PI()*'LOOKUP TABLES AND DROPDOWN LIST'!W78*R_fb1*kOhms)))/pF</f>
        <v>308.71807073902414</v>
      </c>
      <c r="X81" s="160" t="s">
        <v>213</v>
      </c>
      <c r="Y81" s="160"/>
      <c r="Z81" s="160"/>
    </row>
    <row r="82" spans="1:26" ht="14.25" customHeight="1">
      <c r="A82" s="203">
        <v>1.3</v>
      </c>
      <c r="B82" s="160">
        <f t="shared" si="3"/>
        <v>19.952623149688804</v>
      </c>
      <c r="C82" s="160">
        <f t="shared" si="4"/>
        <v>125.36602861381597</v>
      </c>
      <c r="D82" s="160" t="str">
        <f>IMDIV(((CTRmin/100)*0.1),COMPLEX(1,'LOOKUP TABLES AND DROPDOWN LIST'!C82*((Copto*nF)+(Cext*uF))*((R_fb4*kOhms*Requ*kOhms)/((R_fb4*kOhms)+(Requ*kOhms)))))</f>
        <v>0.0499963911973559-0.00042476712295966i</v>
      </c>
      <c r="E82" s="160">
        <f t="shared" si="5"/>
        <v>-26.020913381207119</v>
      </c>
      <c r="F82" s="160">
        <f t="shared" si="6"/>
        <v>-0.48677069078021634</v>
      </c>
      <c r="G82" s="160" t="str">
        <f>IMDIV((Vout_cv/(2*Iocc)),COMPLEX(1,'LOOKUP TABLES AND DROPDOWN LIST'!C82*(Cout*uF)*(Vout_cv/(2*Iocc))))</f>
        <v>8.41252634771044-7.37312121803356i</v>
      </c>
      <c r="H82" s="160">
        <f t="shared" si="7"/>
        <v>20.973736477001825</v>
      </c>
      <c r="I82" s="160">
        <f t="shared" si="8"/>
        <v>-41.232800448816832</v>
      </c>
      <c r="J82" s="160" t="str">
        <f>IMPRODUCT((1/(R_tl*kOhms)),G_fb1,(G_fb2*kOhms),(K_fm4*kHz),(G_p4*uC),'LOOKUP TABLES AND DROPDOWN LIST'!D82,'LOOKUP TABLES AND DROPDOWN LIST'!G82)</f>
        <v>-372.054840787597+331.716811993486i</v>
      </c>
      <c r="K82" s="160">
        <f t="shared" si="9"/>
        <v>53.952579629883218</v>
      </c>
      <c r="L82" s="160">
        <f t="shared" si="10"/>
        <v>138.28042886040296</v>
      </c>
      <c r="M82" s="160"/>
      <c r="N82" s="160"/>
      <c r="O82" s="160"/>
      <c r="P82" s="160"/>
      <c r="Q82" s="160"/>
      <c r="R82" s="160">
        <f>MROUND(L106,5)</f>
        <v>25</v>
      </c>
      <c r="S82" s="160">
        <f>B106</f>
        <v>5011.8723362727324</v>
      </c>
      <c r="T82" s="160"/>
      <c r="U82" s="160"/>
      <c r="V82" s="160"/>
      <c r="W82" s="160">
        <f>(IF(W81&lt;10000,W83*10^INT(LOG(W81)),W84*10^INT(LOG(W81))))</f>
        <v>330</v>
      </c>
      <c r="X82" s="160" t="s">
        <v>213</v>
      </c>
      <c r="Y82" s="160"/>
      <c r="Z82" s="160"/>
    </row>
    <row r="83" spans="1:26" ht="14.25" customHeight="1">
      <c r="A83" s="203">
        <v>1.4</v>
      </c>
      <c r="B83" s="160">
        <f t="shared" si="3"/>
        <v>25.118864315095799</v>
      </c>
      <c r="C83" s="160">
        <f t="shared" si="4"/>
        <v>157.82647919764753</v>
      </c>
      <c r="D83" s="160" t="str">
        <f>IMDIV(((CTRmin/100)*0.1),COMPLEX(1,'LOOKUP TABLES AND DROPDOWN LIST'!C83*((Copto*nF)+(Cext*uF))*((R_fb4*kOhms*Requ*kOhms)/((R_fb4*kOhms)+(Requ*kOhms)))))</f>
        <v>0.0499942806746994-0.000534727551514237i</v>
      </c>
      <c r="E83" s="160">
        <f t="shared" si="5"/>
        <v>-26.021096715977578</v>
      </c>
      <c r="F83" s="160">
        <f t="shared" si="6"/>
        <v>-0.61279936918783995</v>
      </c>
      <c r="G83" s="160" t="str">
        <f>IMDIV((Vout_cv/(2*Iocc)),COMPLEX(1,'LOOKUP TABLES AND DROPDOWN LIST'!C83*(Cout*uF)*(Vout_cv/(2*Iocc))))</f>
        <v>6.70801564107497-7.40148738288i</v>
      </c>
      <c r="H83" s="160">
        <f t="shared" si="7"/>
        <v>19.990412768516713</v>
      </c>
      <c r="I83" s="160">
        <f t="shared" si="8"/>
        <v>-47.813781361197016</v>
      </c>
      <c r="J83" s="160" t="str">
        <f>IMPRODUCT((1/(R_tl*kOhms)),G_fb1,(G_fb2*kOhms),(K_fm4*kHz),(G_p4*uC),'LOOKUP TABLES AND DROPDOWN LIST'!D83,'LOOKUP TABLES AND DROPDOWN LIST'!G83)</f>
        <v>-295.356415106845+332.97894928976i</v>
      </c>
      <c r="K83" s="160">
        <f t="shared" si="9"/>
        <v>52.969072586627647</v>
      </c>
      <c r="L83" s="160">
        <f t="shared" si="10"/>
        <v>131.57341926961519</v>
      </c>
      <c r="M83" s="160"/>
      <c r="N83" s="160"/>
      <c r="O83" s="160"/>
      <c r="P83" s="160"/>
      <c r="Q83" s="160"/>
      <c r="R83" s="160">
        <f>MROUND(L105,5)</f>
        <v>30</v>
      </c>
      <c r="S83" s="160">
        <v>3981.0717055349769</v>
      </c>
      <c r="T83" s="160"/>
      <c r="U83" s="160"/>
      <c r="V83" s="160"/>
      <c r="W83" s="160">
        <f>IF((10^(LOG(W81)-INT(LOG(W81))))-VLOOKUP((10^(LOG(W81)-INT(LOG(W81)))),C_s1:C_f1,1)&lt;VLOOKUP((10^(LOG(W81)-INT(LOG(W81)))),C_s1:C_f1,2)-(10^(LOG(W81)-INT(LOG(W81)))),VLOOKUP((10^(LOG(W81)-INT(LOG(W81)))),C_s1:C_f1,1),VLOOKUP((10^(LOG(W81)-INT(LOG(W81)))),C_s1:C_f1,2))</f>
        <v>3.3</v>
      </c>
      <c r="X83" s="160"/>
      <c r="Y83" s="160"/>
      <c r="Z83" s="160"/>
    </row>
    <row r="84" spans="1:26" ht="14.25" customHeight="1">
      <c r="A84" s="203">
        <v>1.5</v>
      </c>
      <c r="B84" s="160">
        <f t="shared" si="3"/>
        <v>31.622776601683803</v>
      </c>
      <c r="C84" s="160">
        <f t="shared" si="4"/>
        <v>198.69176531592208</v>
      </c>
      <c r="D84" s="160" t="str">
        <f>IMDIV(((CTRmin/100)*0.1),COMPLEX(1,'LOOKUP TABLES AND DROPDOWN LIST'!C84*((Copto*nF)+(Cext*uF))*((R_fb4*kOhms*Requ*kOhms)/((R_fb4*kOhms)+(Requ*kOhms)))))</f>
        <v>0.0499909360866766-0.000673137067500321i</v>
      </c>
      <c r="E84" s="160">
        <f t="shared" si="5"/>
        <v>-26.021387266154928</v>
      </c>
      <c r="F84" s="160">
        <f t="shared" si="6"/>
        <v>-0.77145149387824985</v>
      </c>
      <c r="G84" s="160" t="str">
        <f>IMDIV((Vout_cv/(2*Iocc)),COMPLEX(1,'LOOKUP TABLES AND DROPDOWN LIST'!C84*(Cout*uF)*(Vout_cv/(2*Iocc))))</f>
        <v>5.07750494773388-7.05302286603632i</v>
      </c>
      <c r="H84" s="160">
        <f t="shared" si="7"/>
        <v>18.78097565544147</v>
      </c>
      <c r="I84" s="160">
        <f t="shared" si="8"/>
        <v>-54.24970557827244</v>
      </c>
      <c r="J84" s="160" t="str">
        <f>IMPRODUCT((1/(R_tl*kOhms)),G_fb1,(G_fb2*kOhms),(K_fm4*kHz),(G_p4*uC),'LOOKUP TABLES AND DROPDOWN LIST'!D84,'LOOKUP TABLES AND DROPDOWN LIST'!G84)</f>
        <v>-221.987964250541+317.28096096812i</v>
      </c>
      <c r="K84" s="160">
        <f t="shared" si="9"/>
        <v>51.759344923375075</v>
      </c>
      <c r="L84" s="160">
        <f t="shared" si="10"/>
        <v>124.97884292784936</v>
      </c>
      <c r="M84" s="160"/>
      <c r="N84" s="160"/>
      <c r="O84" s="160"/>
      <c r="P84" s="160"/>
      <c r="Q84" s="160"/>
      <c r="R84" s="160">
        <f>MROUND(L104,5)</f>
        <v>35</v>
      </c>
      <c r="S84" s="160">
        <f>B104</f>
        <v>3162.2776601683804</v>
      </c>
      <c r="T84" s="160"/>
      <c r="U84" s="160"/>
      <c r="V84" s="160"/>
      <c r="W84" s="160">
        <f>IF((10^(LOG(W81)-INT(LOG(W81))))-VLOOKUP((10^(LOG(W81)-INT(LOG(W81)))),C_s2:C_f2,1)&lt;VLOOKUP((10^(LOG(W81)-INT(LOG(W81)))),C_s2:C_f2,2)-(10^(LOG(W81)-INT(LOG(W81)))),VLOOKUP((10^(LOG(W81)-INT(LOG(W81)))),C_s2:C_f2,1),VLOOKUP((10^(LOG(W81)-INT(LOG(W81)))),C_s2:C_f2,2))</f>
        <v>3.3</v>
      </c>
      <c r="X84" s="160"/>
      <c r="Y84" s="160"/>
      <c r="Z84" s="160"/>
    </row>
    <row r="85" spans="1:26" ht="14.25" customHeight="1">
      <c r="A85" s="203">
        <v>1.6</v>
      </c>
      <c r="B85" s="160">
        <f t="shared" si="3"/>
        <v>39.810717055349755</v>
      </c>
      <c r="C85" s="160">
        <f t="shared" si="4"/>
        <v>250.13811247045734</v>
      </c>
      <c r="D85" s="160" t="str">
        <f>IMDIV(((CTRmin/100)*0.1),COMPLEX(1,'LOOKUP TABLES AND DROPDOWN LIST'!C85*((Copto*nF)+(Cext*uF))*((R_fb4*kOhms*Requ*kOhms)/((R_fb4*kOhms)+(Requ*kOhms)))))</f>
        <v>0.0499856361884491-0.000847339517823097i</v>
      </c>
      <c r="E85" s="160">
        <f t="shared" si="5"/>
        <v>-26.021847717339558</v>
      </c>
      <c r="F85" s="160">
        <f t="shared" si="6"/>
        <v>-0.9711655660325168</v>
      </c>
      <c r="G85" s="160" t="str">
        <f>IMDIV((Vout_cv/(2*Iocc)),COMPLEX(1,'LOOKUP TABLES AND DROPDOWN LIST'!C85*(Cout*uF)*(Vout_cv/(2*Iocc))))</f>
        <v>3.665437589-6.40989279133747i</v>
      </c>
      <c r="H85" s="160">
        <f t="shared" si="7"/>
        <v>17.365730394933287</v>
      </c>
      <c r="I85" s="160">
        <f t="shared" si="8"/>
        <v>-60.237321066598255</v>
      </c>
      <c r="J85" s="160" t="str">
        <f>IMPRODUCT((1/(R_tl*kOhms)),G_fb1,(G_fb2*kOhms),(K_fm4*kHz),(G_p4*uC),'LOOKUP TABLES AND DROPDOWN LIST'!D85,'LOOKUP TABLES AND DROPDOWN LIST'!G85)</f>
        <v>-158.449168383546+288.319118213611i</v>
      </c>
      <c r="K85" s="160">
        <f t="shared" si="9"/>
        <v>50.343639211682259</v>
      </c>
      <c r="L85" s="160">
        <f t="shared" si="10"/>
        <v>118.79151336736928</v>
      </c>
      <c r="M85" s="160"/>
      <c r="N85" s="160"/>
      <c r="O85" s="160"/>
      <c r="P85" s="160"/>
      <c r="Q85" s="160"/>
      <c r="R85" s="160">
        <f>MROUND(L103,5)</f>
        <v>45</v>
      </c>
      <c r="S85" s="160">
        <f>B103</f>
        <v>2511.8864315095811</v>
      </c>
      <c r="T85" s="160"/>
      <c r="U85" s="160"/>
      <c r="V85" s="160"/>
      <c r="W85" s="160"/>
      <c r="X85" s="160"/>
      <c r="Y85" s="160"/>
      <c r="Z85" s="160"/>
    </row>
    <row r="86" spans="1:26" ht="14.25" customHeight="1">
      <c r="A86" s="203">
        <v>1.7</v>
      </c>
      <c r="B86" s="160">
        <f t="shared" si="3"/>
        <v>50.118723362727238</v>
      </c>
      <c r="C86" s="160">
        <f t="shared" si="4"/>
        <v>314.90522624728607</v>
      </c>
      <c r="D86" s="160" t="str">
        <f>IMDIV(((CTRmin/100)*0.1),COMPLEX(1,'LOOKUP TABLES AND DROPDOWN LIST'!C86*((Copto*nF)+(Cext*uF))*((R_fb4*kOhms*Requ*kOhms)/((R_fb4*kOhms)+(Requ*kOhms)))))</f>
        <v>0.0499772387173404-0.00106655804201733i</v>
      </c>
      <c r="E86" s="160">
        <f t="shared" si="5"/>
        <v>-26.022577383303339</v>
      </c>
      <c r="F86" s="160">
        <f t="shared" si="6"/>
        <v>-1.2225565368569253</v>
      </c>
      <c r="G86" s="160" t="str">
        <f>IMDIV((Vout_cv/(2*Iocc)),COMPLEX(1,'LOOKUP TABLES AND DROPDOWN LIST'!C86*(Cout*uF)*(Vout_cv/(2*Iocc))))</f>
        <v>2.54409488163595-5.60090544320285i</v>
      </c>
      <c r="H86" s="160">
        <f t="shared" si="7"/>
        <v>15.779805144981244</v>
      </c>
      <c r="I86" s="160">
        <f t="shared" si="8"/>
        <v>-65.571063607915789</v>
      </c>
      <c r="J86" s="160" t="str">
        <f>IMPRODUCT((1/(R_tl*kOhms)),G_fb1,(G_fb2*kOhms),(K_fm4*kHz),(G_p4*uC),'LOOKUP TABLES AND DROPDOWN LIST'!D86,'LOOKUP TABLES AND DROPDOWN LIST'!G86)</f>
        <v>-107.992653391622+251.888273392069i</v>
      </c>
      <c r="K86" s="160">
        <f t="shared" si="9"/>
        <v>48.756984295766443</v>
      </c>
      <c r="L86" s="160">
        <f t="shared" si="10"/>
        <v>113.20637985522734</v>
      </c>
      <c r="M86" s="160"/>
      <c r="N86" s="160"/>
      <c r="O86" s="160"/>
      <c r="P86" s="160"/>
      <c r="Q86" s="160"/>
      <c r="R86" s="160">
        <f>MROUND(L102,5)</f>
        <v>50</v>
      </c>
      <c r="S86" s="160">
        <f>B102</f>
        <v>1995.2623149688804</v>
      </c>
      <c r="T86" s="160"/>
      <c r="U86" s="160"/>
      <c r="V86" s="160"/>
      <c r="W86" s="160"/>
      <c r="X86" s="160"/>
      <c r="Y86" s="160"/>
      <c r="Z86" s="160"/>
    </row>
    <row r="87" spans="1:26" ht="14.25" customHeight="1">
      <c r="A87" s="203">
        <v>1.8</v>
      </c>
      <c r="B87" s="160">
        <f t="shared" si="3"/>
        <v>63.095734448019364</v>
      </c>
      <c r="C87" s="160">
        <f t="shared" si="4"/>
        <v>396.44219162950014</v>
      </c>
      <c r="D87" s="160" t="str">
        <f>IMDIV(((CTRmin/100)*0.1),COMPLEX(1,'LOOKUP TABLES AND DROPDOWN LIST'!C87*((Copto*nF)+(Cext*uF))*((R_fb4*kOhms*Requ*kOhms)/((R_fb4*kOhms)+(Requ*kOhms)))))</f>
        <v>0.0499639354005631-0.00134235960774701i</v>
      </c>
      <c r="E87" s="160">
        <f t="shared" si="5"/>
        <v>-26.023733574863535</v>
      </c>
      <c r="F87" s="160">
        <f t="shared" si="6"/>
        <v>-1.5389709050395817</v>
      </c>
      <c r="G87" s="160" t="str">
        <f>IMDIV((Vout_cv/(2*Iocc)),COMPLEX(1,'LOOKUP TABLES AND DROPDOWN LIST'!C87*(Cout*uF)*(Vout_cv/(2*Iocc))))</f>
        <v>1.71336166049144-4.74869176993717i</v>
      </c>
      <c r="H87" s="160">
        <f t="shared" si="7"/>
        <v>14.062962548359323</v>
      </c>
      <c r="I87" s="160">
        <f t="shared" si="8"/>
        <v>-70.160196793834317</v>
      </c>
      <c r="J87" s="160" t="str">
        <f>IMPRODUCT((1/(R_tl*kOhms)),G_fb1,(G_fb2*kOhms),(K_fm4*kHz),(G_p4*uC),'LOOKUP TABLES AND DROPDOWN LIST'!D87,'LOOKUP TABLES AND DROPDOWN LIST'!G87)</f>
        <v>-70.6134717802622+213.505010120018i</v>
      </c>
      <c r="K87" s="160">
        <f t="shared" si="9"/>
        <v>47.038985507584322</v>
      </c>
      <c r="L87" s="160">
        <f t="shared" si="10"/>
        <v>108.30083230112609</v>
      </c>
      <c r="M87" s="160"/>
      <c r="N87" s="160"/>
      <c r="O87" s="160"/>
      <c r="P87" s="160"/>
      <c r="Q87" s="160"/>
      <c r="R87" s="160">
        <f>MROUND(L101,5)</f>
        <v>55</v>
      </c>
      <c r="S87" s="160">
        <f>B101</f>
        <v>1584.8931924611156</v>
      </c>
      <c r="T87" s="160"/>
      <c r="U87" s="160"/>
      <c r="V87" s="160"/>
      <c r="W87" s="160"/>
      <c r="X87" s="160"/>
      <c r="Y87" s="160"/>
      <c r="Z87" s="160"/>
    </row>
    <row r="88" spans="1:26" ht="14.25" customHeight="1">
      <c r="A88" s="203">
        <v>1.9</v>
      </c>
      <c r="B88" s="160">
        <f t="shared" si="3"/>
        <v>79.432823472428197</v>
      </c>
      <c r="C88" s="160">
        <f t="shared" si="4"/>
        <v>499.09114934975059</v>
      </c>
      <c r="D88" s="160" t="str">
        <f>IMDIV(((CTRmin/100)*0.1),COMPLEX(1,'LOOKUP TABLES AND DROPDOWN LIST'!C88*((Copto*nF)+(Cext*uF))*((R_fb4*kOhms*Requ*kOhms)/((R_fb4*kOhms)+(Requ*kOhms)))))</f>
        <v>0.0499428655656688-0.00168921797674973i</v>
      </c>
      <c r="E88" s="160">
        <f t="shared" si="5"/>
        <v>-26.025565384725596</v>
      </c>
      <c r="F88" s="160">
        <f t="shared" si="6"/>
        <v>-1.9371771668247242</v>
      </c>
      <c r="G88" s="160" t="str">
        <f>IMDIV((Vout_cv/(2*Iocc)),COMPLEX(1,'LOOKUP TABLES AND DROPDOWN LIST'!C88*(Cout*uF)*(Vout_cv/(2*Iocc))))</f>
        <v>1.129052751961-3.93948245116677i</v>
      </c>
      <c r="H88" s="160">
        <f t="shared" si="7"/>
        <v>12.251614439159527</v>
      </c>
      <c r="I88" s="160">
        <f t="shared" si="8"/>
        <v>-74.007736633214591</v>
      </c>
      <c r="J88" s="160" t="str">
        <f>IMPRODUCT((1/(R_tl*kOhms)),G_fb1,(G_fb2*kOhms),(K_fm4*kHz),(G_p4*uC),'LOOKUP TABLES AND DROPDOWN LIST'!D88,'LOOKUP TABLES AND DROPDOWN LIST'!G88)</f>
        <v>-44.323772954865+177.047614176027i</v>
      </c>
      <c r="K88" s="160">
        <f t="shared" si="9"/>
        <v>45.225805588522476</v>
      </c>
      <c r="L88" s="160">
        <f t="shared" si="10"/>
        <v>104.05508619996064</v>
      </c>
      <c r="M88" s="160"/>
      <c r="N88" s="160"/>
      <c r="O88" s="160"/>
      <c r="P88" s="160"/>
      <c r="Q88" s="160"/>
      <c r="R88" s="160">
        <f>MROUND(L100,5)</f>
        <v>65</v>
      </c>
      <c r="S88" s="160">
        <f>B100</f>
        <v>1258.925411794168</v>
      </c>
      <c r="T88" s="160"/>
      <c r="U88" s="160"/>
      <c r="V88" s="160"/>
      <c r="W88" s="160"/>
      <c r="X88" s="160"/>
      <c r="Y88" s="160"/>
      <c r="Z88" s="160"/>
    </row>
    <row r="89" spans="1:26" ht="14.25" customHeight="1">
      <c r="A89" s="203">
        <v>2</v>
      </c>
      <c r="B89" s="160">
        <f t="shared" si="3"/>
        <v>100</v>
      </c>
      <c r="C89" s="160">
        <f t="shared" si="4"/>
        <v>628.31853071795865</v>
      </c>
      <c r="D89" s="160" t="str">
        <f>IMDIV(((CTRmin/100)*0.1),COMPLEX(1,'LOOKUP TABLES AND DROPDOWN LIST'!C89*((Copto*nF)+(Cext*uF))*((R_fb4*kOhms*Requ*kOhms)/((R_fb4*kOhms)+(Requ*kOhms)))))</f>
        <v>0.0499095085040401-0.00212517907178493i</v>
      </c>
      <c r="E89" s="160">
        <f t="shared" si="5"/>
        <v>-26.028467025967828</v>
      </c>
      <c r="F89" s="160">
        <f t="shared" si="6"/>
        <v>-2.4382183813501164</v>
      </c>
      <c r="G89" s="160" t="str">
        <f>IMDIV((Vout_cv/(2*Iocc)),COMPLEX(1,'LOOKUP TABLES AND DROPDOWN LIST'!C89*(Cout*uF)*(Vout_cv/(2*Iocc))))</f>
        <v>0.732914502249221-3.21942455215134i</v>
      </c>
      <c r="H89" s="160">
        <f t="shared" si="7"/>
        <v>10.375005254768215</v>
      </c>
      <c r="I89" s="160">
        <f t="shared" si="8"/>
        <v>-77.174969622405982</v>
      </c>
      <c r="J89" s="160" t="str">
        <f>IMPRODUCT((1/(R_tl*kOhms)),G_fb1,(G_fb2*kOhms),(K_fm4*kHz),(G_p4*uC),'LOOKUP TABLES AND DROPDOWN LIST'!D89,'LOOKUP TABLES AND DROPDOWN LIST'!G89)</f>
        <v>-26.5028754687914+144.590245858029i</v>
      </c>
      <c r="K89" s="160">
        <f t="shared" si="9"/>
        <v>43.346294762888888</v>
      </c>
      <c r="L89" s="160">
        <f t="shared" si="10"/>
        <v>100.38681199624394</v>
      </c>
      <c r="M89" s="160"/>
      <c r="N89" s="160"/>
      <c r="O89" s="160"/>
      <c r="P89" s="160"/>
      <c r="Q89" s="160"/>
      <c r="R89" s="160">
        <f>MROUND(L99,5)</f>
        <v>70</v>
      </c>
      <c r="S89" s="160">
        <f>B99</f>
        <v>1000</v>
      </c>
      <c r="T89" s="160"/>
      <c r="U89" s="160"/>
      <c r="V89" s="160"/>
      <c r="W89" s="160"/>
      <c r="X89" s="160"/>
      <c r="Y89" s="160"/>
      <c r="Z89" s="160"/>
    </row>
    <row r="90" spans="1:26" ht="14.25" customHeight="1">
      <c r="A90" s="203">
        <v>2.1</v>
      </c>
      <c r="B90" s="160">
        <f t="shared" si="3"/>
        <v>125.89254117941677</v>
      </c>
      <c r="C90" s="160">
        <f t="shared" si="4"/>
        <v>791.0061650220124</v>
      </c>
      <c r="D90" s="160" t="str">
        <f>IMDIV(((CTRmin/100)*0.1),COMPLEX(1,'LOOKUP TABLES AND DROPDOWN LIST'!C90*((Copto*nF)+(Cext*uF))*((R_fb4*kOhms*Requ*kOhms)/((R_fb4*kOhms)+(Requ*kOhms)))))</f>
        <v>0.0498567323011316-0.00267261282453697i</v>
      </c>
      <c r="E90" s="160">
        <f t="shared" si="5"/>
        <v>-26.033061849958791</v>
      </c>
      <c r="F90" s="160">
        <f t="shared" si="6"/>
        <v>-3.0684524130058266</v>
      </c>
      <c r="G90" s="160" t="str">
        <f>IMDIV((Vout_cv/(2*Iocc)),COMPLEX(1,'LOOKUP TABLES AND DROPDOWN LIST'!C90*(Cout*uF)*(Vout_cv/(2*Iocc))))</f>
        <v>0.47100236188104-2.60464189327512i</v>
      </c>
      <c r="H90" s="160">
        <f t="shared" si="7"/>
        <v>8.454702952129681</v>
      </c>
      <c r="I90" s="160">
        <f t="shared" si="8"/>
        <v>-79.749864068714601</v>
      </c>
      <c r="J90" s="160" t="str">
        <f>IMPRODUCT((1/(R_tl*kOhms)),G_fb1,(G_fb2*kOhms),(K_fm4*kHz),(G_p4*uC),'LOOKUP TABLES AND DROPDOWN LIST'!D90,'LOOKUP TABLES AND DROPDOWN LIST'!G90)</f>
        <v>-14.7243355834337+116.855533773262i</v>
      </c>
      <c r="K90" s="160">
        <f t="shared" si="9"/>
        <v>41.421397636259414</v>
      </c>
      <c r="L90" s="160">
        <f t="shared" si="10"/>
        <v>97.181683518279584</v>
      </c>
      <c r="M90" s="160"/>
      <c r="N90" s="160"/>
      <c r="O90" s="160"/>
      <c r="P90" s="160"/>
      <c r="Q90" s="160"/>
      <c r="R90" s="160">
        <f>MROUND(L98,5)</f>
        <v>75</v>
      </c>
      <c r="S90" s="160">
        <f>B98</f>
        <v>794.32823472428208</v>
      </c>
      <c r="T90" s="160"/>
      <c r="U90" s="160"/>
      <c r="V90" s="160"/>
      <c r="W90" s="160"/>
      <c r="X90" s="160"/>
      <c r="Y90" s="160"/>
      <c r="Z90" s="160"/>
    </row>
    <row r="91" spans="1:26" ht="14.25" customHeight="1">
      <c r="A91" s="203">
        <v>2.2000000000000002</v>
      </c>
      <c r="B91" s="160">
        <f t="shared" si="3"/>
        <v>158.48931924611153</v>
      </c>
      <c r="C91" s="160">
        <f t="shared" si="4"/>
        <v>995.81776203206277</v>
      </c>
      <c r="D91" s="160" t="str">
        <f>IMDIV(((CTRmin/100)*0.1),COMPLEX(1,'LOOKUP TABLES AND DROPDOWN LIST'!C91*((Copto*nF)+(Cext*uF))*((R_fb4*kOhms*Requ*kOhms)/((R_fb4*kOhms)+(Requ*kOhms)))))</f>
        <v>0.0497733159051403-0.00335899078059487i</v>
      </c>
      <c r="E91" s="160">
        <f t="shared" si="5"/>
        <v>-26.040334211981428</v>
      </c>
      <c r="F91" s="160">
        <f t="shared" si="6"/>
        <v>-3.8607960529358243</v>
      </c>
      <c r="G91" s="160" t="str">
        <f>IMDIV((Vout_cv/(2*Iocc)),COMPLEX(1,'LOOKUP TABLES AND DROPDOWN LIST'!C91*(Cout*uF)*(Vout_cv/(2*Iocc))))</f>
        <v>0.300696226854993-2.09340335165105i</v>
      </c>
      <c r="H91" s="160">
        <f t="shared" si="7"/>
        <v>6.5057518886723855</v>
      </c>
      <c r="I91" s="160">
        <f t="shared" si="8"/>
        <v>-81.825951332838542</v>
      </c>
      <c r="J91" s="160" t="str">
        <f>IMPRODUCT((1/(R_tl*kOhms)),G_fb1,(G_fb2*kOhms),(K_fm4*kHz),(G_p4*uC),'LOOKUP TABLES AND DROPDOWN LIST'!D91,'LOOKUP TABLES AND DROPDOWN LIST'!G91)</f>
        <v>-7.07181177708176+93.7620169351786i</v>
      </c>
      <c r="K91" s="160">
        <f t="shared" si="9"/>
        <v>39.46517421077948</v>
      </c>
      <c r="L91" s="160">
        <f t="shared" si="10"/>
        <v>94.313252614225632</v>
      </c>
      <c r="M91" s="160"/>
      <c r="N91" s="160"/>
      <c r="O91" s="160"/>
      <c r="P91" s="160"/>
      <c r="Q91" s="160"/>
      <c r="R91" s="160">
        <f>MROUND(L97,5)</f>
        <v>75</v>
      </c>
      <c r="S91" s="160">
        <f>B97</f>
        <v>630.95734448019323</v>
      </c>
      <c r="T91" s="160"/>
      <c r="U91" s="160"/>
      <c r="V91" s="160"/>
      <c r="W91" s="160"/>
      <c r="X91" s="160"/>
      <c r="Y91" s="160"/>
      <c r="Z91" s="160"/>
    </row>
    <row r="92" spans="1:26" ht="14.25" customHeight="1">
      <c r="A92" s="203">
        <v>2.2999999999999998</v>
      </c>
      <c r="B92" s="160">
        <f t="shared" si="3"/>
        <v>199.52623149688802</v>
      </c>
      <c r="C92" s="160">
        <f t="shared" si="4"/>
        <v>1253.6602861381596</v>
      </c>
      <c r="D92" s="160" t="str">
        <f>IMDIV(((CTRmin/100)*0.1),COMPLEX(1,'LOOKUP TABLES AND DROPDOWN LIST'!C92*((Copto*nF)+(Cext*uF))*((R_fb4*kOhms*Requ*kOhms)/((R_fb4*kOhms)+(Requ*kOhms)))))</f>
        <v>0.049641680085187-0.00421753513077237i</v>
      </c>
      <c r="E92" s="160">
        <f t="shared" si="5"/>
        <v>-26.051835242196731</v>
      </c>
      <c r="F92" s="160">
        <f t="shared" si="6"/>
        <v>-4.8561622991184343</v>
      </c>
      <c r="G92" s="160" t="str">
        <f>IMDIV((Vout_cv/(2*Iocc)),COMPLEX(1,'LOOKUP TABLES AND DROPDOWN LIST'!C92*(Cout*uF)*(Vout_cv/(2*Iocc))))</f>
        <v>0.191152551596933-1.6753480177143i</v>
      </c>
      <c r="H92" s="160">
        <f t="shared" si="7"/>
        <v>4.5382730983936623</v>
      </c>
      <c r="I92" s="160">
        <f t="shared" si="8"/>
        <v>-83.490859152135641</v>
      </c>
      <c r="J92" s="160" t="str">
        <f>IMPRODUCT((1/(R_tl*kOhms)),G_fb1,(G_fb2*kOhms),(K_fm4*kHz),(G_p4*uC),'LOOKUP TABLES AND DROPDOWN LIST'!D92,'LOOKUP TABLES AND DROPDOWN LIST'!G92)</f>
        <v>-2.15970313095515+74.8391694131468i</v>
      </c>
      <c r="K92" s="160">
        <f t="shared" si="9"/>
        <v>37.486194390285455</v>
      </c>
      <c r="L92" s="160">
        <f t="shared" si="10"/>
        <v>91.652978548745921</v>
      </c>
      <c r="M92" s="160"/>
      <c r="N92" s="160"/>
      <c r="O92" s="160"/>
      <c r="P92" s="160"/>
      <c r="Q92" s="160"/>
      <c r="R92" s="160">
        <f>MROUND(L96,5)</f>
        <v>80</v>
      </c>
      <c r="S92" s="160">
        <f>B96</f>
        <v>501.18723362727269</v>
      </c>
      <c r="T92" s="160"/>
      <c r="U92" s="160"/>
      <c r="V92" s="160"/>
      <c r="W92" s="160"/>
      <c r="X92" s="160"/>
      <c r="Y92" s="160"/>
      <c r="Z92" s="160"/>
    </row>
    <row r="93" spans="1:26" ht="14.25" customHeight="1">
      <c r="A93" s="203">
        <v>2.4</v>
      </c>
      <c r="B93" s="160">
        <f t="shared" si="3"/>
        <v>251.18864315095806</v>
      </c>
      <c r="C93" s="160">
        <f t="shared" si="4"/>
        <v>1578.2647919764759</v>
      </c>
      <c r="D93" s="160" t="str">
        <f>IMDIV(((CTRmin/100)*0.1),COMPLEX(1,'LOOKUP TABLES AND DROPDOWN LIST'!C93*((Copto*nF)+(Cext*uF))*((R_fb4*kOhms*Requ*kOhms)/((R_fb4*kOhms)+(Requ*kOhms)))))</f>
        <v>0.0494344716621901-0.00528739960563135i</v>
      </c>
      <c r="E93" s="160">
        <f t="shared" si="5"/>
        <v>-26.070000987298577</v>
      </c>
      <c r="F93" s="160">
        <f t="shared" si="6"/>
        <v>-6.1050175787705596</v>
      </c>
      <c r="G93" s="160" t="str">
        <f>IMDIV((Vout_cv/(2*Iocc)),COMPLEX(1,'LOOKUP TABLES AND DROPDOWN LIST'!C93*(Cout*uF)*(Vout_cv/(2*Iocc))))</f>
        <v>0.121183823429525-1.33711754431606i</v>
      </c>
      <c r="H93" s="160">
        <f t="shared" si="7"/>
        <v>2.5589186092623688</v>
      </c>
      <c r="I93" s="160">
        <f t="shared" si="8"/>
        <v>-84.821394583124601</v>
      </c>
      <c r="J93" s="160" t="str">
        <f>IMPRODUCT((1/(R_tl*kOhms)),G_fb1,(G_fb2*kOhms),(K_fm4*kHz),(G_p4*uC),'LOOKUP TABLES AND DROPDOWN LIST'!D93,'LOOKUP TABLES AND DROPDOWN LIST'!G93)</f>
        <v>0.961825749881353+59.480818417976i</v>
      </c>
      <c r="K93" s="160">
        <f t="shared" si="9"/>
        <v>35.488674156052319</v>
      </c>
      <c r="L93" s="160">
        <f t="shared" si="10"/>
        <v>89.073587838104842</v>
      </c>
      <c r="M93" s="160"/>
      <c r="N93" s="160"/>
      <c r="O93" s="160"/>
      <c r="P93" s="160"/>
      <c r="Q93" s="160"/>
      <c r="R93" s="160">
        <f>MROUND(L95,5)</f>
        <v>85</v>
      </c>
      <c r="S93" s="160">
        <f>B95</f>
        <v>398.10717055349761</v>
      </c>
      <c r="T93" s="160"/>
      <c r="U93" s="160"/>
      <c r="V93" s="160"/>
      <c r="W93" s="160"/>
      <c r="X93" s="160"/>
      <c r="Y93" s="160"/>
      <c r="Z93" s="160"/>
    </row>
    <row r="94" spans="1:26" ht="14.25" customHeight="1">
      <c r="A94" s="203">
        <v>2.5</v>
      </c>
      <c r="B94" s="160">
        <f t="shared" si="3"/>
        <v>316.22776601683825</v>
      </c>
      <c r="C94" s="160">
        <f t="shared" si="4"/>
        <v>1986.917653159222</v>
      </c>
      <c r="D94" s="160" t="str">
        <f>IMDIV(((CTRmin/100)*0.1),COMPLEX(1,'LOOKUP TABLES AND DROPDOWN LIST'!C94*((Copto*nF)+(Cext*uF))*((R_fb4*kOhms*Requ*kOhms)/((R_fb4*kOhms)+(Requ*kOhms)))))</f>
        <v>0.0491095884810675-0.00661269561325611i</v>
      </c>
      <c r="E94" s="160">
        <f t="shared" si="5"/>
        <v>-26.09863700733159</v>
      </c>
      <c r="F94" s="160">
        <f t="shared" si="6"/>
        <v>-7.668854855070256</v>
      </c>
      <c r="G94" s="160" t="str">
        <f>IMDIV((Vout_cv/(2*Iocc)),COMPLEX(1,'LOOKUP TABLES AND DROPDOWN LIST'!C94*(Cout*uF)*(Vout_cv/(2*Iocc))))</f>
        <v>0.0766924059387799-1.06531317705356i</v>
      </c>
      <c r="H94" s="160">
        <f t="shared" si="7"/>
        <v>0.57199572628558337</v>
      </c>
      <c r="I94" s="160">
        <f t="shared" si="8"/>
        <v>-85.882352994126265</v>
      </c>
      <c r="J94" s="160" t="str">
        <f>IMPRODUCT((1/(R_tl*kOhms)),G_fb1,(G_fb2*kOhms),(K_fm4*kHz),(G_p4*uC),'LOOKUP TABLES AND DROPDOWN LIST'!D94,'LOOKUP TABLES AND DROPDOWN LIST'!G94)</f>
        <v>2.92166976070718+47.0783296096457i</v>
      </c>
      <c r="K94" s="160">
        <f t="shared" si="9"/>
        <v>33.473115253042508</v>
      </c>
      <c r="L94" s="160">
        <f t="shared" si="10"/>
        <v>86.44879215080347</v>
      </c>
      <c r="M94" s="160"/>
      <c r="N94" s="160"/>
      <c r="O94" s="160"/>
      <c r="P94" s="160"/>
      <c r="Q94" s="160"/>
      <c r="R94" s="160">
        <f>MROUND(L94,5)</f>
        <v>85</v>
      </c>
      <c r="S94" s="160">
        <f>B94</f>
        <v>316.22776601683825</v>
      </c>
      <c r="T94" s="160"/>
      <c r="U94" s="160"/>
      <c r="V94" s="160"/>
      <c r="W94" s="160"/>
      <c r="X94" s="160"/>
      <c r="Y94" s="160"/>
      <c r="Z94" s="160"/>
    </row>
    <row r="95" spans="1:26" ht="14.25" customHeight="1">
      <c r="A95" s="203">
        <v>2.6</v>
      </c>
      <c r="B95" s="160">
        <f t="shared" si="3"/>
        <v>398.10717055349761</v>
      </c>
      <c r="C95" s="160">
        <f t="shared" si="4"/>
        <v>2501.3811247045737</v>
      </c>
      <c r="D95" s="160" t="str">
        <f>IMDIV(((CTRmin/100)*0.1),COMPLEX(1,'LOOKUP TABLES AND DROPDOWN LIST'!C95*((Copto*nF)+(Cext*uF))*((R_fb4*kOhms*Requ*kOhms)/((R_fb4*kOhms)+(Requ*kOhms)))))</f>
        <v>0.0486033403303709-0.00823907308188773i</v>
      </c>
      <c r="E95" s="160">
        <f t="shared" si="5"/>
        <v>-26.14363877899703</v>
      </c>
      <c r="F95" s="160">
        <f t="shared" si="6"/>
        <v>-9.6211244343327671</v>
      </c>
      <c r="G95" s="160" t="str">
        <f>IMDIV((Vout_cv/(2*Iocc)),COMPLEX(1,'LOOKUP TABLES AND DROPDOWN LIST'!C95*(Cout*uF)*(Vout_cv/(2*Iocc))))</f>
        <v>0.0484818856984221-0.847821527725275i</v>
      </c>
      <c r="H95" s="160">
        <f t="shared" si="7"/>
        <v>-1.4197328639756426</v>
      </c>
      <c r="I95" s="160">
        <f t="shared" si="8"/>
        <v>-86.727158437539245</v>
      </c>
      <c r="J95" s="160" t="str">
        <f>IMPRODUCT((1/(R_tl*kOhms)),G_fb1,(G_fb2*kOhms),(K_fm4*kHz),(G_p4*uC),'LOOKUP TABLES AND DROPDOWN LIST'!D95,'LOOKUP TABLES AND DROPDOWN LIST'!G95)</f>
        <v>4.12537973252732+37.0807072540985i</v>
      </c>
      <c r="K95" s="160">
        <f t="shared" si="9"/>
        <v>31.436384891115861</v>
      </c>
      <c r="L95" s="160">
        <f t="shared" si="10"/>
        <v>83.651717128127999</v>
      </c>
      <c r="M95" s="160"/>
      <c r="N95" s="160"/>
      <c r="O95" s="160"/>
      <c r="P95" s="160"/>
      <c r="Q95" s="160"/>
      <c r="R95" s="160">
        <f>MROUND(L93,5)</f>
        <v>90</v>
      </c>
      <c r="S95" s="160">
        <f>B93</f>
        <v>251.18864315095806</v>
      </c>
      <c r="T95" s="160"/>
      <c r="U95" s="160"/>
      <c r="V95" s="160"/>
      <c r="W95" s="160"/>
      <c r="X95" s="160"/>
      <c r="Y95" s="160"/>
      <c r="Z95" s="160"/>
    </row>
    <row r="96" spans="1:26" ht="14.25" customHeight="1">
      <c r="A96" s="203">
        <v>2.7</v>
      </c>
      <c r="B96" s="160">
        <f t="shared" si="3"/>
        <v>501.18723362727269</v>
      </c>
      <c r="C96" s="160">
        <f t="shared" si="4"/>
        <v>3149.0522624728624</v>
      </c>
      <c r="D96" s="160" t="str">
        <f>IMDIV(((CTRmin/100)*0.1),COMPLEX(1,'LOOKUP TABLES AND DROPDOWN LIST'!C96*((Copto*nF)+(Cext*uF))*((R_fb4*kOhms*Requ*kOhms)/((R_fb4*kOhms)+(Requ*kOhms)))))</f>
        <v>0.0478220271751218-0.0102056394027028i</v>
      </c>
      <c r="E96" s="160">
        <f t="shared" si="5"/>
        <v>-26.214020137564734</v>
      </c>
      <c r="F96" s="160">
        <f t="shared" si="6"/>
        <v>-12.046708453773208</v>
      </c>
      <c r="G96" s="160" t="str">
        <f>IMDIV((Vout_cv/(2*Iocc)),COMPLEX(1,'LOOKUP TABLES AND DROPDOWN LIST'!C96*(Cout*uF)*(Vout_cv/(2*Iocc))))</f>
        <v>0.0306268411298878-0.674259605766718i</v>
      </c>
      <c r="H96" s="160">
        <f t="shared" si="7"/>
        <v>-3.414505839953581</v>
      </c>
      <c r="I96" s="160">
        <f t="shared" si="8"/>
        <v>-87.399245984447333</v>
      </c>
      <c r="J96" s="160" t="str">
        <f>IMPRODUCT((1/(R_tl*kOhms)),G_fb1,(G_fb2*kOhms),(K_fm4*kHz),(G_p4*uC),'LOOKUP TABLES AND DROPDOWN LIST'!D96,'LOOKUP TABLES AND DROPDOWN LIST'!G96)</f>
        <v>4.82742589919222+29.0156681466022i</v>
      </c>
      <c r="K96" s="160">
        <f t="shared" si="9"/>
        <v>29.371230556570222</v>
      </c>
      <c r="L96" s="160">
        <f t="shared" si="10"/>
        <v>80.554045561779489</v>
      </c>
      <c r="M96" s="160"/>
      <c r="N96" s="160"/>
      <c r="O96" s="160"/>
      <c r="P96" s="160"/>
      <c r="Q96" s="160"/>
      <c r="R96" s="160">
        <f>MROUND(L92,5)</f>
        <v>90</v>
      </c>
      <c r="S96" s="160">
        <f>B92</f>
        <v>199.52623149688802</v>
      </c>
      <c r="T96" s="160"/>
      <c r="U96" s="160"/>
      <c r="V96" s="160"/>
      <c r="W96" s="160"/>
      <c r="X96" s="160"/>
      <c r="Y96" s="160"/>
      <c r="Z96" s="160"/>
    </row>
    <row r="97" spans="1:26" ht="14.25" customHeight="1">
      <c r="A97" s="203">
        <v>2.8</v>
      </c>
      <c r="B97" s="160">
        <f t="shared" si="3"/>
        <v>630.95734448019323</v>
      </c>
      <c r="C97" s="160">
        <f t="shared" si="4"/>
        <v>3964.4219162949989</v>
      </c>
      <c r="D97" s="160" t="str">
        <f>IMDIV(((CTRmin/100)*0.1),COMPLEX(1,'LOOKUP TABLES AND DROPDOWN LIST'!C97*((Copto*nF)+(Cext*uF))*((R_fb4*kOhms*Requ*kOhms)/((R_fb4*kOhms)+(Requ*kOhms)))))</f>
        <v>0.046633905797679-0.0125289313166428i</v>
      </c>
      <c r="E97" s="160">
        <f t="shared" si="5"/>
        <v>-26.323282045855876</v>
      </c>
      <c r="F97" s="160">
        <f t="shared" si="6"/>
        <v>-15.038296400016335</v>
      </c>
      <c r="G97" s="160" t="str">
        <f>IMDIV((Vout_cv/(2*Iocc)),COMPLEX(1,'LOOKUP TABLES AND DROPDOWN LIST'!C97*(Cout*uF)*(Vout_cv/(2*Iocc))))</f>
        <v>0.0193389251564116-0.535990718406422i</v>
      </c>
      <c r="H97" s="160">
        <f t="shared" si="7"/>
        <v>-5.4112045708571754</v>
      </c>
      <c r="I97" s="160">
        <f t="shared" si="8"/>
        <v>-87.933624020883897</v>
      </c>
      <c r="J97" s="160" t="str">
        <f>IMPRODUCT((1/(R_tl*kOhms)),G_fb1,(G_fb2*kOhms),(K_fm4*kHz),(G_p4*uC),'LOOKUP TABLES AND DROPDOWN LIST'!D97,'LOOKUP TABLES AND DROPDOWN LIST'!G97)</f>
        <v>5.18117889188684+22.4924369439541i</v>
      </c>
      <c r="K97" s="160">
        <f t="shared" si="9"/>
        <v>27.265269917375484</v>
      </c>
      <c r="L97" s="160">
        <f t="shared" si="10"/>
        <v>77.02807957909981</v>
      </c>
      <c r="M97" s="160"/>
      <c r="N97" s="160"/>
      <c r="O97" s="160"/>
      <c r="P97" s="160"/>
      <c r="Q97" s="160"/>
      <c r="R97" s="160">
        <f>MROUND(L91,5)</f>
        <v>95</v>
      </c>
      <c r="S97" s="160">
        <f>B91</f>
        <v>158.48931924611153</v>
      </c>
      <c r="T97" s="160"/>
      <c r="U97" s="160"/>
      <c r="V97" s="160"/>
      <c r="W97" s="160"/>
      <c r="X97" s="160"/>
      <c r="Y97" s="160"/>
      <c r="Z97" s="160"/>
    </row>
    <row r="98" spans="1:26" ht="14.25" customHeight="1">
      <c r="A98" s="203">
        <v>2.9</v>
      </c>
      <c r="B98" s="160">
        <f t="shared" si="3"/>
        <v>794.32823472428208</v>
      </c>
      <c r="C98" s="160">
        <f t="shared" si="4"/>
        <v>4990.9114934975069</v>
      </c>
      <c r="D98" s="160" t="str">
        <f>IMDIV(((CTRmin/100)*0.1),COMPLEX(1,'LOOKUP TABLES AND DROPDOWN LIST'!C98*((Copto*nF)+(Cext*uF))*((R_fb4*kOhms*Requ*kOhms)/((R_fb4*kOhms)+(Requ*kOhms)))))</f>
        <v>0.0448672095438041-0.0151754401894172i</v>
      </c>
      <c r="E98" s="160">
        <f t="shared" si="5"/>
        <v>-26.491009356564859</v>
      </c>
      <c r="F98" s="160">
        <f t="shared" si="6"/>
        <v>-18.687083788962223</v>
      </c>
      <c r="G98" s="160" t="str">
        <f>IMDIV((Vout_cv/(2*Iocc)),COMPLEX(1,'LOOKUP TABLES AND DROPDOWN LIST'!C98*(Cout*uF)*(Vout_cv/(2*Iocc))))</f>
        <v>0.0122078942289359-0.425956935998456i</v>
      </c>
      <c r="H98" s="160">
        <f t="shared" si="7"/>
        <v>-7.4091203189442565</v>
      </c>
      <c r="I98" s="160">
        <f t="shared" si="8"/>
        <v>-88.358356582706676</v>
      </c>
      <c r="J98" s="160" t="str">
        <f>IMPRODUCT((1/(R_tl*kOhms)),G_fb1,(G_fb2*kOhms),(K_fm4*kHz),(G_p4*uC),'LOOKUP TABLES AND DROPDOWN LIST'!D98,'LOOKUP TABLES AND DROPDOWN LIST'!G98)</f>
        <v>5.27280456138537+17.1977727436472i</v>
      </c>
      <c r="K98" s="160">
        <f t="shared" si="9"/>
        <v>25.099626858579398</v>
      </c>
      <c r="L98" s="160">
        <f t="shared" si="10"/>
        <v>72.954559628331083</v>
      </c>
      <c r="M98" s="160"/>
      <c r="N98" s="160"/>
      <c r="O98" s="160"/>
      <c r="P98" s="160"/>
      <c r="Q98" s="160"/>
      <c r="R98" s="160">
        <f>MROUND(L90,5)</f>
        <v>95</v>
      </c>
      <c r="S98" s="160">
        <f>B90</f>
        <v>125.89254117941677</v>
      </c>
      <c r="T98" s="160"/>
      <c r="U98" s="160"/>
      <c r="V98" s="160"/>
      <c r="W98" s="160"/>
      <c r="X98" s="160"/>
      <c r="Y98" s="160"/>
      <c r="Z98" s="160"/>
    </row>
    <row r="99" spans="1:26" ht="14.25" customHeight="1">
      <c r="A99" s="203">
        <v>3</v>
      </c>
      <c r="B99" s="160">
        <f t="shared" si="3"/>
        <v>1000</v>
      </c>
      <c r="C99" s="160">
        <f t="shared" si="4"/>
        <v>6283.1853071795858</v>
      </c>
      <c r="D99" s="160" t="str">
        <f>IMDIV(((CTRmin/100)*0.1),COMPLEX(1,'LOOKUP TABLES AND DROPDOWN LIST'!C99*((Copto*nF)+(Cext*uF))*((R_fb4*kOhms*Requ*kOhms)/((R_fb4*kOhms)+(Requ*kOhms)))))</f>
        <v>0.0423258518022621-0.0180226207674148i</v>
      </c>
      <c r="E99" s="160">
        <f t="shared" si="5"/>
        <v>-26.744242886751014</v>
      </c>
      <c r="F99" s="160">
        <f t="shared" si="6"/>
        <v>-23.064617773760929</v>
      </c>
      <c r="G99" s="160" t="str">
        <f>IMDIV((Vout_cv/(2*Iocc)),COMPLEX(1,'LOOKUP TABLES AND DROPDOWN LIST'!C99*(Cout*uF)*(Vout_cv/(2*Iocc))))</f>
        <v>0.00770499421043879-0.338452131307884i</v>
      </c>
      <c r="H99" s="160">
        <f t="shared" si="7"/>
        <v>-9.407804730035922</v>
      </c>
      <c r="I99" s="160">
        <f t="shared" si="8"/>
        <v>-88.695864591879612</v>
      </c>
      <c r="J99" s="160" t="str">
        <f>IMPRODUCT((1/(R_tl*kOhms)),G_fb1,(G_fb2*kOhms),(K_fm4*kHz),(G_p4*uC),'LOOKUP TABLES AND DROPDOWN LIST'!D99,'LOOKUP TABLES AND DROPDOWN LIST'!G99)</f>
        <v>5.14564810513136+12.8908160648083i</v>
      </c>
      <c r="K99" s="160">
        <f t="shared" si="9"/>
        <v>22.847708917301613</v>
      </c>
      <c r="L99" s="160">
        <f t="shared" si="10"/>
        <v>68.239517634359515</v>
      </c>
      <c r="M99" s="160"/>
      <c r="N99" s="160"/>
      <c r="O99" s="160"/>
      <c r="P99" s="160"/>
      <c r="Q99" s="160"/>
      <c r="R99" s="160">
        <f>MROUND(L89,5)</f>
        <v>100</v>
      </c>
      <c r="S99" s="160">
        <f>B89</f>
        <v>100</v>
      </c>
      <c r="T99" s="160"/>
      <c r="U99" s="160"/>
      <c r="V99" s="160"/>
      <c r="W99" s="160"/>
      <c r="X99" s="160"/>
      <c r="Y99" s="160"/>
      <c r="Z99" s="160"/>
    </row>
    <row r="100" spans="1:26" ht="14.25" customHeight="1">
      <c r="A100" s="203">
        <v>3.1</v>
      </c>
      <c r="B100" s="160">
        <f t="shared" si="3"/>
        <v>1258.925411794168</v>
      </c>
      <c r="C100" s="160">
        <f t="shared" si="4"/>
        <v>7910.0616502201265</v>
      </c>
      <c r="D100" s="160" t="str">
        <f>IMDIV(((CTRmin/100)*0.1),COMPLEX(1,'LOOKUP TABLES AND DROPDOWN LIST'!C100*((Copto*nF)+(Cext*uF))*((R_fb4*kOhms*Requ*kOhms)/((R_fb4*kOhms)+(Requ*kOhms)))))</f>
        <v>0.0388392114807949-0.020820091872752i</v>
      </c>
      <c r="E100" s="160">
        <f t="shared" si="5"/>
        <v>-27.1175959144696</v>
      </c>
      <c r="F100" s="160">
        <f t="shared" si="6"/>
        <v>-28.19391484418653</v>
      </c>
      <c r="G100" s="160" t="str">
        <f>IMDIV((Vout_cv/(2*Iocc)),COMPLEX(1,'LOOKUP TABLES AND DROPDOWN LIST'!C100*(Cout*uF)*(Vout_cv/(2*Iocc))))</f>
        <v>0.00486245220257176-0.268893486229801i</v>
      </c>
      <c r="H100" s="160">
        <f t="shared" si="7"/>
        <v>-11.406974444450853</v>
      </c>
      <c r="I100" s="160">
        <f t="shared" si="8"/>
        <v>-88.96402240230077</v>
      </c>
      <c r="J100" s="160" t="str">
        <f>IMPRODUCT((1/(R_tl*kOhms)),G_fb1,(G_fb2*kOhms),(K_fm4*kHz),(G_p4*uC),'LOOKUP TABLES AND DROPDOWN LIST'!D100,'LOOKUP TABLES AND DROPDOWN LIST'!G100)</f>
        <v>4.82111647075008+9.39784196078844i</v>
      </c>
      <c r="K100" s="160">
        <f t="shared" si="9"/>
        <v>20.475186175168076</v>
      </c>
      <c r="L100" s="160">
        <f t="shared" si="10"/>
        <v>62.842062753512735</v>
      </c>
      <c r="M100" s="160"/>
      <c r="N100" s="160"/>
      <c r="O100" s="160"/>
      <c r="P100" s="160"/>
      <c r="Q100" s="160"/>
      <c r="R100" s="160">
        <f>MROUND(L88,5)</f>
        <v>105</v>
      </c>
      <c r="S100" s="160">
        <f>B88</f>
        <v>79.432823472428197</v>
      </c>
      <c r="T100" s="160"/>
      <c r="U100" s="160"/>
      <c r="V100" s="160"/>
      <c r="W100" s="160"/>
      <c r="X100" s="160"/>
      <c r="Y100" s="160"/>
      <c r="Z100" s="160"/>
    </row>
    <row r="101" spans="1:26" ht="14.25" customHeight="1">
      <c r="A101" s="203">
        <v>3.2</v>
      </c>
      <c r="B101" s="160">
        <f t="shared" si="3"/>
        <v>1584.8931924611156</v>
      </c>
      <c r="C101" s="160">
        <f t="shared" si="4"/>
        <v>9958.17762032063</v>
      </c>
      <c r="D101" s="160" t="str">
        <f>IMDIV(((CTRmin/100)*0.1),COMPLEX(1,'LOOKUP TABLES AND DROPDOWN LIST'!C101*((Copto*nF)+(Cext*uF))*((R_fb4*kOhms*Requ*kOhms)/((R_fb4*kOhms)+(Requ*kOhms)))))</f>
        <v>0.0343540381157529-0.0231840887448492i</v>
      </c>
      <c r="E101" s="160">
        <f t="shared" si="5"/>
        <v>-27.650522024979804</v>
      </c>
      <c r="F101" s="160">
        <f t="shared" si="6"/>
        <v>-34.013750288868152</v>
      </c>
      <c r="G101" s="160" t="str">
        <f>IMDIV((Vout_cv/(2*Iocc)),COMPLEX(1,'LOOKUP TABLES AND DROPDOWN LIST'!C101*(Cout*uF)*(Vout_cv/(2*Iocc))))</f>
        <v>0.00306837009191612-0.213615458421452i</v>
      </c>
      <c r="H101" s="160">
        <f t="shared" si="7"/>
        <v>-13.406450487977269</v>
      </c>
      <c r="I101" s="160">
        <f t="shared" si="8"/>
        <v>-89.177060648468867</v>
      </c>
      <c r="J101" s="160" t="str">
        <f>IMPRODUCT((1/(R_tl*kOhms)),G_fb1,(G_fb2*kOhms),(K_fm4*kHz),(G_p4*uC),'LOOKUP TABLES AND DROPDOWN LIST'!D101,'LOOKUP TABLES AND DROPDOWN LIST'!G101)</f>
        <v>4.31983356598748+6.60370891917086i</v>
      </c>
      <c r="K101" s="160">
        <f t="shared" si="9"/>
        <v>17.942784021131452</v>
      </c>
      <c r="L101" s="160">
        <f t="shared" si="10"/>
        <v>56.809189062662959</v>
      </c>
      <c r="M101" s="160"/>
      <c r="N101" s="160"/>
      <c r="O101" s="160"/>
      <c r="P101" s="160"/>
      <c r="Q101" s="160"/>
      <c r="R101" s="160">
        <f>MROUND(L87,5)</f>
        <v>110</v>
      </c>
      <c r="S101" s="160">
        <f>B87</f>
        <v>63.095734448019364</v>
      </c>
      <c r="T101" s="160"/>
      <c r="U101" s="160"/>
      <c r="V101" s="160"/>
      <c r="W101" s="160"/>
      <c r="X101" s="160"/>
      <c r="Y101" s="160"/>
      <c r="Z101" s="160"/>
    </row>
    <row r="102" spans="1:26" ht="14.25" customHeight="1">
      <c r="A102" s="203">
        <v>3.3</v>
      </c>
      <c r="B102" s="160">
        <f t="shared" si="3"/>
        <v>1995.2623149688804</v>
      </c>
      <c r="C102" s="160">
        <f t="shared" si="4"/>
        <v>12536.602861381598</v>
      </c>
      <c r="D102" s="160" t="str">
        <f>IMDIV(((CTRmin/100)*0.1),COMPLEX(1,'LOOKUP TABLES AND DROPDOWN LIST'!C102*((Copto*nF)+(Cext*uF))*((R_fb4*kOhms*Requ*kOhms)/((R_fb4*kOhms)+(Requ*kOhms)))))</f>
        <v>0.0290391644440894-0.0246715453628994i</v>
      </c>
      <c r="E102" s="160">
        <f t="shared" si="5"/>
        <v>-28.380458795912237</v>
      </c>
      <c r="F102" s="160">
        <f t="shared" si="6"/>
        <v>-40.351081150747731</v>
      </c>
      <c r="G102" s="160" t="str">
        <f>IMDIV((Vout_cv/(2*Iocc)),COMPLEX(1,'LOOKUP TABLES AND DROPDOWN LIST'!C102*(Cout*uF)*(Vout_cv/(2*Iocc))))</f>
        <v>0.00193615803843164-0.169693708222522i</v>
      </c>
      <c r="H102" s="160">
        <f t="shared" si="7"/>
        <v>-15.406119861263987</v>
      </c>
      <c r="I102" s="160">
        <f t="shared" si="8"/>
        <v>-89.34629944879461</v>
      </c>
      <c r="J102" s="160" t="str">
        <f>IMPRODUCT((1/(R_tl*kOhms)),G_fb1,(G_fb2*kOhms),(K_fm4*kHz),(G_p4*uC),'LOOKUP TABLES AND DROPDOWN LIST'!D102,'LOOKUP TABLES AND DROPDOWN LIST'!G102)</f>
        <v>3.68110330051244+4.43432282915021i</v>
      </c>
      <c r="K102" s="160">
        <f t="shared" si="9"/>
        <v>15.213177876912304</v>
      </c>
      <c r="L102" s="160">
        <f t="shared" si="10"/>
        <v>50.302619400457722</v>
      </c>
      <c r="M102" s="160"/>
      <c r="N102" s="160"/>
      <c r="O102" s="160"/>
      <c r="P102" s="160"/>
      <c r="Q102" s="160"/>
      <c r="R102" s="160">
        <f>MROUND(L86,5)</f>
        <v>115</v>
      </c>
      <c r="S102" s="160">
        <f>B86</f>
        <v>50.118723362727238</v>
      </c>
      <c r="T102" s="160"/>
      <c r="U102" s="160"/>
      <c r="V102" s="160"/>
      <c r="W102" s="160"/>
      <c r="X102" s="160"/>
      <c r="Y102" s="160"/>
      <c r="Z102" s="160"/>
    </row>
    <row r="103" spans="1:26" ht="14.25" customHeight="1">
      <c r="A103" s="203">
        <v>3.4</v>
      </c>
      <c r="B103" s="160">
        <f t="shared" si="3"/>
        <v>2511.8864315095811</v>
      </c>
      <c r="C103" s="160">
        <f t="shared" si="4"/>
        <v>15782.647919764762</v>
      </c>
      <c r="D103" s="160" t="str">
        <f>IMDIV(((CTRmin/100)*0.1),COMPLEX(1,'LOOKUP TABLES AND DROPDOWN LIST'!C103*((Copto*nF)+(Cext*uF))*((R_fb4*kOhms*Requ*kOhms)/((R_fb4*kOhms)+(Requ*kOhms)))))</f>
        <v>0.0233209399255322-0.0249435514164749i</v>
      </c>
      <c r="E103" s="160">
        <f t="shared" si="5"/>
        <v>-29.332839454498266</v>
      </c>
      <c r="F103" s="160">
        <f t="shared" si="6"/>
        <v>-46.9255105658414</v>
      </c>
      <c r="G103" s="160" t="str">
        <f>IMDIV((Vout_cv/(2*Iocc)),COMPLEX(1,'LOOKUP TABLES AND DROPDOWN LIST'!C103*(Cout*uF)*(Vout_cv/(2*Iocc))))</f>
        <v>0.00122169182006022-0.134798978949524i</v>
      </c>
      <c r="H103" s="160">
        <f t="shared" si="7"/>
        <v>-17.405911236959177</v>
      </c>
      <c r="I103" s="160">
        <f t="shared" si="8"/>
        <v>-89.48073888039923</v>
      </c>
      <c r="J103" s="160" t="str">
        <f>IMPRODUCT((1/(R_tl*kOhms)),G_fb1,(G_fb2*kOhms),(K_fm4*kHz),(G_p4*uC),'LOOKUP TABLES AND DROPDOWN LIST'!D103,'LOOKUP TABLES AND DROPDOWN LIST'!G103)</f>
        <v>2.97123527749614+2.82885120239342i</v>
      </c>
      <c r="K103" s="160">
        <f t="shared" si="9"/>
        <v>12.261005842631093</v>
      </c>
      <c r="L103" s="160">
        <f t="shared" si="10"/>
        <v>43.593750553759349</v>
      </c>
      <c r="M103" s="160"/>
      <c r="N103" s="160"/>
      <c r="O103" s="160"/>
      <c r="P103" s="160"/>
      <c r="Q103" s="160"/>
      <c r="R103" s="160">
        <f>MROUND(L85,5)</f>
        <v>120</v>
      </c>
      <c r="S103" s="160">
        <f>B85</f>
        <v>39.810717055349755</v>
      </c>
      <c r="T103" s="160"/>
      <c r="U103" s="160"/>
      <c r="V103" s="160"/>
      <c r="W103" s="160"/>
      <c r="X103" s="160"/>
      <c r="Y103" s="160"/>
      <c r="Z103" s="160"/>
    </row>
    <row r="104" spans="1:26" ht="14.25" customHeight="1">
      <c r="A104" s="203">
        <v>3.5</v>
      </c>
      <c r="B104" s="160">
        <f t="shared" si="3"/>
        <v>3162.2776601683804</v>
      </c>
      <c r="C104" s="160">
        <f t="shared" si="4"/>
        <v>19869.176531592209</v>
      </c>
      <c r="D104" s="160" t="str">
        <f>IMDIV(((CTRmin/100)*0.1),COMPLEX(1,'LOOKUP TABLES AND DROPDOWN LIST'!C104*((Copto*nF)+(Cext*uF))*((R_fb4*kOhms*Requ*kOhms)/((R_fb4*kOhms)+(Requ*kOhms)))))</f>
        <v>0.0177739143301029-0.0239328996548957i</v>
      </c>
      <c r="E104" s="160">
        <f t="shared" si="5"/>
        <v>-30.512469131170484</v>
      </c>
      <c r="F104" s="160">
        <f t="shared" si="6"/>
        <v>-53.400348025202653</v>
      </c>
      <c r="G104" s="160" t="str">
        <f>IMDIV((Vout_cv/(2*Iocc)),COMPLEX(1,'LOOKUP TABLES AND DROPDOWN LIST'!C104*(Cout*uF)*(Vout_cv/(2*Iocc))))</f>
        <v>0.000770858791561968-0.107077880560179i</v>
      </c>
      <c r="H104" s="160">
        <f t="shared" si="7"/>
        <v>-19.405779598765161</v>
      </c>
      <c r="I104" s="160">
        <f t="shared" si="8"/>
        <v>-89.587532064077394</v>
      </c>
      <c r="J104" s="160" t="str">
        <f>IMPRODUCT((1/(R_tl*kOhms)),G_fb1,(G_fb2*kOhms),(K_fm4*kHz),(G_p4*uC),'LOOKUP TABLES AND DROPDOWN LIST'!D104,'LOOKUP TABLES AND DROPDOWN LIST'!G104)</f>
        <v>2.27171980611758+1.71261719582351i</v>
      </c>
      <c r="K104" s="160">
        <f t="shared" si="9"/>
        <v>9.0815078041528903</v>
      </c>
      <c r="L104" s="160">
        <f t="shared" si="10"/>
        <v>37.012119910719953</v>
      </c>
      <c r="M104" s="160"/>
      <c r="N104" s="160"/>
      <c r="O104" s="160"/>
      <c r="P104" s="160"/>
      <c r="Q104" s="160"/>
      <c r="R104" s="160">
        <f>MROUND(L84,5)</f>
        <v>125</v>
      </c>
      <c r="S104" s="160">
        <f>B84</f>
        <v>31.622776601683803</v>
      </c>
      <c r="T104" s="160"/>
      <c r="U104" s="160"/>
      <c r="V104" s="160"/>
      <c r="W104" s="160"/>
      <c r="X104" s="160"/>
      <c r="Y104" s="160"/>
      <c r="Z104" s="160"/>
    </row>
    <row r="105" spans="1:26" ht="14.25" customHeight="1">
      <c r="A105" s="203">
        <v>3.6</v>
      </c>
      <c r="B105" s="160">
        <f t="shared" si="3"/>
        <v>3981.0717055349769</v>
      </c>
      <c r="C105" s="160">
        <f t="shared" si="4"/>
        <v>25013.811247045742</v>
      </c>
      <c r="D105" s="160" t="str">
        <f>IMDIV(((CTRmin/100)*0.1),COMPLEX(1,'LOOKUP TABLES AND DROPDOWN LIST'!C105*((Copto*nF)+(Cext*uF))*((R_fb4*kOhms*Requ*kOhms)/((R_fb4*kOhms)+(Requ*kOhms)))))</f>
        <v>0.012907929876923-0.0218810840713752i</v>
      </c>
      <c r="E105" s="160">
        <f t="shared" si="5"/>
        <v>-31.901733982556422</v>
      </c>
      <c r="F105" s="160">
        <f t="shared" si="6"/>
        <v>-59.46310468259118</v>
      </c>
      <c r="G105" s="160" t="str">
        <f>IMDIV((Vout_cv/(2*Iocc)),COMPLEX(1,'LOOKUP TABLES AND DROPDOWN LIST'!C105*(Cout*uF)*(Vout_cv/(2*Iocc))))</f>
        <v>0.00048638831832848-0.085056610561334i</v>
      </c>
      <c r="H105" s="160">
        <f t="shared" si="7"/>
        <v>-21.405696538626692</v>
      </c>
      <c r="I105" s="160">
        <f t="shared" si="8"/>
        <v>-89.672362983853972</v>
      </c>
      <c r="J105" s="160" t="str">
        <f>IMPRODUCT((1/(R_tl*kOhms)),G_fb1,(G_fb2*kOhms),(K_fm4*kHz),(G_p4*uC),'LOOKUP TABLES AND DROPDOWN LIST'!D105,'LOOKUP TABLES AND DROPDOWN LIST'!G105)</f>
        <v>1.65309276529399+0.987966278027463i</v>
      </c>
      <c r="K105" s="160">
        <f t="shared" si="9"/>
        <v>5.6923260129053999</v>
      </c>
      <c r="L105" s="160">
        <f t="shared" si="10"/>
        <v>30.86453233355488</v>
      </c>
      <c r="M105" s="160"/>
      <c r="N105" s="160"/>
      <c r="O105" s="160"/>
      <c r="P105" s="160"/>
      <c r="Q105" s="160"/>
      <c r="R105" s="160">
        <f>MROUND(L83,5)</f>
        <v>130</v>
      </c>
      <c r="S105" s="160">
        <f>B83</f>
        <v>25.118864315095799</v>
      </c>
      <c r="T105" s="160"/>
      <c r="U105" s="160"/>
      <c r="V105" s="160"/>
      <c r="W105" s="160"/>
      <c r="X105" s="160"/>
      <c r="Y105" s="160"/>
      <c r="Z105" s="160"/>
    </row>
    <row r="106" spans="1:26" ht="14.25" customHeight="1">
      <c r="A106" s="203">
        <v>3.7</v>
      </c>
      <c r="B106" s="160">
        <f t="shared" si="3"/>
        <v>5011.8723362727324</v>
      </c>
      <c r="C106" s="160">
        <f t="shared" si="4"/>
        <v>31490.522624728659</v>
      </c>
      <c r="D106" s="160" t="str">
        <f>IMDIV(((CTRmin/100)*0.1),COMPLEX(1,'LOOKUP TABLES AND DROPDOWN LIST'!C106*((Copto*nF)+(Cext*uF))*((R_fb4*kOhms*Requ*kOhms)/((R_fb4*kOhms)+(Requ*kOhms)))))</f>
        <v>0.009001986195169-0.019211026893439i</v>
      </c>
      <c r="E106" s="160">
        <f t="shared" si="5"/>
        <v>-33.466916530653563</v>
      </c>
      <c r="F106" s="160">
        <f t="shared" si="6"/>
        <v>-64.892947766000745</v>
      </c>
      <c r="G106" s="160" t="str">
        <f>IMDIV((Vout_cv/(2*Iocc)),COMPLEX(1,'LOOKUP TABLES AND DROPDOWN LIST'!C106*(Cout*uF)*(Vout_cv/(2*Iocc))))</f>
        <v>0.000306893985120827-0.0675636826345153i</v>
      </c>
      <c r="H106" s="160">
        <f t="shared" si="7"/>
        <v>-23.405644130404966</v>
      </c>
      <c r="I106" s="160">
        <f t="shared" si="8"/>
        <v>-89.739747620472883</v>
      </c>
      <c r="J106" s="160" t="str">
        <f>IMPRODUCT((1/(R_tl*kOhms)),G_fb1,(G_fb2*kOhms),(K_fm4*kHz),(G_p4*uC),'LOOKUP TABLES AND DROPDOWN LIST'!D106,'LOOKUP TABLES AND DROPDOWN LIST'!G106)</f>
        <v>1.15432037643903+0.547304611184839i</v>
      </c>
      <c r="K106" s="160">
        <f t="shared" si="9"/>
        <v>2.1271958730299927</v>
      </c>
      <c r="L106" s="160">
        <f t="shared" si="10"/>
        <v>25.367304613526397</v>
      </c>
      <c r="M106" s="160"/>
      <c r="N106" s="160"/>
      <c r="O106" s="160"/>
      <c r="P106" s="160"/>
      <c r="Q106" s="160"/>
      <c r="R106" s="160">
        <f>MROUND(L82,5)</f>
        <v>140</v>
      </c>
      <c r="S106" s="160">
        <f>B82</f>
        <v>19.952623149688804</v>
      </c>
      <c r="T106" s="160"/>
      <c r="U106" s="160"/>
      <c r="V106" s="160"/>
      <c r="W106" s="160"/>
      <c r="X106" s="160"/>
      <c r="Y106" s="160"/>
      <c r="Z106" s="160"/>
    </row>
    <row r="107" spans="1:26" ht="14.25" customHeight="1">
      <c r="A107" s="203">
        <v>3.8</v>
      </c>
      <c r="B107" s="160">
        <f t="shared" si="3"/>
        <v>6309.5734448019384</v>
      </c>
      <c r="C107" s="160">
        <f t="shared" si="4"/>
        <v>39644.21916295003</v>
      </c>
      <c r="D107" s="160" t="str">
        <f>IMDIV(((CTRmin/100)*0.1),COMPLEX(1,'LOOKUP TABLES AND DROPDOWN LIST'!C107*((Copto*nF)+(Cext*uF))*((R_fb4*kOhms*Requ*kOhms)/((R_fb4*kOhms)+(Requ*kOhms)))))</f>
        <v>0.00608411192450283-0.0163459223757873i</v>
      </c>
      <c r="E107" s="160">
        <f t="shared" si="5"/>
        <v>-35.168328008440227</v>
      </c>
      <c r="F107" s="160">
        <f t="shared" si="6"/>
        <v>-69.584242047263544</v>
      </c>
      <c r="G107" s="160" t="str">
        <f>IMDIV((Vout_cv/(2*Iocc)),COMPLEX(1,'LOOKUP TABLES AND DROPDOWN LIST'!C107*(Cout*uF)*(Vout_cv/(2*Iocc))))</f>
        <v>0.000193638488268732-0.053668149392409i</v>
      </c>
      <c r="H107" s="160">
        <f t="shared" si="7"/>
        <v>-25.405611062727136</v>
      </c>
      <c r="I107" s="160">
        <f t="shared" si="8"/>
        <v>-89.793273662107595</v>
      </c>
      <c r="J107" s="160" t="str">
        <f>IMPRODUCT((1/(R_tl*kOhms)),G_fb1,(G_fb2*kOhms),(K_fm4*kHz),(G_p4*uC),'LOOKUP TABLES AND DROPDOWN LIST'!D107,'LOOKUP TABLES AND DROPDOWN LIST'!G107)</f>
        <v>0.780782817146219+0.293826705853991i</v>
      </c>
      <c r="K107" s="160">
        <f t="shared" si="9"/>
        <v>-1.5741825370788332</v>
      </c>
      <c r="L107" s="160">
        <f t="shared" si="10"/>
        <v>20.622484290628879</v>
      </c>
      <c r="M107" s="160"/>
      <c r="N107" s="160"/>
      <c r="O107" s="160"/>
      <c r="P107" s="160"/>
      <c r="Q107" s="160"/>
      <c r="R107" s="160">
        <f>MROUND(L81,5)</f>
        <v>145</v>
      </c>
      <c r="S107" s="160">
        <f>B81</f>
        <v>15.848931924611136</v>
      </c>
      <c r="T107" s="160"/>
      <c r="U107" s="160"/>
      <c r="V107" s="160"/>
      <c r="W107" s="160"/>
      <c r="X107" s="160"/>
      <c r="Y107" s="160"/>
      <c r="Z107" s="160"/>
    </row>
    <row r="108" spans="1:26" ht="14.25" customHeight="1">
      <c r="A108" s="203">
        <v>3.9</v>
      </c>
      <c r="B108" s="160">
        <f t="shared" si="3"/>
        <v>7943.2823472428154</v>
      </c>
      <c r="C108" s="160">
        <f t="shared" si="4"/>
        <v>49909.114934975034</v>
      </c>
      <c r="D108" s="160" t="str">
        <f>IMDIV(((CTRmin/100)*0.1),COMPLEX(1,'LOOKUP TABLES AND DROPDOWN LIST'!C108*((Copto*nF)+(Cext*uF))*((R_fb4*kOhms*Requ*kOhms)/((R_fb4*kOhms)+(Requ*kOhms)))))</f>
        <v>0.00401930579384336-0.0135945014850764i</v>
      </c>
      <c r="E108" s="160">
        <f t="shared" si="5"/>
        <v>-36.968789465441866</v>
      </c>
      <c r="F108" s="160">
        <f t="shared" si="6"/>
        <v>-73.529331737155644</v>
      </c>
      <c r="G108" s="160" t="str">
        <f>IMDIV((Vout_cv/(2*Iocc)),COMPLEX(1,'LOOKUP TABLES AND DROPDOWN LIST'!C108*(Cout*uF)*(Vout_cv/(2*Iocc))))</f>
        <v>0.000122178213315718-0.04263033117241i</v>
      </c>
      <c r="H108" s="160">
        <f t="shared" si="7"/>
        <v>-27.405590198303365</v>
      </c>
      <c r="I108" s="160">
        <f t="shared" si="8"/>
        <v>-89.835791169986123</v>
      </c>
      <c r="J108" s="160" t="str">
        <f>IMPRODUCT((1/(R_tl*kOhms)),G_fb1,(G_fb2*kOhms),(K_fm4*kHz),(G_p4*uC),'LOOKUP TABLES AND DROPDOWN LIST'!D108,'LOOKUP TABLES AND DROPDOWN LIST'!G108)</f>
        <v>0.516061742231434+0.154186804178698i</v>
      </c>
      <c r="K108" s="160">
        <f t="shared" si="9"/>
        <v>-5.3746231296567011</v>
      </c>
      <c r="L108" s="160">
        <f t="shared" si="10"/>
        <v>16.634877092858193</v>
      </c>
      <c r="M108" s="160"/>
      <c r="N108" s="160"/>
      <c r="O108" s="160"/>
      <c r="P108" s="160"/>
      <c r="Q108" s="160"/>
      <c r="R108" s="160">
        <f>MROUND(L80,5)</f>
        <v>150</v>
      </c>
      <c r="S108" s="160">
        <f>B80</f>
        <v>12.58925411794168</v>
      </c>
      <c r="T108" s="160"/>
      <c r="U108" s="160"/>
      <c r="V108" s="160"/>
      <c r="W108" s="160"/>
      <c r="X108" s="160"/>
      <c r="Y108" s="160"/>
      <c r="Z108" s="160"/>
    </row>
    <row r="109" spans="1:26" ht="14.25" customHeight="1">
      <c r="A109" s="203">
        <v>4</v>
      </c>
      <c r="B109" s="160">
        <f t="shared" si="3"/>
        <v>10000</v>
      </c>
      <c r="C109" s="160">
        <f t="shared" si="4"/>
        <v>62831.853071795864</v>
      </c>
      <c r="D109" s="160" t="str">
        <f>IMDIV(((CTRmin/100)*0.1),COMPLEX(1,'LOOKUP TABLES AND DROPDOWN LIST'!C109*((Copto*nF)+(Cext*uF))*((R_fb4*kOhms*Requ*kOhms)/((R_fb4*kOhms)+(Requ*kOhms)))))</f>
        <v>0.00261354364971444-0.0111286374762034i</v>
      </c>
      <c r="E109" s="160">
        <f t="shared" si="5"/>
        <v>-38.838002378643004</v>
      </c>
      <c r="F109" s="160">
        <f t="shared" si="6"/>
        <v>-76.783675936209377</v>
      </c>
      <c r="G109" s="160" t="str">
        <f>IMDIV((Vout_cv/(2*Iocc)),COMPLEX(1,'LOOKUP TABLES AND DROPDOWN LIST'!C109*(Cout*uF)*(Vout_cv/(2*Iocc))))</f>
        <v>0.0000770894747052278-0.0338625783521564i</v>
      </c>
      <c r="H109" s="160">
        <f t="shared" si="7"/>
        <v>-29.40557703369041</v>
      </c>
      <c r="I109" s="160">
        <f t="shared" si="8"/>
        <v>-89.869564158133713</v>
      </c>
      <c r="J109" s="160" t="str">
        <f>IMPRODUCT((1/(R_tl*kOhms)),G_fb1,(G_fb2*kOhms),(K_fm4*kHz),(G_p4*uC),'LOOKUP TABLES AND DROPDOWN LIST'!D109,'LOOKUP TABLES AND DROPDOWN LIST'!G109)</f>
        <v>0.335673912642975+0.0796392629563654i</v>
      </c>
      <c r="K109" s="160">
        <f t="shared" si="9"/>
        <v>-9.2438228782448952</v>
      </c>
      <c r="L109" s="160">
        <f t="shared" si="10"/>
        <v>13.346759905656933</v>
      </c>
      <c r="M109" s="160"/>
      <c r="N109" s="160"/>
      <c r="O109" s="160"/>
      <c r="P109" s="160"/>
      <c r="Q109" s="160"/>
      <c r="R109" s="160">
        <f>MROUND(L79,5)</f>
        <v>155</v>
      </c>
      <c r="S109" s="160">
        <f>B79</f>
        <v>10</v>
      </c>
      <c r="T109" s="160"/>
      <c r="U109" s="160"/>
      <c r="V109" s="160"/>
      <c r="W109" s="160"/>
      <c r="X109" s="160"/>
      <c r="Y109" s="160"/>
      <c r="Z109" s="160"/>
    </row>
    <row r="110" spans="1:26" ht="14.25" customHeight="1">
      <c r="A110" s="203"/>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4.25" customHeight="1">
      <c r="A111" s="203"/>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4.25" customHeight="1">
      <c r="A112" s="203"/>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4.25" customHeight="1">
      <c r="A113" s="203"/>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4.25" customHeight="1">
      <c r="A114" s="203"/>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4.25" customHeight="1">
      <c r="A115" s="203"/>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4.25" customHeight="1">
      <c r="A116" s="203"/>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4.25" customHeight="1">
      <c r="A117" s="203"/>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4.25" customHeight="1">
      <c r="A118" s="203"/>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4.25" customHeight="1">
      <c r="A119" s="203"/>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4.25" customHeight="1">
      <c r="A120" s="203"/>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4.25" customHeight="1">
      <c r="A121" s="203"/>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4.25" customHeight="1">
      <c r="A122" s="203"/>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4.25" customHeight="1">
      <c r="A123" s="203"/>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4.25" customHeight="1">
      <c r="A124" s="203"/>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4.25" customHeight="1">
      <c r="A125" s="203"/>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4.25" customHeight="1">
      <c r="A126" s="203"/>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4.25" customHeight="1">
      <c r="A127" s="203"/>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4.25" customHeight="1">
      <c r="A128" s="203"/>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4.25" customHeight="1">
      <c r="A129" s="203"/>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4.2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4.2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4.2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4.2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4.2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4.2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4.2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4.2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4.2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4.2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4.2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4.2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4.2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4.2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4.2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4.2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4.2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4.2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4.2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4.2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4.2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4.2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4.2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4.2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4.2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4.2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4.2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4.2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4.2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4.2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4.2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4.2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4.2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4.2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4.2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4.2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4.2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4.2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4.2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4.2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4.2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4.2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4.2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4.2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4.2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4.2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4.2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4.2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4.2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4.2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4.2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4.2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4.2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4.2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4.2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4.2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4.2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4.2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4.2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4.2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4.2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4.2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4.2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4.2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4.2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4.2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4.2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4.2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4.2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4.2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4.2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4.2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4.2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4.2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4.2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4.2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4.2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4.2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4.2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4.2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4.2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4.2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4.2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4.2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4.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4.2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4.2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4.2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4.2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4.2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4.2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4.25"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4.25"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4.25"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4.25"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4.25"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4.25" customHeight="1">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4.25" customHeight="1">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4.2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4.25" customHeight="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4.25" customHeight="1">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4.25" customHeight="1">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4.2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4.25" customHeight="1">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4.25" customHeight="1">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4.25" customHeight="1">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4.25" customHeight="1">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4.25" customHeight="1">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4.25" customHeight="1">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4.25" customHeight="1">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4.25" customHeight="1">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4.25" customHeight="1">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4.25" customHeight="1">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4.25" customHeight="1">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4.25" customHeight="1">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4.25" customHeight="1">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4.25" customHeight="1">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4.25" customHeight="1">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4.25" customHeight="1">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4.25" customHeight="1">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4.25" customHeight="1">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4.25" customHeight="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4.25" customHeight="1">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4.25" customHeight="1">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4.25" customHeight="1">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4.25" customHeight="1">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4.25" customHeight="1">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4.25" customHeight="1">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4.25" customHeight="1">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4.25" customHeight="1">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4.25" customHeight="1">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4.25" customHeight="1">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4.25" customHeight="1">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4.25" customHeight="1">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4.25" customHeight="1">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4.25" customHeight="1">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4.25" customHeight="1">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4.25" customHeight="1">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4.25" customHeight="1">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4.25" customHeight="1">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4.25" customHeight="1">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4.25" customHeight="1">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4.25" customHeight="1">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4.25" customHeight="1">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4.25" customHeight="1">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4.25" customHeight="1">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4.25" customHeight="1">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4.25" customHeight="1">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4.25" customHeight="1">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4.25" customHeight="1">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4.25" customHeight="1">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4.25" customHeight="1">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4.25" customHeight="1">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4.25" customHeight="1">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4.25" customHeight="1">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4.25" customHeight="1">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4.25" customHeight="1">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4.25" customHeight="1">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4.25" customHeight="1">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4.25" customHeight="1">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4.25" customHeight="1">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4.25" customHeight="1">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4.25" customHeight="1">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4.25" customHeight="1">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4.25" customHeight="1">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4.25" customHeight="1">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4.25" customHeight="1">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4.25" customHeight="1">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4.25" customHeight="1">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4.25" customHeight="1">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4.25" customHeight="1">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4.25" customHeight="1">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4.25" customHeight="1">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4.25" customHeight="1">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4.25" customHeight="1">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4.25" customHeight="1">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4.25" customHeight="1">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4.25" customHeight="1">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4.25" customHeight="1">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4.25" customHeight="1">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4.25" customHeight="1">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4.25" customHeight="1">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4.25" customHeight="1">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4.25" customHeight="1">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4.25" customHeight="1">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4.25" customHeight="1">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4.25" customHeight="1">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4.25" customHeight="1">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4.25" customHeight="1">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4.25" customHeight="1">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4.25" customHeight="1">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4.25" customHeight="1">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4.25" customHeight="1">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4.25" customHeight="1">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4.25" customHeight="1">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4.25" customHeight="1">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4.25" customHeight="1">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4.25" customHeight="1">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4.25" customHeight="1">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4.25" customHeight="1">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4.25" customHeight="1">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4.25" customHeight="1">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4.25" customHeight="1">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4.25" customHeight="1">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4.25" customHeight="1">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4.25" customHeight="1">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4.25" customHeight="1">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4.25" customHeight="1">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4.25" customHeight="1">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4.25" customHeight="1">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4.25" customHeight="1">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4.25" customHeight="1">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4.25" customHeight="1">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4.25" customHeight="1">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4.25" customHeight="1">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4.25" customHeight="1">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4.25" customHeight="1">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4.25" customHeight="1">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4.25" customHeight="1">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4.25" customHeight="1">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4.25" customHeight="1">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4.25" customHeight="1">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4.25" customHeight="1">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4.25" customHeight="1">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4.25" customHeight="1">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4.25" customHeight="1">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4.25" customHeight="1">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4.25" customHeight="1">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4.25" customHeight="1">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4.25" customHeight="1">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4.25" customHeight="1">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4.25" customHeight="1">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4.25" customHeight="1">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4.25" customHeight="1">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4.25" customHeight="1">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4.25" customHeight="1">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4.25" customHeight="1">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4.25" customHeight="1">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4.25" customHeight="1">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4.25" customHeight="1">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4.25" customHeight="1">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4.25" customHeight="1">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4.25" customHeight="1">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4.25" customHeight="1">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4.25" customHeight="1">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4.25" customHeight="1">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4.25" customHeight="1">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4.25" customHeight="1">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4.25" customHeight="1">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4.25" customHeight="1">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4.25" customHeight="1">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4.25" customHeight="1">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4.25" customHeight="1">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4.25" customHeight="1">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4.25" customHeight="1">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4.25" customHeight="1">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4.25" customHeight="1">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4.25" customHeight="1">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4.25" customHeight="1">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4.25" customHeight="1">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4.25" customHeight="1">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4.25" customHeight="1">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4.25" customHeight="1">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4.25" customHeight="1">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4.25" customHeight="1">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4.25" customHeight="1">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4.25" customHeight="1">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4.25" customHeight="1">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4.25" customHeight="1">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4.25" customHeight="1">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4.25" customHeight="1">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4.25" customHeight="1">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4.25" customHeight="1">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4.25" customHeight="1">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4.25" customHeight="1">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4.25" customHeight="1">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4.25" customHeight="1">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4.25" customHeight="1">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4.25" customHeight="1">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4.25" customHeight="1">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4.25" customHeight="1">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4.25" customHeight="1">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4.25" customHeight="1">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4.25" customHeight="1">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4.25" customHeight="1">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4.25" customHeight="1">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4.25" customHeight="1">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4.25" customHeight="1">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4.25" customHeight="1">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4.25" customHeight="1">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4.25" customHeight="1">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4.25" customHeight="1">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4.25" customHeight="1">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4.25" customHeight="1">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4.25" customHeight="1">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4.25" customHeight="1">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4.25" customHeight="1">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4.25" customHeight="1">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4.25" customHeight="1">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4.25" customHeight="1">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4.25" customHeight="1">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4.25" customHeight="1">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4.25" customHeight="1">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4.25" customHeight="1">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4.25" customHeight="1">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4.25" customHeight="1">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4.25" customHeight="1">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4.25" customHeight="1">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4.25" customHeight="1">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4.25" customHeight="1">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4.25" customHeight="1">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4.25" customHeight="1">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4.25" customHeight="1">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4.25" customHeight="1">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4.25" customHeight="1">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4.25" customHeight="1">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4.25" customHeight="1">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4.25" customHeight="1">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4.25" customHeight="1">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4.25" customHeight="1">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4.25" customHeight="1">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4.25" customHeight="1">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4.25" customHeight="1">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4.25" customHeight="1">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4.25" customHeight="1">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4.25" customHeight="1">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4.25" customHeight="1">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4.25" customHeight="1">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4.25" customHeight="1">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4.25" customHeight="1">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4.25" customHeight="1">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4.25" customHeight="1">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4.25" customHeight="1">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4.25" customHeight="1">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4.25" customHeight="1">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4.25" customHeight="1">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4.25" customHeight="1">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4.25" customHeight="1">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4.25" customHeight="1">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4.25" customHeight="1">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4.25" customHeight="1">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4.25" customHeight="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4.25" customHeight="1">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4.25" customHeight="1">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4.25" customHeight="1">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4.25" customHeight="1">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4.25" customHeight="1">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4.25" customHeigh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4.25" customHeight="1">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4.25" customHeight="1">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4.25" customHeight="1">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4.25" customHeight="1">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4.25" customHeight="1">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4.25" customHeight="1">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4.25" customHeight="1">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4.25" customHeight="1">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4.25" customHeight="1">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4.25" customHeight="1">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4.25" customHeight="1">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4.25" customHeight="1">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4.25" customHeight="1">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4.25" customHeight="1">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4.25" customHeight="1">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4.25" customHeight="1">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4.25" customHeight="1">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4.25" customHeight="1">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4.25" customHeight="1">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4.25" customHeight="1">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4.25" customHeight="1">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4.25" customHeight="1">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4.25" customHeight="1">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4.25" customHeight="1">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4.25" customHeight="1">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4.25" customHeight="1">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4.25" customHeight="1">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4.25" customHeight="1">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4.25" customHeight="1">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4.25" customHeight="1">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4.25" customHeight="1">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4.25" customHeight="1">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4.25" customHeight="1">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4.25" customHeight="1">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4.25" customHeight="1">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4.25" customHeight="1">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4.25" customHeight="1">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4.25" customHeight="1">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4.25" customHeight="1">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4.25" customHeight="1">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4.25" customHeight="1">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4.25" customHeight="1">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4.25" customHeight="1">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4.25" customHeight="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4.25" customHeight="1">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4.25" customHeight="1">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4.25" customHeight="1">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4.25" customHeight="1">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4.25" customHeight="1">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4.25" customHeight="1">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4.25" customHeight="1">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4.25" customHeight="1">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4.25" customHeight="1">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4.25" customHeight="1">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4.25" customHeight="1">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4.25" customHeight="1">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4.25" customHeight="1">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4.25" customHeight="1">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4.25" customHeight="1">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4.25" customHeight="1">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4.25" customHeight="1">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4.25" customHeight="1">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4.25" customHeight="1">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4.25" customHeight="1">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4.25" customHeight="1">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4.25" customHeight="1">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4.25" customHeight="1">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4.25" customHeight="1">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4.25" customHeight="1">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4.25" customHeight="1">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4.25" customHeight="1">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4.25" customHeight="1">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4.25" customHeight="1">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4.25" customHeight="1">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4.25" customHeight="1">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4.25" customHeight="1">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4.25" customHeight="1">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4.25" customHeight="1">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4.25" customHeight="1">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4.25" customHeight="1">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4.25" customHeight="1">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4.25" customHeight="1">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4.25" customHeight="1">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4.25" customHeight="1">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4.25" customHeight="1">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4.25" customHeight="1">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4.25" customHeight="1">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4.25" customHeight="1">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4.25" customHeight="1">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4.25" customHeight="1">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4.25" customHeight="1">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4.25" customHeight="1">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4.25" customHeight="1">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4.25" customHeight="1">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4.25" customHeight="1">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4.25" customHeight="1">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4.25" customHeight="1">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4.25" customHeight="1">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4.25" customHeight="1">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4.25" customHeight="1">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4.25" customHeight="1">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4.25" customHeight="1">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4.25" customHeight="1">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4.25" customHeight="1">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4.25" customHeight="1">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4.25" customHeight="1">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4.25" customHeight="1">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4.25" customHeight="1">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4.25" customHeight="1">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4.25" customHeight="1">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4.25" customHeight="1">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4.25" customHeight="1">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4.25" customHeight="1">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4.25" customHeight="1">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4.25" customHeight="1">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4.25" customHeight="1">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4.25" customHeight="1">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4.25" customHeight="1">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4.25" customHeight="1">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4.25" customHeight="1">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4.25" customHeight="1">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4.25" customHeight="1">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4.25" customHeight="1">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4.25" customHeight="1">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4.25" customHeight="1">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4.25" customHeight="1">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4.25" customHeight="1">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4.25" customHeight="1">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4.25" customHeight="1">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4.25" customHeight="1">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4.25" customHeight="1">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4.25" customHeight="1">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4.25" customHeight="1">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4.25" customHeight="1">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4.25" customHeight="1">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4.25" customHeight="1">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4.25" customHeight="1">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4.25" customHeight="1">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4.25" customHeight="1">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4.25" customHeight="1">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4.25" customHeight="1">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4.25" customHeight="1">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4.25" customHeight="1">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4.25" customHeight="1">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4.25" customHeight="1">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4.25" customHeight="1">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4.25" customHeight="1">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4.25" customHeight="1">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4.25" customHeight="1">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4.25" customHeight="1">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4.25" customHeight="1">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4.25" customHeight="1">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4.25" customHeight="1">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4.25" customHeight="1">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4.25" customHeight="1">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4.25" customHeight="1">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4.25" customHeight="1">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4.25" customHeight="1">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4.25" customHeight="1">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4.25" customHeight="1">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4.25" customHeight="1">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4.25" customHeight="1">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4.25" customHeight="1">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4.25" customHeight="1">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4.25" customHeight="1">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4.25" customHeight="1">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4.25" customHeight="1">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4.25" customHeight="1">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4.25" customHeight="1">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4.25" customHeight="1">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4.25" customHeight="1">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4.25" customHeight="1">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4.25" customHeight="1">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4.25" customHeight="1">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4.25" customHeight="1">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4.25" customHeight="1">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4.25" customHeight="1">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4.25" customHeight="1">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4.25" customHeight="1">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4.25" customHeight="1">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4.25" customHeight="1">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4.25" customHeight="1">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4.25" customHeight="1">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4.25" customHeight="1">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4.25" customHeight="1">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4.25" customHeight="1">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4.25" customHeight="1">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4.25" customHeight="1">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4.25" customHeight="1">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4.25" customHeight="1">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4.25" customHeight="1">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4.25" customHeight="1">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4.25" customHeight="1">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4.25" customHeight="1">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4.25" customHeight="1">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4.25" customHeight="1">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4.25" customHeight="1">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4.25" customHeight="1">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4.25" customHeight="1">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4.25" customHeight="1">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4.25" customHeight="1">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4.25" customHeight="1">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4.25" customHeight="1">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4.25" customHeight="1">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4.25" customHeight="1">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4.25" customHeight="1">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4.25" customHeight="1">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4.25" customHeight="1">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4.25" customHeight="1">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4.25" customHeight="1">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4.25" customHeight="1">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4.25" customHeight="1">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4.25" customHeight="1">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4.25" customHeight="1">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4.25" customHeight="1">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4.25" customHeight="1">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4.25" customHeight="1">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4.25" customHeight="1">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4.25" customHeight="1">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4.25" customHeight="1">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4.25" customHeight="1">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4.25" customHeight="1">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4.25" customHeight="1">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4.25" customHeight="1">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4.25" customHeight="1">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4.25" customHeight="1">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4.25" customHeight="1">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4.25" customHeight="1">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4.25" customHeight="1">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4.25" customHeight="1">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4.25" customHeight="1">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4.25" customHeight="1">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4.25" customHeight="1">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4.25" customHeight="1">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4.25" customHeight="1">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4.25" customHeight="1">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4.25" customHeight="1">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4.25" customHeight="1">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4.25" customHeight="1">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4.25" customHeight="1">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4.25" customHeight="1">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4.25" customHeight="1">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4.25" customHeight="1">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4.25" customHeight="1">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4.25" customHeight="1">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4.25" customHeight="1">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4.25" customHeight="1">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4.25" customHeight="1">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4.25" customHeight="1">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4.25" customHeight="1">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4.25" customHeight="1">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4.25" customHeight="1">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4.25" customHeight="1">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4.25" customHeight="1">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4.25" customHeight="1">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4.25" customHeight="1">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4.25" customHeight="1">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4.25" customHeight="1">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4.25" customHeight="1">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4.25" customHeight="1">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4.25" customHeight="1">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4.25" customHeight="1">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4.25" customHeight="1">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4.25" customHeight="1">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4.25" customHeight="1">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4.25" customHeight="1">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4.25" customHeight="1">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4.25" customHeight="1">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4.25" customHeight="1">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4.25" customHeight="1">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4.25" customHeight="1">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4.25" customHeight="1">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4.25" customHeight="1">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4.25" customHeight="1">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4.25" customHeight="1">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4.25" customHeight="1">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4.25" customHeight="1">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4.25" customHeight="1">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4.25" customHeight="1">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4.25" customHeight="1">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4.25" customHeight="1">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4.25" customHeight="1">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4.25" customHeight="1">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4.25" customHeight="1">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4.25" customHeight="1">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4.25" customHeight="1">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4.25" customHeight="1">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4.25" customHeight="1">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4.25" customHeight="1">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4.25" customHeight="1">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4.25" customHeight="1">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4.25" customHeight="1">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4.25" customHeight="1">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4.25" customHeight="1">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4.25" customHeight="1">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4.25" customHeight="1">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4.25" customHeight="1">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4.25" customHeight="1">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4.25" customHeight="1">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4.25" customHeight="1">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4.25" customHeight="1">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4.25" customHeight="1">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4.25" customHeight="1">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4.25" customHeight="1">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4.25" customHeight="1">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4.25" customHeight="1">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4.25" customHeight="1">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4.25" customHeight="1">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4.25" customHeight="1">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4.25" customHeight="1">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4.25" customHeight="1">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4.25" customHeight="1">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4.25" customHeight="1">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4.25" customHeight="1">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4.25" customHeight="1">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4.25" customHeight="1">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4.25" customHeight="1">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4.25" customHeight="1">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4.25" customHeight="1">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4.25" customHeight="1">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4.25" customHeight="1">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4.25" customHeight="1">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4.25" customHeight="1">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4.25" customHeight="1">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4.25" customHeight="1">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4.25" customHeight="1">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4.25" customHeight="1">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4.25" customHeight="1">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4.25" customHeight="1">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4.25" customHeight="1">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4.25" customHeight="1">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4.25" customHeight="1">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4.25" customHeight="1">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4.25" customHeight="1">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4.25" customHeight="1">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4.25" customHeight="1">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4.25" customHeight="1">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4.25" customHeight="1">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4.25" customHeight="1">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4.25" customHeight="1">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4.25" customHeight="1">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4.25" customHeight="1">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4.25" customHeight="1">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4.25" customHeight="1">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4.25" customHeight="1">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4.25" customHeight="1">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4.25" customHeight="1">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4.25" customHeight="1">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4.25" customHeight="1">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4.25" customHeight="1">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4.25" customHeight="1">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4.25" customHeight="1">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4.25" customHeight="1">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4.25" customHeight="1">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4.25" customHeight="1">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4.25" customHeight="1">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4.25" customHeight="1">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4.25" customHeight="1">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4.25" customHeight="1">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4.25" customHeight="1">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4.25" customHeight="1">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4.25" customHeight="1">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4.25" customHeight="1">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4.25" customHeight="1">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4.25" customHeight="1">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4.25" customHeight="1">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4.25" customHeight="1">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4.25" customHeight="1">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4.25" customHeight="1">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4.25" customHeight="1">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4.25" customHeight="1">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4.25" customHeight="1">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4.25" customHeight="1">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4.25" customHeight="1">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4.25" customHeight="1">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4.25" customHeight="1">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4.25" customHeight="1">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4.25" customHeight="1">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4.25" customHeight="1">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4.25" customHeight="1">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4.25" customHeight="1">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4.25" customHeight="1">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4.25" customHeight="1">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4.25" customHeight="1">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4.25" customHeight="1">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4.25" customHeight="1">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4.25" customHeight="1">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4.25" customHeight="1">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4.25" customHeight="1">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4.25" customHeight="1">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4.25" customHeight="1">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4.25" customHeight="1">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4.25" customHeight="1">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4.25" customHeight="1">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4.25" customHeight="1">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4.25" customHeight="1">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4.25" customHeight="1">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4.25" customHeight="1">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4.25" customHeight="1">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4.25" customHeight="1">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4.25" customHeight="1">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4.25" customHeight="1">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4.25" customHeight="1">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4.25" customHeight="1">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4.25" customHeight="1">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4.25" customHeight="1">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4.25" customHeight="1">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4.25" customHeight="1">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4.25" customHeight="1">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4.25" customHeight="1">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4.25" customHeight="1">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4.25" customHeight="1">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4.25" customHeight="1">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4.25" customHeight="1">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4.25" customHeight="1">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4.25" customHeight="1">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4.25" customHeight="1">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4.25" customHeight="1">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4.25" customHeight="1">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4.25" customHeight="1">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4.25" customHeight="1">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4.25" customHeight="1">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4.25" customHeight="1">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4.25" customHeight="1">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4.25" customHeight="1">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4.25" customHeight="1">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4.25" customHeight="1">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4.25" customHeight="1">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4.25" customHeight="1">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4.25" customHeight="1">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4.25" customHeight="1">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4.25" customHeight="1">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4.25" customHeight="1">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4.25" customHeight="1">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4.25" customHeight="1">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4.25" customHeight="1">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4.25" customHeight="1">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4.25" customHeight="1">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4.25" customHeight="1">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4.25" customHeight="1">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4.25" customHeight="1">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4.25" customHeight="1">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4.25" customHeight="1">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4.25" customHeight="1">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4.25" customHeight="1">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4.25" customHeight="1">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4.25" customHeight="1">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4.25" customHeight="1">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4.25" customHeight="1">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4.25" customHeight="1">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4.25" customHeight="1">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4.25" customHeight="1">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4.25" customHeight="1">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4.25" customHeight="1">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4.25" customHeight="1">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4.25" customHeight="1">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4.25" customHeight="1">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4.25" customHeight="1">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4.25" customHeight="1">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4.25" customHeight="1">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4.25" customHeight="1">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4.25" customHeight="1">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4.25" customHeight="1">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4.25" customHeight="1">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4.25" customHeight="1">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4.25" customHeight="1">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4.25" customHeight="1">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4.25" customHeight="1">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4.25" customHeight="1">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4.25" customHeight="1">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4.25" customHeight="1">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4.25" customHeight="1">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4.25" customHeight="1">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4.25" customHeight="1">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4.25" customHeight="1">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4.25" customHeight="1">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4.25" customHeight="1">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4.25" customHeight="1">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4.25" customHeight="1">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4.25" customHeight="1">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4.25" customHeight="1">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4.25" customHeight="1">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4.25" customHeight="1">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4.25" customHeight="1">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4.25" customHeight="1">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4.25" customHeight="1">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4.25" customHeight="1">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4.25" customHeight="1">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4.25" customHeight="1">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4.25" customHeight="1">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4.25" customHeight="1">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4.25" customHeight="1">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4.25" customHeight="1">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4.25" customHeight="1">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4.25" customHeight="1">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4.25" customHeight="1">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4.25" customHeight="1">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4.25" customHeight="1">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4.25" customHeight="1">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4.25" customHeight="1">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4.25" customHeight="1">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4.25" customHeight="1">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4.25" customHeight="1">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4.25" customHeight="1">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4.25" customHeight="1">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4.25" customHeight="1">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4.25" customHeight="1">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4.25" customHeight="1">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4.25" customHeight="1">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4.25" customHeight="1">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4.25" customHeight="1">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4.25" customHeight="1">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4.25" customHeight="1">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4.25" customHeight="1">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4.25" customHeight="1">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4.25" customHeight="1">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4.25" customHeight="1">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4.25" customHeight="1">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4.25" customHeight="1">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4.25" customHeight="1">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4.25" customHeight="1">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spans="1:26" ht="14.25" customHeight="1">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row r="1000" spans="1:26" ht="14.25" customHeight="1">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row>
  </sheetData>
  <mergeCells count="13">
    <mergeCell ref="A1:A2"/>
    <mergeCell ref="V21:Y21"/>
    <mergeCell ref="A77:A78"/>
    <mergeCell ref="D76:F76"/>
    <mergeCell ref="E36:G36"/>
    <mergeCell ref="I27:K27"/>
    <mergeCell ref="I28:K28"/>
    <mergeCell ref="I34:K34"/>
    <mergeCell ref="A22:C22"/>
    <mergeCell ref="E23:G23"/>
    <mergeCell ref="E22:G22"/>
    <mergeCell ref="S21:T21"/>
    <mergeCell ref="P21:Q2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defaultColWidth="14.44140625" defaultRowHeight="15" customHeight="1"/>
  <cols>
    <col min="1" max="26" width="8.6640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238</vt:i4>
      </vt:variant>
    </vt:vector>
  </HeadingPairs>
  <TitlesOfParts>
    <vt:vector size="243" baseType="lpstr">
      <vt:lpstr>START HERE</vt:lpstr>
      <vt:lpstr>SCHEMATIC AND BoM</vt:lpstr>
      <vt:lpstr>CALCULATIONS</vt:lpstr>
      <vt:lpstr>LOOKUP TABLES AND DROPDOWN LIST</vt:lpstr>
      <vt:lpstr>Sheet1</vt:lpstr>
      <vt:lpstr>C_f1</vt:lpstr>
      <vt:lpstr>C_f2</vt:lpstr>
      <vt:lpstr>C_s1</vt:lpstr>
      <vt:lpstr>C_s2</vt:lpstr>
      <vt:lpstr>Cbulk</vt:lpstr>
      <vt:lpstr>Cbulk_actual</vt:lpstr>
      <vt:lpstr>Cbulk_initial</vt:lpstr>
      <vt:lpstr>Cbulk_rcmd</vt:lpstr>
      <vt:lpstr>Cbulk_recommended</vt:lpstr>
      <vt:lpstr>Cext</vt:lpstr>
      <vt:lpstr>Cext_actual</vt:lpstr>
      <vt:lpstr>Cext_rcmd</vt:lpstr>
      <vt:lpstr>Cfb_actual</vt:lpstr>
      <vt:lpstr>Cfb_rcmd</vt:lpstr>
      <vt:lpstr>Copto</vt:lpstr>
      <vt:lpstr>Coss</vt:lpstr>
      <vt:lpstr>Cout</vt:lpstr>
      <vt:lpstr>Cout_actual</vt:lpstr>
      <vt:lpstr>Cout_no_opto</vt:lpstr>
      <vt:lpstr>Cout_rcmd</vt:lpstr>
      <vt:lpstr>CTRmin</vt:lpstr>
      <vt:lpstr>Cvdd_rcmd</vt:lpstr>
      <vt:lpstr>Cvdd1</vt:lpstr>
      <vt:lpstr>Cz</vt:lpstr>
      <vt:lpstr>Cz_actual</vt:lpstr>
      <vt:lpstr>Cz_rcmd</vt:lpstr>
      <vt:lpstr>DCR_Lout</vt:lpstr>
      <vt:lpstr>Ddemag_cc</vt:lpstr>
      <vt:lpstr>Dmax</vt:lpstr>
      <vt:lpstr>Dmax_target</vt:lpstr>
      <vt:lpstr>E_48f</vt:lpstr>
      <vt:lpstr>E_48s</vt:lpstr>
      <vt:lpstr>eff_xfmr</vt:lpstr>
      <vt:lpstr>efficiency</vt:lpstr>
      <vt:lpstr>ESR</vt:lpstr>
      <vt:lpstr>ESRactual</vt:lpstr>
      <vt:lpstr>ESRrcmd</vt:lpstr>
      <vt:lpstr>fc_opto</vt:lpstr>
      <vt:lpstr>fline_min</vt:lpstr>
      <vt:lpstr>fmax</vt:lpstr>
      <vt:lpstr>fmax_target</vt:lpstr>
      <vt:lpstr>fmin</vt:lpstr>
      <vt:lpstr>fres</vt:lpstr>
      <vt:lpstr>fres_actual</vt:lpstr>
      <vt:lpstr>fswmax</vt:lpstr>
      <vt:lpstr>fswmin</vt:lpstr>
      <vt:lpstr>G_fb1</vt:lpstr>
      <vt:lpstr>G_fb2</vt:lpstr>
      <vt:lpstr>G_p4</vt:lpstr>
      <vt:lpstr>Ibridge</vt:lpstr>
      <vt:lpstr>Icin</vt:lpstr>
      <vt:lpstr>Icout_rms</vt:lpstr>
      <vt:lpstr>Idout</vt:lpstr>
      <vt:lpstr>Idrain</vt:lpstr>
      <vt:lpstr>Iin_peak</vt:lpstr>
      <vt:lpstr>Input_Voltage_type</vt:lpstr>
      <vt:lpstr>Iocc</vt:lpstr>
      <vt:lpstr>Iocc_max</vt:lpstr>
      <vt:lpstr>Iocc_target</vt:lpstr>
      <vt:lpstr>Iout</vt:lpstr>
      <vt:lpstr>Ipp_fm</vt:lpstr>
      <vt:lpstr>Ipp_nom</vt:lpstr>
      <vt:lpstr>Ipp_wc</vt:lpstr>
      <vt:lpstr>Ipri_RMS</vt:lpstr>
      <vt:lpstr>Ipulsed</vt:lpstr>
      <vt:lpstr>Iref431</vt:lpstr>
      <vt:lpstr>Irun</vt:lpstr>
      <vt:lpstr>Isec_rms</vt:lpstr>
      <vt:lpstr>Isp_max</vt:lpstr>
      <vt:lpstr>Itran</vt:lpstr>
      <vt:lpstr>Ivslrun_max</vt:lpstr>
      <vt:lpstr>Ivslrun_min</vt:lpstr>
      <vt:lpstr>Ivslrun_nom</vt:lpstr>
      <vt:lpstr>Ivslstop_max</vt:lpstr>
      <vt:lpstr>Ivslstop_min</vt:lpstr>
      <vt:lpstr>Ivslstop_nom</vt:lpstr>
      <vt:lpstr>K_fm4</vt:lpstr>
      <vt:lpstr>Kam_nom</vt:lpstr>
      <vt:lpstr>kHz</vt:lpstr>
      <vt:lpstr>Klc</vt:lpstr>
      <vt:lpstr>kOhms</vt:lpstr>
      <vt:lpstr>Lp</vt:lpstr>
      <vt:lpstr>Lp_actual</vt:lpstr>
      <vt:lpstr>Lp_est</vt:lpstr>
      <vt:lpstr>Lp_rcmd</vt:lpstr>
      <vt:lpstr>mA</vt:lpstr>
      <vt:lpstr>MHz</vt:lpstr>
      <vt:lpstr>mOhms</vt:lpstr>
      <vt:lpstr>ms</vt:lpstr>
      <vt:lpstr>mV</vt:lpstr>
      <vt:lpstr>mW</vt:lpstr>
      <vt:lpstr>Nas</vt:lpstr>
      <vt:lpstr>Nas_rcmd</vt:lpstr>
      <vt:lpstr>nC</vt:lpstr>
      <vt:lpstr>nF</vt:lpstr>
      <vt:lpstr>Npa</vt:lpstr>
      <vt:lpstr>Npa_actual</vt:lpstr>
      <vt:lpstr>Npa_rcmd</vt:lpstr>
      <vt:lpstr>Nps</vt:lpstr>
      <vt:lpstr>Nps_actual</vt:lpstr>
      <vt:lpstr>Nps_ideal</vt:lpstr>
      <vt:lpstr>Nps_rcmd</vt:lpstr>
      <vt:lpstr>NPSmax</vt:lpstr>
      <vt:lpstr>ns</vt:lpstr>
      <vt:lpstr>P_Rcs</vt:lpstr>
      <vt:lpstr>Pbridge</vt:lpstr>
      <vt:lpstr>Pdout</vt:lpstr>
      <vt:lpstr>pF</vt:lpstr>
      <vt:lpstr>Pfet</vt:lpstr>
      <vt:lpstr>Pfet_cond</vt:lpstr>
      <vt:lpstr>Pfet_switch</vt:lpstr>
      <vt:lpstr>Pin</vt:lpstr>
      <vt:lpstr>Pout</vt:lpstr>
      <vt:lpstr>Psb_target</vt:lpstr>
      <vt:lpstr>Qg</vt:lpstr>
      <vt:lpstr>R_fb1</vt:lpstr>
      <vt:lpstr>R_fb2</vt:lpstr>
      <vt:lpstr>R_fb4</vt:lpstr>
      <vt:lpstr>R_fb4_actual</vt:lpstr>
      <vt:lpstr>R_fb4_rcmd</vt:lpstr>
      <vt:lpstr>R_tl</vt:lpstr>
      <vt:lpstr>R_vs1</vt:lpstr>
      <vt:lpstr>R_vs2</vt:lpstr>
      <vt:lpstr>Rcs</vt:lpstr>
      <vt:lpstr>Rcs_actual</vt:lpstr>
      <vt:lpstr>Rcs_rcmd</vt:lpstr>
      <vt:lpstr>Rdson</vt:lpstr>
      <vt:lpstr>Requ</vt:lpstr>
      <vt:lpstr>Rfb1_actual</vt:lpstr>
      <vt:lpstr>Rfb1_rcmd</vt:lpstr>
      <vt:lpstr>Rfb2_actual</vt:lpstr>
      <vt:lpstr>Rfb2_rcmd</vt:lpstr>
      <vt:lpstr>Rinj</vt:lpstr>
      <vt:lpstr>Rl_opto</vt:lpstr>
      <vt:lpstr>Rlc</vt:lpstr>
      <vt:lpstr>Rlc_actual</vt:lpstr>
      <vt:lpstr>Rlc_rcmd</vt:lpstr>
      <vt:lpstr>Rtl_actual</vt:lpstr>
      <vt:lpstr>Rtl_rcmd</vt:lpstr>
      <vt:lpstr>Rvs1_actual</vt:lpstr>
      <vt:lpstr>Rvs1_rcmd</vt:lpstr>
      <vt:lpstr>Rvs2_actual</vt:lpstr>
      <vt:lpstr>Rvs2_rcmd</vt:lpstr>
      <vt:lpstr>t_1</vt:lpstr>
      <vt:lpstr>t_2</vt:lpstr>
      <vt:lpstr>t_charge</vt:lpstr>
      <vt:lpstr>t_discharge</vt:lpstr>
      <vt:lpstr>t_line</vt:lpstr>
      <vt:lpstr>t1_1</vt:lpstr>
      <vt:lpstr>t1_2</vt:lpstr>
      <vt:lpstr>t1_3</vt:lpstr>
      <vt:lpstr>t2_1</vt:lpstr>
      <vt:lpstr>t2_2</vt:lpstr>
      <vt:lpstr>t2_3</vt:lpstr>
      <vt:lpstr>tcharge_1</vt:lpstr>
      <vt:lpstr>tcharge_2</vt:lpstr>
      <vt:lpstr>tcharge_3</vt:lpstr>
      <vt:lpstr>tdelay</vt:lpstr>
      <vt:lpstr>tdemag</vt:lpstr>
      <vt:lpstr>tdemag_min</vt:lpstr>
      <vt:lpstr>tdischarge_1</vt:lpstr>
      <vt:lpstr>tdischarge_2</vt:lpstr>
      <vt:lpstr>tdischarge_3</vt:lpstr>
      <vt:lpstr>tdoff</vt:lpstr>
      <vt:lpstr>tf</vt:lpstr>
      <vt:lpstr>tf_opto</vt:lpstr>
      <vt:lpstr>ton_max</vt:lpstr>
      <vt:lpstr>ton_max_est</vt:lpstr>
      <vt:lpstr>ton_min</vt:lpstr>
      <vt:lpstr>tonmin_limit</vt:lpstr>
      <vt:lpstr>tov</vt:lpstr>
      <vt:lpstr>tres</vt:lpstr>
      <vt:lpstr>tres_actual</vt:lpstr>
      <vt:lpstr>tresp</vt:lpstr>
      <vt:lpstr>tsw</vt:lpstr>
      <vt:lpstr>tsw_target</vt:lpstr>
      <vt:lpstr>uA</vt:lpstr>
      <vt:lpstr>uC</vt:lpstr>
      <vt:lpstr>uF</vt:lpstr>
      <vt:lpstr>uH</vt:lpstr>
      <vt:lpstr>us</vt:lpstr>
      <vt:lpstr>Vbridge</vt:lpstr>
      <vt:lpstr>Vbrownout_max</vt:lpstr>
      <vt:lpstr>Vbrownout_min</vt:lpstr>
      <vt:lpstr>Vbrownout_nom</vt:lpstr>
      <vt:lpstr>Vbulk_max</vt:lpstr>
      <vt:lpstr>Vbulk_min</vt:lpstr>
      <vt:lpstr>Vbulk_nom</vt:lpstr>
      <vt:lpstr>Vbulk_run</vt:lpstr>
      <vt:lpstr>Vbulk_valley</vt:lpstr>
      <vt:lpstr>Vbulkvalley</vt:lpstr>
      <vt:lpstr>Vbulkvalley_1</vt:lpstr>
      <vt:lpstr>Vbulkvalley_2</vt:lpstr>
      <vt:lpstr>Vbulkvalley_3</vt:lpstr>
      <vt:lpstr>Vbulkvalley_desired</vt:lpstr>
      <vt:lpstr>Vccr_max</vt:lpstr>
      <vt:lpstr>Vccr_min</vt:lpstr>
      <vt:lpstr>Vccr_nom</vt:lpstr>
      <vt:lpstr>Vcin_rated</vt:lpstr>
      <vt:lpstr>Vcstmax_max</vt:lpstr>
      <vt:lpstr>Vcstmax_min</vt:lpstr>
      <vt:lpstr>Vcstmax_nom</vt:lpstr>
      <vt:lpstr>VDbias_blocking</vt:lpstr>
      <vt:lpstr>VDD</vt:lpstr>
      <vt:lpstr>VDDoff</vt:lpstr>
      <vt:lpstr>VDDoff_max</vt:lpstr>
      <vt:lpstr>VDDoff_min</vt:lpstr>
      <vt:lpstr>VDDon</vt:lpstr>
      <vt:lpstr>Vdout_blocking</vt:lpstr>
      <vt:lpstr>Vdrain_clamp</vt:lpstr>
      <vt:lpstr>Vds</vt:lpstr>
      <vt:lpstr>VDS_derating</vt:lpstr>
      <vt:lpstr>Vds_min_rating</vt:lpstr>
      <vt:lpstr>Vf</vt:lpstr>
      <vt:lpstr>Vf_bridge</vt:lpstr>
      <vt:lpstr>Vf_opto</vt:lpstr>
      <vt:lpstr>Vfa</vt:lpstr>
      <vt:lpstr>Vflyback</vt:lpstr>
      <vt:lpstr>Vin_type</vt:lpstr>
      <vt:lpstr>Vinput_max</vt:lpstr>
      <vt:lpstr>Vinput_min</vt:lpstr>
      <vt:lpstr>Vinput_nom</vt:lpstr>
      <vt:lpstr>Vinput_run</vt:lpstr>
      <vt:lpstr>Vleakage</vt:lpstr>
      <vt:lpstr>Vout_cc</vt:lpstr>
      <vt:lpstr>Vout_cc_min</vt:lpstr>
      <vt:lpstr>Vout_cv</vt:lpstr>
      <vt:lpstr>Vout_delta</vt:lpstr>
      <vt:lpstr>Vout_ovp</vt:lpstr>
      <vt:lpstr>Voutripple</vt:lpstr>
      <vt:lpstr>Vovp_max</vt:lpstr>
      <vt:lpstr>Vovp_min</vt:lpstr>
      <vt:lpstr>Vovp_nom</vt:lpstr>
      <vt:lpstr>Vref431</vt:lpstr>
      <vt:lpstr>Vripple_target</vt:lpstr>
      <vt:lpstr>Vturnon_max</vt:lpstr>
      <vt:lpstr>Vturnon_min</vt:lpstr>
      <vt:lpstr>Vturnon_nom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2019-03-13T07:39:39Z</dcterms:created>
  <dcterms:modified xsi:type="dcterms:W3CDTF">2019-03-13T07:39:53Z</dcterms:modified>
</cp:coreProperties>
</file>