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showInkAnnotation="0" codeName="ThisWorkbook" autoCompressPictures="0"/>
  <mc:AlternateContent xmlns:mc="http://schemas.openxmlformats.org/markup-compatibility/2006">
    <mc:Choice Requires="x15">
      <x15ac:absPath xmlns:x15ac="http://schemas.microsoft.com/office/spreadsheetml/2010/11/ac" url="C:\Product\calculation tool\"/>
    </mc:Choice>
  </mc:AlternateContent>
  <xr:revisionPtr revIDLastSave="0" documentId="13_ncr:1_{3AEB5198-B73F-44FA-A5AF-997E452DA0F0}" xr6:coauthVersionLast="36" xr6:coauthVersionMax="36" xr10:uidLastSave="{00000000-0000-0000-0000-000000000000}"/>
  <workbookProtection workbookAlgorithmName="SHA-512" workbookHashValue="jnxKSXYuFdaB/vly75ZcuCT3SIO1E7j4740McxvAenh2OqnSS+hto7NdOpJZyVTJzNCxz4cdxGx/txMRAovpbQ==" workbookSaltValue="zI2xJsySizzVD2Tv5+3dqA==" workbookSpinCount="100000" lockStructure="1"/>
  <bookViews>
    <workbookView xWindow="0" yWindow="885" windowWidth="3465" windowHeight="7785" tabRatio="580" xr2:uid="{00000000-000D-0000-FFFF-FFFF0000000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Mgmt'!$B$66</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Mgmt'!$B$160</definedName>
    <definedName name="Ccomp">'Stability Calculations'!$D$38</definedName>
    <definedName name="Chf">'Stability Calculations'!$D$39</definedName>
    <definedName name="Cin" localSheetId="8">Parameters!$D$30</definedName>
    <definedName name="Cin">'Variable Mgmt'!$B$126</definedName>
    <definedName name="CinEsrMax">'Variable Mgmt'!$B$128</definedName>
    <definedName name="Cinmin">'Variable Mgmt'!$B$124</definedName>
    <definedName name="CONFIG">'Variable Mgmt'!$C$58</definedName>
    <definedName name="Coss">Parameters!$D$45</definedName>
    <definedName name="Cout" localSheetId="8">Parameters!$D$32</definedName>
    <definedName name="Cout">'Variable Mgmt'!$B$101</definedName>
    <definedName name="Cout_pri">'Stability Calculations'!$B$27</definedName>
    <definedName name="Cout_sec">'Stability Calculations'!$B$25</definedName>
    <definedName name="Cout_Voltage_Rating">'Variable Mgmt'!$S$59</definedName>
    <definedName name="Cout2">'Variable Mgmt'!$B$111</definedName>
    <definedName name="CoutEsr">'Variable Mgmt'!$B$103</definedName>
    <definedName name="CoutEsr2">'Variable Mgmt'!$B$113</definedName>
    <definedName name="Css">'Variable Mgmt'!$B$140</definedName>
    <definedName name="Css_u">'Variable Mgmt'!$B$141</definedName>
    <definedName name="Csw">Parameters!$D$46</definedName>
    <definedName name="Diode_TC">'Variable Mgmt'!$B$171</definedName>
    <definedName name="Don_Vinmax">'Variable Mgmt'!$B$69</definedName>
    <definedName name="Don_Vinmin">'Variable Mgmt'!$B$67</definedName>
    <definedName name="Don_Vinnom">'Variable Mgmt'!$B$68</definedName>
    <definedName name="EFF_DUAL">'Efficiency Plots'!$B$7</definedName>
    <definedName name="EFF_SINGLE">'Efficiency Plots'!$B$5</definedName>
    <definedName name="Efficiency">'Variable Mgmt'!$B$35</definedName>
    <definedName name="Fsw" localSheetId="8">Parameters!$D$20</definedName>
    <definedName name="Fsw_DCM">'Variable Mgmt'!$B$45</definedName>
    <definedName name="Fsw_DUAL">'Fsw Plots'!$B$7</definedName>
    <definedName name="Fsw_max">Parameters!$D$21</definedName>
    <definedName name="Fsw_SINGLE">'Fsw Plots'!$B$5</definedName>
    <definedName name="gmEA">'Stability Calculations'!$D$31</definedName>
    <definedName name="Icinrms">'Variable Mgmt'!$B$123</definedName>
    <definedName name="Icoutrms">'Variable Mgmt'!$B$95</definedName>
    <definedName name="Iin_Vinmax">'Variable Mgmt'!$B$41</definedName>
    <definedName name="Iin_Vinmin">'Variable Mgmt'!$B$38</definedName>
    <definedName name="Iin_Vinnom">'Variable Mgmt'!$B$40</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Mgmt'!$B$91</definedName>
    <definedName name="Iss">'Variable Mgmt'!$B$139</definedName>
    <definedName name="Isw_max">Parameters!$D$35</definedName>
    <definedName name="Isw_min">Parameters!$D$36</definedName>
    <definedName name="Iuvlo_hys">'Variable Mgmt'!$B$150</definedName>
    <definedName name="Iuvlo1">'Variable Mgmt'!$B$148</definedName>
    <definedName name="Iuvlo2">'Variable Mgmt'!$B$149</definedName>
    <definedName name="k_core">Parameters!$D$29</definedName>
    <definedName name="L">Parameters!$D$26</definedName>
    <definedName name="Lleak">'Variable Mgmt'!$B$80</definedName>
    <definedName name="Lmag">'Variable Mgmt'!$B$79</definedName>
    <definedName name="Lmin">'Variable Mgmt'!$B$90</definedName>
    <definedName name="Ltc">'Variable Mgmt'!$B$182</definedName>
    <definedName name="M">'Stability Calculations'!$B$18</definedName>
    <definedName name="max_I">Parameters!$H$109</definedName>
    <definedName name="min_I">Parameters!$H$108</definedName>
    <definedName name="MODE">'Variable Mgmt'!$C$57</definedName>
    <definedName name="MODE_SS">'Variable Mgmt'!$J$62</definedName>
    <definedName name="MODE_TC">'Variable Mgmt'!$G$56</definedName>
    <definedName name="MODE_TOP">'Variable Mgmt'!$B$57</definedName>
    <definedName name="MODE_UVLO">'Variable Mgmt'!$G$62</definedName>
    <definedName name="Npri_sec">'Stability Calculations'!$B$13</definedName>
    <definedName name="Npri_sec1">'Variable Mgmt'!$R$47</definedName>
    <definedName name="Npri_sec2">'Variable Mgmt'!$R$49</definedName>
    <definedName name="Nps">'Variable Mgmt'!$R$46</definedName>
    <definedName name="Nsec1sec2">'Variable Mgmt'!$R$48</definedName>
    <definedName name="OffTime">Parameters!$D$18</definedName>
    <definedName name="OnTime">Parameters!$D$17</definedName>
    <definedName name="Pi">'Variable Mgmt'!$B$163</definedName>
    <definedName name="PICTURE1">INDIRECT('Schematic Mgmt'!$A$2)</definedName>
    <definedName name="PICTURE2">INDIRECT('Fsw Plots'!$A$2)</definedName>
    <definedName name="PICTURE3">INDIRECT('Efficiency Plots'!$A$2)</definedName>
    <definedName name="Pin">'Variable Mgmt'!$B$37</definedName>
    <definedName name="PLOT_TYPE">'Variable Mgmt'!$M$62</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'LM(2)518x PSR flyback converter'!$A$1:$R$63</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Mgmt'!$B$129</definedName>
    <definedName name="Rcomp">'Stability Calculations'!$D$37</definedName>
    <definedName name="RCoutEsr" localSheetId="8">Parameters!$D$33</definedName>
    <definedName name="RCoutEsr">'Variable Mgmt'!$B$103</definedName>
    <definedName name="Rcs_gain">'Stability Calculations'!$B$34</definedName>
    <definedName name="Rdcr_pri">'Variable Mgmt'!$B$81</definedName>
    <definedName name="Rdcr_sec">'Variable Mgmt'!$B$82</definedName>
    <definedName name="Rdcr_sec2">'Variable Mgmt'!$B$83</definedName>
    <definedName name="Rdiode">Parameters!$D$50</definedName>
    <definedName name="Rdson">Parameters!$D$41</definedName>
    <definedName name="RdsonTC">Parameters!$D$42</definedName>
    <definedName name="REAout">'Stability Calculations'!$D$32</definedName>
    <definedName name="Rfb">'Variable Mgmt'!$B$47</definedName>
    <definedName name="Rfb_recommend">'Variable Mgmt'!$B$167</definedName>
    <definedName name="Rfb2_u">'Variable Mgmt'!$B$169</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Mgmt'!$B$173</definedName>
    <definedName name="RTC_1">'Variable Mgmt'!$B$172</definedName>
    <definedName name="Ruvlo1">'Variable Mgmt'!$B$155</definedName>
    <definedName name="Ruvlo2">'Variable Mgmt'!$B$156</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Mgmt'!$B$180</definedName>
    <definedName name="TC">'Variable Mgmt'!$G$56</definedName>
    <definedName name="Tfall">Parameters!$D$23</definedName>
    <definedName name="ThetaCa">'Variable Mgmt'!$B$183</definedName>
    <definedName name="ThetaJA">Parameters!$D$54</definedName>
    <definedName name="TL">'Variable Mgmt'!$B$91</definedName>
    <definedName name="toff_max">'Variable Mgmt'!$B$89</definedName>
    <definedName name="Toff_Vinmax">'Variable Mgmt'!$B$164</definedName>
    <definedName name="Ton_Vinmin">'Variable Mgmt'!$B$165</definedName>
    <definedName name="Trise">Parameters!$D$22</definedName>
    <definedName name="TrrBot">Parameters!$D$52</definedName>
    <definedName name="Tss">'Variable Mgmt'!$B$138</definedName>
    <definedName name="Tsw">'Stability Calculations'!$B$19</definedName>
    <definedName name="Turns_Ratio">'Variable Mgmt'!$S$43</definedName>
    <definedName name="Turns_Ratio2">'Variable Mgmt'!$W$43</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Mgmt'!$B$121</definedName>
    <definedName name="Vinripple2">'Variable Mgmt'!$B$134</definedName>
    <definedName name="VINuvlo_off">'Variable Mgmt'!$B$153</definedName>
    <definedName name="VINuvlo_on">'Variable Mgmt'!$B$152</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Mgmt'!$B$46</definedName>
    <definedName name="Vripple1_actual">'Variable Mgmt'!$B$105</definedName>
    <definedName name="Vripple1_spec">'Variable Mgmt'!$B$99</definedName>
    <definedName name="Vripple2_actual">'Variable Mgmt'!$B$115</definedName>
    <definedName name="Vripple2_spec">'Variable Mgmt'!$B$109</definedName>
    <definedName name="VRRM_DIODE">'Variable Mgmt'!$B$28</definedName>
    <definedName name="Vsw_max">'Variable Mgmt'!$P$17</definedName>
    <definedName name="Vuvlo_hys">'Variable Mgmt'!$B$147</definedName>
    <definedName name="Vuvlo_off">'Variable Mgmt'!$B$146</definedName>
    <definedName name="Vuvlo_on">'Variable Mgmt'!$B$145</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M57" i="1" l="1"/>
  <c r="M58" i="1"/>
  <c r="M61" i="1"/>
  <c r="M54" i="1"/>
  <c r="M53" i="1"/>
  <c r="M51" i="1"/>
  <c r="M52" i="1"/>
  <c r="L53" i="1"/>
  <c r="L51" i="1"/>
  <c r="W47" i="2"/>
  <c r="R47" i="2"/>
  <c r="R46" i="2"/>
  <c r="V43" i="2"/>
  <c r="R43" i="2"/>
  <c r="V42" i="2"/>
  <c r="V41" i="2"/>
  <c r="V40" i="2"/>
  <c r="V39" i="2"/>
  <c r="V38" i="2"/>
  <c r="V37" i="2"/>
  <c r="V35" i="2"/>
  <c r="V33" i="2"/>
  <c r="V32" i="2"/>
  <c r="V31" i="2"/>
  <c r="V30" i="2"/>
  <c r="V29" i="2"/>
  <c r="V28" i="2"/>
  <c r="R42" i="2"/>
  <c r="R39" i="2"/>
  <c r="R31" i="2"/>
  <c r="K13" i="1" l="1"/>
  <c r="K59" i="1" l="1"/>
  <c r="D59" i="1"/>
  <c r="K54" i="1" l="1"/>
  <c r="K53" i="1"/>
  <c r="K52" i="1"/>
  <c r="K51" i="1"/>
  <c r="D51" i="1"/>
  <c r="D53" i="1"/>
  <c r="K61" i="1"/>
  <c r="P17" i="2"/>
  <c r="P16" i="2"/>
  <c r="D13" i="1"/>
  <c r="F13" i="1"/>
  <c r="O325" i="25" l="1"/>
  <c r="M322" i="25"/>
  <c r="K58" i="1"/>
  <c r="K57" i="1"/>
  <c r="H325" i="25"/>
  <c r="F322" i="25"/>
  <c r="J21" i="8" l="1"/>
  <c r="H325" i="24"/>
  <c r="F322" i="24"/>
  <c r="D58" i="1"/>
  <c r="D57" i="1"/>
  <c r="B91" i="2" l="1"/>
  <c r="J39" i="16"/>
  <c r="J38" i="16"/>
  <c r="K35" i="16"/>
  <c r="J35" i="16"/>
  <c r="M15" i="1"/>
  <c r="K15" i="1"/>
  <c r="K21" i="1"/>
  <c r="B46" i="19"/>
  <c r="B45" i="19"/>
  <c r="B44" i="19"/>
  <c r="B89" i="2" l="1"/>
  <c r="B35" i="19"/>
  <c r="B36" i="19" s="1"/>
  <c r="C46" i="16"/>
  <c r="H46" i="16"/>
  <c r="F48" i="2"/>
  <c r="D46" i="16"/>
  <c r="A29" i="16"/>
  <c r="B41" i="19"/>
  <c r="P15" i="2"/>
  <c r="B7" i="2" l="1"/>
  <c r="B9" i="2"/>
  <c r="N325" i="25" l="1"/>
  <c r="G325" i="24"/>
  <c r="G325" i="25"/>
  <c r="Q6" i="29"/>
  <c r="K6" i="29"/>
  <c r="B18" i="29"/>
  <c r="B4" i="29"/>
  <c r="B19" i="29"/>
  <c r="I3" i="29"/>
  <c r="B34" i="29"/>
  <c r="L3" i="29" s="1"/>
  <c r="Y7" i="29" s="1"/>
  <c r="D39" i="29"/>
  <c r="D38" i="29"/>
  <c r="D37" i="29"/>
  <c r="I4" i="29" s="1"/>
  <c r="D32" i="29"/>
  <c r="I6" i="29" s="1"/>
  <c r="Y6" i="29" s="1"/>
  <c r="I5" i="29"/>
  <c r="D31" i="29"/>
  <c r="D26" i="29"/>
  <c r="D25" i="29"/>
  <c r="Q4" i="29" s="1"/>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c r="T32" i="29" s="1"/>
  <c r="Q3" i="29"/>
  <c r="AM14" i="29"/>
  <c r="AP24" i="29"/>
  <c r="AQ24" i="29" s="1"/>
  <c r="AR24" i="29" s="1"/>
  <c r="AM30" i="29"/>
  <c r="AM37" i="29"/>
  <c r="AN39" i="29"/>
  <c r="AM44" i="29"/>
  <c r="AP53" i="29"/>
  <c r="AQ53" i="29" s="1"/>
  <c r="AR53" i="29" s="1"/>
  <c r="AM61" i="29"/>
  <c r="AM66" i="29"/>
  <c r="AN68" i="29"/>
  <c r="AM71" i="29"/>
  <c r="AP81" i="29"/>
  <c r="AQ81" i="29" s="1"/>
  <c r="AR81" i="29" s="1"/>
  <c r="AP86" i="29"/>
  <c r="AQ86" i="29" s="1"/>
  <c r="AR86" i="29" s="1"/>
  <c r="AM92" i="29"/>
  <c r="AP94" i="29"/>
  <c r="AQ94" i="29" s="1"/>
  <c r="AR94" i="29" s="1"/>
  <c r="AM97" i="29"/>
  <c r="AN107" i="29"/>
  <c r="AP112" i="29"/>
  <c r="AQ112" i="29" s="1"/>
  <c r="AR112" i="29" s="1"/>
  <c r="AN120" i="29"/>
  <c r="AM123" i="29"/>
  <c r="AP125" i="29"/>
  <c r="AQ125" i="29" s="1"/>
  <c r="AR125" i="29" s="1"/>
  <c r="AN138" i="29"/>
  <c r="AP143" i="29"/>
  <c r="AQ143" i="29" s="1"/>
  <c r="AR143" i="29" s="1"/>
  <c r="AM149" i="29"/>
  <c r="AN151" i="29"/>
  <c r="AM154" i="29"/>
  <c r="AP164" i="29"/>
  <c r="AQ164" i="29" s="1"/>
  <c r="AR164" i="29" s="1"/>
  <c r="AM170" i="29"/>
  <c r="AM180" i="29"/>
  <c r="AP182" i="29"/>
  <c r="AQ182" i="29" s="1"/>
  <c r="AR182" i="29" s="1"/>
  <c r="AM185" i="29"/>
  <c r="AM190" i="29"/>
  <c r="AP192" i="29"/>
  <c r="AQ192" i="29" s="1"/>
  <c r="AR192" i="29" s="1"/>
  <c r="AM195" i="29"/>
  <c r="AM200" i="29"/>
  <c r="AP202" i="29"/>
  <c r="AQ202" i="29" s="1"/>
  <c r="AR202" i="29" s="1"/>
  <c r="AN205" i="29"/>
  <c r="AN213" i="29"/>
  <c r="AM216" i="29"/>
  <c r="AP226" i="29"/>
  <c r="AQ226" i="29" s="1"/>
  <c r="AR226" i="29" s="1"/>
  <c r="AN14" i="29"/>
  <c r="AN22" i="29"/>
  <c r="AM25" i="29"/>
  <c r="AP39" i="29"/>
  <c r="AQ39" i="29" s="1"/>
  <c r="AR39" i="29" s="1"/>
  <c r="AN44" i="29"/>
  <c r="AN51" i="29"/>
  <c r="AM56" i="29"/>
  <c r="AN66" i="29"/>
  <c r="AP68" i="29"/>
  <c r="AQ68" i="29" s="1"/>
  <c r="AR68" i="29" s="1"/>
  <c r="AN71" i="29"/>
  <c r="AN79" i="29"/>
  <c r="AM82" i="29"/>
  <c r="AN92" i="29"/>
  <c r="AN97" i="29"/>
  <c r="AO97" i="29" s="1"/>
  <c r="AN102" i="29"/>
  <c r="AM105" i="29"/>
  <c r="AP107" i="29"/>
  <c r="AQ107" i="29" s="1"/>
  <c r="AR107" i="29" s="1"/>
  <c r="AM118" i="29"/>
  <c r="AP130" i="29"/>
  <c r="AQ130" i="29" s="1"/>
  <c r="AR130" i="29" s="1"/>
  <c r="AM136" i="29"/>
  <c r="AN141" i="29"/>
  <c r="AM144" i="29"/>
  <c r="AP146" i="29"/>
  <c r="AQ146" i="29" s="1"/>
  <c r="AR146" i="29" s="1"/>
  <c r="AN154" i="29"/>
  <c r="AM157" i="29"/>
  <c r="AP167" i="29"/>
  <c r="AQ167" i="29" s="1"/>
  <c r="AR167" i="29" s="1"/>
  <c r="AN175" i="29"/>
  <c r="AP177" i="29"/>
  <c r="AQ177" i="29" s="1"/>
  <c r="AR177" i="29" s="1"/>
  <c r="AN180" i="29"/>
  <c r="AM193" i="29"/>
  <c r="AN195" i="29"/>
  <c r="AM198" i="29"/>
  <c r="AM203" i="29"/>
  <c r="AN208" i="29"/>
  <c r="AM211" i="29"/>
  <c r="AP221" i="29"/>
  <c r="AQ221" i="29" s="1"/>
  <c r="AR221" i="29" s="1"/>
  <c r="AM227" i="29"/>
  <c r="AN17" i="29"/>
  <c r="AM20" i="29"/>
  <c r="AP30" i="29"/>
  <c r="AQ30" i="29" s="1"/>
  <c r="AR30" i="29" s="1"/>
  <c r="AM40" i="29"/>
  <c r="AP51" i="29"/>
  <c r="AQ51" i="29" s="1"/>
  <c r="AR51" i="29" s="1"/>
  <c r="AN56" i="29"/>
  <c r="AM59" i="29"/>
  <c r="AP61" i="29"/>
  <c r="AQ61" i="29" s="1"/>
  <c r="AR61" i="29" s="1"/>
  <c r="AP71" i="29"/>
  <c r="AQ71" i="29" s="1"/>
  <c r="AR71" i="29" s="1"/>
  <c r="AM77" i="29"/>
  <c r="AN82" i="29"/>
  <c r="AM85" i="29"/>
  <c r="AN87" i="29"/>
  <c r="AN95" i="29"/>
  <c r="AP97" i="29"/>
  <c r="AQ97" i="29" s="1"/>
  <c r="AR97" i="29" s="1"/>
  <c r="AM100" i="29"/>
  <c r="AN105" i="29"/>
  <c r="AO105" i="29" s="1"/>
  <c r="AM108" i="29"/>
  <c r="AP110" i="29"/>
  <c r="AQ110" i="29" s="1"/>
  <c r="AR110" i="29" s="1"/>
  <c r="AM121" i="29"/>
  <c r="AP123" i="29"/>
  <c r="AQ123" i="29" s="1"/>
  <c r="AR123" i="29" s="1"/>
  <c r="AN126" i="29"/>
  <c r="AM131" i="29"/>
  <c r="AP133" i="29"/>
  <c r="AQ133" i="29" s="1"/>
  <c r="AR133" i="29" s="1"/>
  <c r="AN144" i="29"/>
  <c r="AP149" i="29"/>
  <c r="AQ149" i="29" s="1"/>
  <c r="AR149" i="29" s="1"/>
  <c r="AP154" i="29"/>
  <c r="AQ154" i="29" s="1"/>
  <c r="AR154" i="29" s="1"/>
  <c r="AM160" i="29"/>
  <c r="AN165" i="29"/>
  <c r="AM168" i="29"/>
  <c r="AP170" i="29"/>
  <c r="AQ170" i="29" s="1"/>
  <c r="AR170" i="29" s="1"/>
  <c r="AM173" i="29"/>
  <c r="AP175" i="29"/>
  <c r="AQ175" i="29" s="1"/>
  <c r="AR175" i="29" s="1"/>
  <c r="AM178" i="29"/>
  <c r="AP180" i="29"/>
  <c r="AQ180" i="29" s="1"/>
  <c r="AR180" i="29" s="1"/>
  <c r="AM183" i="29"/>
  <c r="AP185" i="29"/>
  <c r="AQ185" i="29" s="1"/>
  <c r="AR185" i="29" s="1"/>
  <c r="AN188" i="29"/>
  <c r="AP190" i="29"/>
  <c r="AQ190" i="29" s="1"/>
  <c r="AR190" i="29" s="1"/>
  <c r="AN193" i="29"/>
  <c r="AP195" i="29"/>
  <c r="AQ195" i="29" s="1"/>
  <c r="AR195" i="29" s="1"/>
  <c r="AN198" i="29"/>
  <c r="AP200" i="29"/>
  <c r="AQ200" i="29" s="1"/>
  <c r="AR200" i="29" s="1"/>
  <c r="AN203" i="29"/>
  <c r="AM206" i="29"/>
  <c r="AN211" i="29"/>
  <c r="AP216" i="29"/>
  <c r="AQ216" i="29" s="1"/>
  <c r="AR216" i="29" s="1"/>
  <c r="AM222" i="29"/>
  <c r="AP224" i="29"/>
  <c r="AQ224" i="29" s="1"/>
  <c r="AR224" i="29" s="1"/>
  <c r="AN227" i="29"/>
  <c r="AP229" i="29"/>
  <c r="AQ229" i="29" s="1"/>
  <c r="AR229" i="29" s="1"/>
  <c r="AM15" i="29"/>
  <c r="AP17" i="29"/>
  <c r="AQ17" i="29" s="1"/>
  <c r="AR17" i="29" s="1"/>
  <c r="AN20" i="29"/>
  <c r="AM23" i="29"/>
  <c r="AP25" i="29"/>
  <c r="AQ25" i="29" s="1"/>
  <c r="AR25" i="29" s="1"/>
  <c r="AN28" i="29"/>
  <c r="AM33" i="29"/>
  <c r="AN40" i="29"/>
  <c r="AP42" i="29"/>
  <c r="AQ42" i="29" s="1"/>
  <c r="AR42" i="29" s="1"/>
  <c r="AP44" i="29"/>
  <c r="AQ44" i="29" s="1"/>
  <c r="AR44" i="29" s="1"/>
  <c r="AN49" i="29"/>
  <c r="AN54" i="29"/>
  <c r="AP56" i="29"/>
  <c r="AQ56" i="29" s="1"/>
  <c r="AR56" i="29" s="1"/>
  <c r="AN59" i="29"/>
  <c r="AO59" i="29" s="1"/>
  <c r="AM62" i="29"/>
  <c r="AP66" i="29"/>
  <c r="AQ66" i="29" s="1"/>
  <c r="AR66" i="29" s="1"/>
  <c r="AN69" i="29"/>
  <c r="AM72" i="29"/>
  <c r="AN77" i="29"/>
  <c r="AP82" i="29"/>
  <c r="AQ82" i="29" s="1"/>
  <c r="AR82" i="29" s="1"/>
  <c r="AP87" i="29"/>
  <c r="AQ87" i="29" s="1"/>
  <c r="AR87" i="29" s="1"/>
  <c r="AM93" i="29"/>
  <c r="AP95" i="29"/>
  <c r="AQ95" i="29" s="1"/>
  <c r="AR95" i="29" s="1"/>
  <c r="AM98" i="29"/>
  <c r="AN100" i="29"/>
  <c r="AM103" i="29"/>
  <c r="AN108" i="29"/>
  <c r="AP113" i="29"/>
  <c r="AQ113" i="29" s="1"/>
  <c r="AR113" i="29" s="1"/>
  <c r="AP118" i="29"/>
  <c r="AQ118" i="29" s="1"/>
  <c r="AR118" i="29" s="1"/>
  <c r="AM124" i="29"/>
  <c r="AP126" i="29"/>
  <c r="AQ126" i="29" s="1"/>
  <c r="AR126" i="29" s="1"/>
  <c r="AM129" i="29"/>
  <c r="AN131" i="29"/>
  <c r="AM134" i="29"/>
  <c r="AN139" i="29"/>
  <c r="AP144" i="29"/>
  <c r="AQ144" i="29" s="1"/>
  <c r="AR144" i="29" s="1"/>
  <c r="AN152" i="29"/>
  <c r="AM155" i="29"/>
  <c r="AP157" i="29"/>
  <c r="AQ157" i="29" s="1"/>
  <c r="AR157" i="29" s="1"/>
  <c r="AN160" i="29"/>
  <c r="AM163" i="29"/>
  <c r="AN168" i="29"/>
  <c r="AN178" i="29"/>
  <c r="AM181" i="29"/>
  <c r="AN183" i="29"/>
  <c r="AP188" i="29"/>
  <c r="AQ188" i="29" s="1"/>
  <c r="AR188" i="29" s="1"/>
  <c r="AP193" i="29"/>
  <c r="AQ193" i="29" s="1"/>
  <c r="AR193" i="29" s="1"/>
  <c r="AP198" i="29"/>
  <c r="AQ198" i="29" s="1"/>
  <c r="AR198" i="29" s="1"/>
  <c r="AM201" i="29"/>
  <c r="AP203" i="29"/>
  <c r="AQ203" i="29" s="1"/>
  <c r="AR203" i="29" s="1"/>
  <c r="AN206" i="29"/>
  <c r="AM209" i="29"/>
  <c r="AP211" i="29"/>
  <c r="AQ211" i="29" s="1"/>
  <c r="AR211" i="29" s="1"/>
  <c r="AN214" i="29"/>
  <c r="AM217" i="29"/>
  <c r="AP219" i="29"/>
  <c r="AQ219" i="29" s="1"/>
  <c r="AR219" i="29" s="1"/>
  <c r="AM225" i="29"/>
  <c r="AP227" i="29"/>
  <c r="AQ227" i="29" s="1"/>
  <c r="AR227" i="29" s="1"/>
  <c r="AN15" i="29"/>
  <c r="AM18" i="29"/>
  <c r="AP20" i="29"/>
  <c r="AQ20" i="29" s="1"/>
  <c r="AR20" i="29" s="1"/>
  <c r="AN23" i="29"/>
  <c r="AM26" i="29"/>
  <c r="AM31" i="29"/>
  <c r="AP35" i="29"/>
  <c r="AQ35" i="29" s="1"/>
  <c r="AR35" i="29" s="1"/>
  <c r="AP40" i="29"/>
  <c r="AQ40" i="29" s="1"/>
  <c r="AR40" i="29" s="1"/>
  <c r="AM45" i="29"/>
  <c r="AM47" i="29"/>
  <c r="AN52" i="29"/>
  <c r="AM57" i="29"/>
  <c r="AN62" i="29"/>
  <c r="AM67" i="29"/>
  <c r="AN72" i="29"/>
  <c r="AO72" i="29" s="1"/>
  <c r="AP77" i="29"/>
  <c r="AQ77" i="29" s="1"/>
  <c r="AR77" i="29" s="1"/>
  <c r="AM83" i="29"/>
  <c r="AP85" i="29"/>
  <c r="AQ85" i="29" s="1"/>
  <c r="AR85" i="29" s="1"/>
  <c r="AM88" i="29"/>
  <c r="AP90" i="29"/>
  <c r="AQ90" i="29" s="1"/>
  <c r="AR90" i="29" s="1"/>
  <c r="AN93" i="29"/>
  <c r="AM96" i="29"/>
  <c r="AP100" i="29"/>
  <c r="AQ100" i="29" s="1"/>
  <c r="AR100" i="29" s="1"/>
  <c r="AM106" i="29"/>
  <c r="AP108" i="29"/>
  <c r="AQ108" i="29" s="1"/>
  <c r="AR108" i="29" s="1"/>
  <c r="AN111" i="29"/>
  <c r="AM114" i="29"/>
  <c r="AP116" i="29"/>
  <c r="AQ116" i="29" s="1"/>
  <c r="AR116" i="29" s="1"/>
  <c r="AM119" i="29"/>
  <c r="AP121" i="29"/>
  <c r="AQ121" i="29" s="1"/>
  <c r="AR121" i="29" s="1"/>
  <c r="AN124" i="29"/>
  <c r="AM127" i="29"/>
  <c r="AP131" i="29"/>
  <c r="AQ131" i="29" s="1"/>
  <c r="AR131" i="29" s="1"/>
  <c r="AM137" i="29"/>
  <c r="AP139" i="29"/>
  <c r="AQ139" i="29" s="1"/>
  <c r="AR139" i="29" s="1"/>
  <c r="AN142" i="29"/>
  <c r="AM145" i="29"/>
  <c r="AP147" i="29"/>
  <c r="AQ147" i="29" s="1"/>
  <c r="AR147" i="29" s="1"/>
  <c r="AM150" i="29"/>
  <c r="AP152" i="29"/>
  <c r="AQ152" i="29" s="1"/>
  <c r="AR152" i="29" s="1"/>
  <c r="AN155" i="29"/>
  <c r="AM158" i="29"/>
  <c r="AN163" i="29"/>
  <c r="AP168" i="29"/>
  <c r="AQ168" i="29" s="1"/>
  <c r="AR168" i="29" s="1"/>
  <c r="AP173" i="29"/>
  <c r="AQ173" i="29" s="1"/>
  <c r="AR173" i="29" s="1"/>
  <c r="AP178" i="29"/>
  <c r="AQ178" i="29" s="1"/>
  <c r="AR178" i="29" s="1"/>
  <c r="AP183" i="29"/>
  <c r="AQ183" i="29" s="1"/>
  <c r="AR183" i="29" s="1"/>
  <c r="AN191" i="29"/>
  <c r="AN196" i="29"/>
  <c r="AN201" i="29"/>
  <c r="AM204" i="29"/>
  <c r="AP206" i="29"/>
  <c r="AQ206" i="29" s="1"/>
  <c r="AR206" i="29" s="1"/>
  <c r="AN209" i="29"/>
  <c r="AM212" i="29"/>
  <c r="AP214" i="29"/>
  <c r="AQ214" i="29" s="1"/>
  <c r="AR214" i="29" s="1"/>
  <c r="AM220" i="29"/>
  <c r="AP222" i="29"/>
  <c r="AQ222" i="29" s="1"/>
  <c r="AR222" i="29" s="1"/>
  <c r="AN225" i="29"/>
  <c r="AM230" i="29"/>
  <c r="AP15" i="29"/>
  <c r="AQ15" i="29" s="1"/>
  <c r="AR15" i="29" s="1"/>
  <c r="AN18" i="29"/>
  <c r="AM21" i="29"/>
  <c r="AP23" i="29"/>
  <c r="AQ23" i="29" s="1"/>
  <c r="AR23" i="29" s="1"/>
  <c r="AN26" i="29"/>
  <c r="AM29" i="29"/>
  <c r="AN31" i="29"/>
  <c r="AO31" i="29" s="1"/>
  <c r="AP33" i="29"/>
  <c r="AQ33" i="29" s="1"/>
  <c r="AR33" i="29" s="1"/>
  <c r="AM36" i="29"/>
  <c r="AN38" i="29"/>
  <c r="AM41" i="29"/>
  <c r="AN43" i="29"/>
  <c r="AN45" i="29"/>
  <c r="AO45" i="29" s="1"/>
  <c r="AN47" i="29"/>
  <c r="AM50" i="29"/>
  <c r="AP52" i="29"/>
  <c r="AQ52" i="29" s="1"/>
  <c r="AR52" i="29" s="1"/>
  <c r="AM55" i="29"/>
  <c r="AN57" i="29"/>
  <c r="AM60" i="29"/>
  <c r="AP62" i="29"/>
  <c r="AQ62" i="29" s="1"/>
  <c r="AR62" i="29" s="1"/>
  <c r="AM65" i="29"/>
  <c r="AN67" i="29"/>
  <c r="AM70" i="29"/>
  <c r="AP72" i="29"/>
  <c r="AQ72" i="29" s="1"/>
  <c r="AR72" i="29" s="1"/>
  <c r="AN75" i="29"/>
  <c r="AM78" i="29"/>
  <c r="AP80" i="29"/>
  <c r="AQ80" i="29" s="1"/>
  <c r="AR80" i="29" s="1"/>
  <c r="AN83" i="29"/>
  <c r="AN88" i="29"/>
  <c r="AM91" i="29"/>
  <c r="AP93" i="29"/>
  <c r="AQ93" i="29" s="1"/>
  <c r="AR93" i="29" s="1"/>
  <c r="AN96" i="29"/>
  <c r="AM101" i="29"/>
  <c r="AP103" i="29"/>
  <c r="AQ103" i="29" s="1"/>
  <c r="AR103" i="29" s="1"/>
  <c r="AN106" i="29"/>
  <c r="AM109" i="29"/>
  <c r="AP111" i="29"/>
  <c r="AQ111" i="29" s="1"/>
  <c r="AR111" i="29" s="1"/>
  <c r="AN114" i="29"/>
  <c r="AM117" i="29"/>
  <c r="AN119" i="29"/>
  <c r="AM122" i="29"/>
  <c r="AP124" i="29"/>
  <c r="AQ124" i="29" s="1"/>
  <c r="AR124" i="29" s="1"/>
  <c r="AN127" i="29"/>
  <c r="AP129" i="29"/>
  <c r="AQ129" i="29" s="1"/>
  <c r="AR129" i="29" s="1"/>
  <c r="AM132" i="29"/>
  <c r="AP134" i="29"/>
  <c r="AQ134" i="29" s="1"/>
  <c r="AR134" i="29" s="1"/>
  <c r="AN137" i="29"/>
  <c r="AM140" i="29"/>
  <c r="AP142" i="29"/>
  <c r="AQ142" i="29" s="1"/>
  <c r="AR142" i="29" s="1"/>
  <c r="AN145" i="29"/>
  <c r="AM148" i="29"/>
  <c r="AN150" i="29"/>
  <c r="AM153" i="29"/>
  <c r="AP155" i="29"/>
  <c r="AQ155" i="29" s="1"/>
  <c r="AR155" i="29" s="1"/>
  <c r="AN158" i="29"/>
  <c r="AM161" i="29"/>
  <c r="AP163" i="29"/>
  <c r="AQ163" i="29" s="1"/>
  <c r="AR163" i="29" s="1"/>
  <c r="AN166" i="29"/>
  <c r="AM169" i="29"/>
  <c r="AN171" i="29"/>
  <c r="AM174" i="29"/>
  <c r="AN176" i="29"/>
  <c r="AM179" i="29"/>
  <c r="AP181" i="29"/>
  <c r="AQ181" i="29" s="1"/>
  <c r="AR181" i="29" s="1"/>
  <c r="AM184" i="29"/>
  <c r="AP186" i="29"/>
  <c r="AQ186" i="29" s="1"/>
  <c r="AR186" i="29" s="1"/>
  <c r="AM189" i="29"/>
  <c r="AP191" i="29"/>
  <c r="AQ191" i="29" s="1"/>
  <c r="AR191" i="29" s="1"/>
  <c r="AM194" i="29"/>
  <c r="AP196" i="29"/>
  <c r="AQ196" i="29" s="1"/>
  <c r="AR196" i="29" s="1"/>
  <c r="AN199" i="29"/>
  <c r="AP201" i="29"/>
  <c r="AQ201" i="29" s="1"/>
  <c r="AR201" i="29" s="1"/>
  <c r="AN204" i="29"/>
  <c r="AM207" i="29"/>
  <c r="AP209" i="29"/>
  <c r="AQ209" i="29" s="1"/>
  <c r="AR209" i="29" s="1"/>
  <c r="AN212" i="29"/>
  <c r="AM215" i="29"/>
  <c r="AP217" i="29"/>
  <c r="AQ217" i="29" s="1"/>
  <c r="AR217" i="29" s="1"/>
  <c r="AN220" i="29"/>
  <c r="AM223" i="29"/>
  <c r="AP225" i="29"/>
  <c r="AQ225" i="29" s="1"/>
  <c r="AR225" i="29" s="1"/>
  <c r="AM228" i="29"/>
  <c r="AM16" i="29"/>
  <c r="AP18" i="29"/>
  <c r="AQ18" i="29" s="1"/>
  <c r="AR18" i="29" s="1"/>
  <c r="AN21" i="29"/>
  <c r="AO21" i="29" s="1"/>
  <c r="AM24" i="29"/>
  <c r="AP26" i="29"/>
  <c r="AQ26" i="29" s="1"/>
  <c r="AR26" i="29" s="1"/>
  <c r="AN29" i="29"/>
  <c r="AP31" i="29"/>
  <c r="AQ31" i="29" s="1"/>
  <c r="AR31" i="29" s="1"/>
  <c r="AM34" i="29"/>
  <c r="AN36" i="29"/>
  <c r="AP38" i="29"/>
  <c r="AQ38" i="29" s="1"/>
  <c r="AR38" i="29" s="1"/>
  <c r="AN41" i="29"/>
  <c r="AO41" i="29" s="1"/>
  <c r="AP43" i="29"/>
  <c r="AQ43" i="29" s="1"/>
  <c r="AR43" i="29" s="1"/>
  <c r="AP45" i="29"/>
  <c r="AQ45" i="29" s="1"/>
  <c r="AR45" i="29" s="1"/>
  <c r="AP47" i="29"/>
  <c r="AQ47" i="29" s="1"/>
  <c r="AR47" i="29" s="1"/>
  <c r="AN50" i="29"/>
  <c r="AM53" i="29"/>
  <c r="AN55" i="29"/>
  <c r="AP57" i="29"/>
  <c r="AQ57" i="29" s="1"/>
  <c r="AR57" i="29" s="1"/>
  <c r="AN60" i="29"/>
  <c r="AM63" i="29"/>
  <c r="AN65" i="29"/>
  <c r="AP67" i="29"/>
  <c r="AQ67" i="29" s="1"/>
  <c r="AR67" i="29" s="1"/>
  <c r="AN70" i="29"/>
  <c r="AO70" i="29" s="1"/>
  <c r="AM73" i="29"/>
  <c r="AP75" i="29"/>
  <c r="AQ75" i="29" s="1"/>
  <c r="AR75" i="29" s="1"/>
  <c r="AN78" i="29"/>
  <c r="AM81" i="29"/>
  <c r="AP83" i="29"/>
  <c r="AQ83" i="29" s="1"/>
  <c r="AR83" i="29" s="1"/>
  <c r="AM86" i="29"/>
  <c r="AP88" i="29"/>
  <c r="AQ88" i="29" s="1"/>
  <c r="AR88" i="29" s="1"/>
  <c r="AN91" i="29"/>
  <c r="AM94" i="29"/>
  <c r="AP98" i="29"/>
  <c r="AQ98" i="29" s="1"/>
  <c r="AR98" i="29" s="1"/>
  <c r="AN101" i="29"/>
  <c r="AM104" i="29"/>
  <c r="AP106" i="29"/>
  <c r="AQ106" i="29" s="1"/>
  <c r="AR106" i="29" s="1"/>
  <c r="AN109" i="29"/>
  <c r="AM112" i="29"/>
  <c r="AP114" i="29"/>
  <c r="AQ114" i="29" s="1"/>
  <c r="AR114" i="29" s="1"/>
  <c r="AN117" i="29"/>
  <c r="AP119" i="29"/>
  <c r="AQ119" i="29" s="1"/>
  <c r="AR119" i="29" s="1"/>
  <c r="AN122" i="29"/>
  <c r="AM125" i="29"/>
  <c r="AP127" i="29"/>
  <c r="AQ127" i="29" s="1"/>
  <c r="AR127" i="29" s="1"/>
  <c r="AM130" i="29"/>
  <c r="AN132" i="29"/>
  <c r="AM135" i="29"/>
  <c r="AP137" i="29"/>
  <c r="AQ137" i="29" s="1"/>
  <c r="AR137" i="29" s="1"/>
  <c r="AN140" i="29"/>
  <c r="AM143" i="29"/>
  <c r="AP145" i="29"/>
  <c r="AQ145" i="29" s="1"/>
  <c r="AR145" i="29" s="1"/>
  <c r="AN148" i="29"/>
  <c r="AP150" i="29"/>
  <c r="AQ150" i="29" s="1"/>
  <c r="AR150" i="29" s="1"/>
  <c r="AN153" i="29"/>
  <c r="AM156" i="29"/>
  <c r="AP158" i="29"/>
  <c r="AQ158" i="29" s="1"/>
  <c r="AR158" i="29" s="1"/>
  <c r="AN161" i="29"/>
  <c r="AM164" i="29"/>
  <c r="AP166" i="29"/>
  <c r="AQ166" i="29" s="1"/>
  <c r="AR166" i="29" s="1"/>
  <c r="AN169" i="29"/>
  <c r="AP171" i="29"/>
  <c r="AQ171" i="29" s="1"/>
  <c r="AR171" i="29" s="1"/>
  <c r="AN174" i="29"/>
  <c r="AP176" i="29"/>
  <c r="AQ176" i="29" s="1"/>
  <c r="AR176" i="29" s="1"/>
  <c r="AN179" i="29"/>
  <c r="AM182" i="29"/>
  <c r="AN184" i="29"/>
  <c r="AM187" i="29"/>
  <c r="AN189" i="29"/>
  <c r="AM192" i="29"/>
  <c r="AN194" i="29"/>
  <c r="AM197" i="29"/>
  <c r="AP199" i="29"/>
  <c r="AQ199" i="29" s="1"/>
  <c r="AR199" i="29" s="1"/>
  <c r="AM202" i="29"/>
  <c r="AP204" i="29"/>
  <c r="AQ204" i="29" s="1"/>
  <c r="AR204" i="29" s="1"/>
  <c r="AN207" i="29"/>
  <c r="AM210" i="29"/>
  <c r="AP212" i="29"/>
  <c r="AQ212" i="29" s="1"/>
  <c r="AR212" i="29" s="1"/>
  <c r="AN215" i="29"/>
  <c r="AM218" i="29"/>
  <c r="AP220" i="29"/>
  <c r="AQ220" i="29" s="1"/>
  <c r="AR220" i="29" s="1"/>
  <c r="AN223" i="29"/>
  <c r="AM226" i="29"/>
  <c r="AN228" i="29"/>
  <c r="AN16" i="29"/>
  <c r="AM19" i="29"/>
  <c r="AP21" i="29"/>
  <c r="AQ21" i="29" s="1"/>
  <c r="AR21" i="29" s="1"/>
  <c r="AN24" i="29"/>
  <c r="AM27" i="29"/>
  <c r="AP29" i="29"/>
  <c r="AQ29" i="29" s="1"/>
  <c r="AR29" i="29" s="1"/>
  <c r="AM32" i="29"/>
  <c r="AN34" i="29"/>
  <c r="AP36" i="29"/>
  <c r="AQ36" i="29" s="1"/>
  <c r="AR36" i="29" s="1"/>
  <c r="AM39" i="29"/>
  <c r="AO39" i="29" s="1"/>
  <c r="AP41" i="29"/>
  <c r="AQ41" i="29" s="1"/>
  <c r="AR41" i="29" s="1"/>
  <c r="AM48" i="29"/>
  <c r="AP50" i="29"/>
  <c r="AQ50" i="29" s="1"/>
  <c r="AR50" i="29" s="1"/>
  <c r="AN53" i="29"/>
  <c r="AP55" i="29"/>
  <c r="AQ55" i="29" s="1"/>
  <c r="AR55" i="29" s="1"/>
  <c r="AM58" i="29"/>
  <c r="AP60" i="29"/>
  <c r="AQ60" i="29" s="1"/>
  <c r="AR60" i="29" s="1"/>
  <c r="AN63" i="29"/>
  <c r="AP65" i="29"/>
  <c r="AQ65" i="29" s="1"/>
  <c r="AR65" i="29" s="1"/>
  <c r="AM68" i="29"/>
  <c r="AP70" i="29"/>
  <c r="AQ70" i="29" s="1"/>
  <c r="AR70" i="29" s="1"/>
  <c r="AN73" i="29"/>
  <c r="AM76" i="29"/>
  <c r="AP78" i="29"/>
  <c r="AQ78" i="29" s="1"/>
  <c r="AR78" i="29" s="1"/>
  <c r="AN81" i="29"/>
  <c r="AM84" i="29"/>
  <c r="AN86" i="29"/>
  <c r="AM89" i="29"/>
  <c r="AP91" i="29"/>
  <c r="AQ91" i="29" s="1"/>
  <c r="AR91" i="29" s="1"/>
  <c r="AN94" i="29"/>
  <c r="AP96" i="29"/>
  <c r="AQ96" i="29" s="1"/>
  <c r="AR96" i="29" s="1"/>
  <c r="AM99" i="29"/>
  <c r="AP101" i="29"/>
  <c r="AQ101" i="29" s="1"/>
  <c r="AR101" i="29" s="1"/>
  <c r="AN104" i="29"/>
  <c r="AM107" i="29"/>
  <c r="AP109" i="29"/>
  <c r="AQ109" i="29" s="1"/>
  <c r="AR109" i="29" s="1"/>
  <c r="AN112" i="29"/>
  <c r="AM115" i="29"/>
  <c r="AP117" i="29"/>
  <c r="AQ117" i="29" s="1"/>
  <c r="AR117" i="29" s="1"/>
  <c r="AM120" i="29"/>
  <c r="AP122" i="29"/>
  <c r="AQ122" i="29" s="1"/>
  <c r="AR122" i="29" s="1"/>
  <c r="AN125" i="29"/>
  <c r="AM128" i="29"/>
  <c r="AN130" i="29"/>
  <c r="AP132" i="29"/>
  <c r="AQ132" i="29" s="1"/>
  <c r="AR132" i="29" s="1"/>
  <c r="AN135" i="29"/>
  <c r="AM138" i="29"/>
  <c r="AP140" i="29"/>
  <c r="AQ140" i="29" s="1"/>
  <c r="AR140" i="29" s="1"/>
  <c r="AN143" i="29"/>
  <c r="AM146" i="29"/>
  <c r="AP148" i="29"/>
  <c r="AQ148" i="29" s="1"/>
  <c r="AR148" i="29" s="1"/>
  <c r="AM151" i="29"/>
  <c r="AP153" i="29"/>
  <c r="AQ153" i="29" s="1"/>
  <c r="AR153" i="29" s="1"/>
  <c r="AN156" i="29"/>
  <c r="AM159" i="29"/>
  <c r="AP161" i="29"/>
  <c r="AQ161" i="29" s="1"/>
  <c r="AR161" i="29" s="1"/>
  <c r="AN164" i="29"/>
  <c r="AM167" i="29"/>
  <c r="AP169" i="29"/>
  <c r="AQ169" i="29" s="1"/>
  <c r="AR169" i="29" s="1"/>
  <c r="AM172" i="29"/>
  <c r="AP174" i="29"/>
  <c r="AQ174" i="29" s="1"/>
  <c r="AR174" i="29" s="1"/>
  <c r="AM177" i="29"/>
  <c r="AP179" i="29"/>
  <c r="AQ179" i="29" s="1"/>
  <c r="AR179" i="29" s="1"/>
  <c r="AN182" i="29"/>
  <c r="AP184" i="29"/>
  <c r="AQ184" i="29" s="1"/>
  <c r="AR184" i="29" s="1"/>
  <c r="AN187" i="29"/>
  <c r="AP189" i="29"/>
  <c r="AQ189" i="29" s="1"/>
  <c r="AR189" i="29" s="1"/>
  <c r="AN192" i="29"/>
  <c r="AP194" i="29"/>
  <c r="AQ194" i="29" s="1"/>
  <c r="AR194" i="29" s="1"/>
  <c r="AN197" i="29"/>
  <c r="AN202" i="29"/>
  <c r="AM205" i="29"/>
  <c r="AP207" i="29"/>
  <c r="AQ207" i="29" s="1"/>
  <c r="AR207" i="29" s="1"/>
  <c r="AN210" i="29"/>
  <c r="AM213" i="29"/>
  <c r="AP215" i="29"/>
  <c r="AQ215" i="29" s="1"/>
  <c r="AR215" i="29" s="1"/>
  <c r="AN218" i="29"/>
  <c r="AM221" i="29"/>
  <c r="AP223" i="29"/>
  <c r="AQ223" i="29" s="1"/>
  <c r="AR223" i="29" s="1"/>
  <c r="AN226" i="29"/>
  <c r="AP228" i="29"/>
  <c r="AQ228" i="29" s="1"/>
  <c r="AR228" i="29" s="1"/>
  <c r="AM231" i="29"/>
  <c r="AN230" i="29"/>
  <c r="AN233" i="29"/>
  <c r="AM236" i="29"/>
  <c r="AP238" i="29"/>
  <c r="AQ238" i="29" s="1"/>
  <c r="AR238" i="29" s="1"/>
  <c r="AN241" i="29"/>
  <c r="AM244" i="29"/>
  <c r="AP246" i="29"/>
  <c r="AQ246" i="29" s="1"/>
  <c r="AR246" i="29" s="1"/>
  <c r="AN249" i="29"/>
  <c r="AM252" i="29"/>
  <c r="AP254" i="29"/>
  <c r="AQ254" i="29" s="1"/>
  <c r="AR254" i="29" s="1"/>
  <c r="AN257" i="29"/>
  <c r="AM260" i="29"/>
  <c r="AN262" i="29"/>
  <c r="AM265" i="29"/>
  <c r="AP267" i="29"/>
  <c r="AQ267" i="29" s="1"/>
  <c r="AR267" i="29" s="1"/>
  <c r="AM270" i="29"/>
  <c r="AP272" i="29"/>
  <c r="AQ272" i="29" s="1"/>
  <c r="AR272" i="29" s="1"/>
  <c r="AN275" i="29"/>
  <c r="AN284" i="29"/>
  <c r="AM287" i="29"/>
  <c r="AP289" i="29"/>
  <c r="AQ289" i="29" s="1"/>
  <c r="AR289" i="29" s="1"/>
  <c r="AM292" i="29"/>
  <c r="AP294" i="29"/>
  <c r="AQ294" i="29" s="1"/>
  <c r="AR294" i="29" s="1"/>
  <c r="AN297" i="29"/>
  <c r="AN302" i="29"/>
  <c r="AP304" i="29"/>
  <c r="AQ304" i="29" s="1"/>
  <c r="AR304" i="29" s="1"/>
  <c r="AN307" i="29"/>
  <c r="AM310" i="29"/>
  <c r="AP312" i="29"/>
  <c r="AQ312" i="29" s="1"/>
  <c r="AR312" i="29" s="1"/>
  <c r="AN315" i="29"/>
  <c r="AM318" i="29"/>
  <c r="AN320" i="29"/>
  <c r="AM323" i="29"/>
  <c r="AN325" i="29"/>
  <c r="AP327" i="29"/>
  <c r="AQ327" i="29" s="1"/>
  <c r="AR327" i="29" s="1"/>
  <c r="AN330" i="29"/>
  <c r="AM333" i="29"/>
  <c r="AP335" i="29"/>
  <c r="AQ335" i="29" s="1"/>
  <c r="AR335" i="29" s="1"/>
  <c r="AN338" i="29"/>
  <c r="AP340" i="29"/>
  <c r="AQ340" i="29" s="1"/>
  <c r="AR340" i="29" s="1"/>
  <c r="AN343" i="29"/>
  <c r="AN348" i="29"/>
  <c r="AN350" i="29"/>
  <c r="AM353" i="29"/>
  <c r="AP355" i="29"/>
  <c r="AQ355" i="29" s="1"/>
  <c r="AR355" i="29" s="1"/>
  <c r="AN358" i="29"/>
  <c r="AP360" i="29"/>
  <c r="AQ360" i="29" s="1"/>
  <c r="AR360" i="29" s="1"/>
  <c r="AN363" i="29"/>
  <c r="AP365" i="29"/>
  <c r="AQ365" i="29" s="1"/>
  <c r="AR365" i="29" s="1"/>
  <c r="AN368" i="29"/>
  <c r="AM373" i="29"/>
  <c r="AP375" i="29"/>
  <c r="AQ375" i="29" s="1"/>
  <c r="AR375" i="29" s="1"/>
  <c r="AM378" i="29"/>
  <c r="AN380" i="29"/>
  <c r="AM383" i="29"/>
  <c r="AN385" i="29"/>
  <c r="AM388" i="29"/>
  <c r="AN390" i="29"/>
  <c r="AN395" i="29"/>
  <c r="AM398" i="29"/>
  <c r="AM400" i="29"/>
  <c r="AP402" i="29"/>
  <c r="AQ402" i="29" s="1"/>
  <c r="AR402" i="29" s="1"/>
  <c r="AN407" i="29"/>
  <c r="AN409" i="29"/>
  <c r="AN411" i="29"/>
  <c r="AM414" i="29"/>
  <c r="AN416" i="29"/>
  <c r="AP418" i="29"/>
  <c r="AQ418" i="29" s="1"/>
  <c r="AR418" i="29" s="1"/>
  <c r="AN421" i="29"/>
  <c r="AN426" i="29"/>
  <c r="AP428" i="29"/>
  <c r="AQ428" i="29" s="1"/>
  <c r="AR428" i="29" s="1"/>
  <c r="AN431" i="29"/>
  <c r="AM434" i="29"/>
  <c r="AP436" i="29"/>
  <c r="AQ436" i="29" s="1"/>
  <c r="AR436" i="29" s="1"/>
  <c r="AM439" i="29"/>
  <c r="AN441" i="29"/>
  <c r="AP443" i="29"/>
  <c r="AQ443" i="29" s="1"/>
  <c r="AR443" i="29" s="1"/>
  <c r="AP230" i="29"/>
  <c r="AQ230" i="29" s="1"/>
  <c r="AR230" i="29" s="1"/>
  <c r="AP233" i="29"/>
  <c r="AQ233" i="29" s="1"/>
  <c r="AR233" i="29" s="1"/>
  <c r="AN236" i="29"/>
  <c r="AM239" i="29"/>
  <c r="AP241" i="29"/>
  <c r="AQ241" i="29" s="1"/>
  <c r="AR241" i="29" s="1"/>
  <c r="AN244" i="29"/>
  <c r="AO244" i="29" s="1"/>
  <c r="AM247" i="29"/>
  <c r="AP249" i="29"/>
  <c r="AQ249" i="29" s="1"/>
  <c r="AR249" i="29" s="1"/>
  <c r="AN252" i="29"/>
  <c r="AM255" i="29"/>
  <c r="AP257" i="29"/>
  <c r="AQ257" i="29" s="1"/>
  <c r="AR257" i="29" s="1"/>
  <c r="AN260" i="29"/>
  <c r="AP262" i="29"/>
  <c r="AQ262" i="29" s="1"/>
  <c r="AR262" i="29" s="1"/>
  <c r="AN265" i="29"/>
  <c r="AO265" i="29" s="1"/>
  <c r="AN270" i="29"/>
  <c r="AM273" i="29"/>
  <c r="AP275" i="29"/>
  <c r="AQ275" i="29" s="1"/>
  <c r="AR275" i="29" s="1"/>
  <c r="AM278" i="29"/>
  <c r="AM280" i="29"/>
  <c r="AM282" i="29"/>
  <c r="AP284" i="29"/>
  <c r="AQ284" i="29" s="1"/>
  <c r="AR284" i="29" s="1"/>
  <c r="AN287" i="29"/>
  <c r="AN292" i="29"/>
  <c r="AM295" i="29"/>
  <c r="AP297" i="29"/>
  <c r="AQ297" i="29" s="1"/>
  <c r="AR297" i="29" s="1"/>
  <c r="AM300" i="29"/>
  <c r="AP302" i="29"/>
  <c r="AQ302" i="29" s="1"/>
  <c r="AR302" i="29" s="1"/>
  <c r="AM305" i="29"/>
  <c r="AP307" i="29"/>
  <c r="AQ307" i="29" s="1"/>
  <c r="AR307" i="29" s="1"/>
  <c r="AN310" i="29"/>
  <c r="AM313" i="29"/>
  <c r="AP315" i="29"/>
  <c r="AQ315" i="29" s="1"/>
  <c r="AR315" i="29" s="1"/>
  <c r="AN318" i="29"/>
  <c r="AP320" i="29"/>
  <c r="AQ320" i="29" s="1"/>
  <c r="AR320" i="29" s="1"/>
  <c r="AN323" i="29"/>
  <c r="AP325" i="29"/>
  <c r="AQ325" i="29" s="1"/>
  <c r="AR325" i="29" s="1"/>
  <c r="AM328" i="29"/>
  <c r="AP330" i="29"/>
  <c r="AQ330" i="29" s="1"/>
  <c r="AR330" i="29" s="1"/>
  <c r="AN333" i="29"/>
  <c r="AM336" i="29"/>
  <c r="AM341" i="29"/>
  <c r="AP343" i="29"/>
  <c r="AQ343" i="29" s="1"/>
  <c r="AR343" i="29" s="1"/>
  <c r="AM346" i="29"/>
  <c r="AP348" i="29"/>
  <c r="AQ348" i="29" s="1"/>
  <c r="AR348" i="29" s="1"/>
  <c r="AP350" i="29"/>
  <c r="AQ350" i="29" s="1"/>
  <c r="AR350" i="29" s="1"/>
  <c r="AN353" i="29"/>
  <c r="AM356" i="29"/>
  <c r="AP358" i="29"/>
  <c r="AQ358" i="29" s="1"/>
  <c r="AR358" i="29" s="1"/>
  <c r="AM361" i="29"/>
  <c r="AP363" i="29"/>
  <c r="AQ363" i="29" s="1"/>
  <c r="AR363" i="29" s="1"/>
  <c r="AM366" i="29"/>
  <c r="AP368" i="29"/>
  <c r="AQ368" i="29" s="1"/>
  <c r="AR368" i="29" s="1"/>
  <c r="AM371" i="29"/>
  <c r="AN373" i="29"/>
  <c r="AM376" i="29"/>
  <c r="AN378" i="29"/>
  <c r="AP380" i="29"/>
  <c r="AQ380" i="29" s="1"/>
  <c r="AR380" i="29" s="1"/>
  <c r="AN383" i="29"/>
  <c r="AP385" i="29"/>
  <c r="AQ385" i="29" s="1"/>
  <c r="AR385" i="29" s="1"/>
  <c r="AN388" i="29"/>
  <c r="AP390" i="29"/>
  <c r="AQ390" i="29" s="1"/>
  <c r="AR390" i="29" s="1"/>
  <c r="AM393" i="29"/>
  <c r="AP395" i="29"/>
  <c r="AQ395" i="29" s="1"/>
  <c r="AR395" i="29" s="1"/>
  <c r="AN398" i="29"/>
  <c r="AN400" i="29"/>
  <c r="AM405" i="29"/>
  <c r="AP409" i="29"/>
  <c r="AQ409" i="29" s="1"/>
  <c r="AR409" i="29" s="1"/>
  <c r="AP411" i="29"/>
  <c r="AQ411" i="29" s="1"/>
  <c r="AR411" i="29" s="1"/>
  <c r="AN414" i="29"/>
  <c r="AP416" i="29"/>
  <c r="AQ416" i="29" s="1"/>
  <c r="AR416" i="29" s="1"/>
  <c r="AM419" i="29"/>
  <c r="AP421" i="29"/>
  <c r="AQ421" i="29" s="1"/>
  <c r="AR421" i="29" s="1"/>
  <c r="AN231" i="29"/>
  <c r="AM234" i="29"/>
  <c r="AP236" i="29"/>
  <c r="AQ236" i="29" s="1"/>
  <c r="AR236" i="29" s="1"/>
  <c r="AN239" i="29"/>
  <c r="AO239" i="29" s="1"/>
  <c r="AM242" i="29"/>
  <c r="AP244" i="29"/>
  <c r="AQ244" i="29" s="1"/>
  <c r="AR244" i="29" s="1"/>
  <c r="AN247" i="29"/>
  <c r="AM250" i="29"/>
  <c r="AP252" i="29"/>
  <c r="AQ252" i="29" s="1"/>
  <c r="AR252" i="29" s="1"/>
  <c r="AN255" i="29"/>
  <c r="AM258" i="29"/>
  <c r="AP260" i="29"/>
  <c r="AQ260" i="29" s="1"/>
  <c r="AR260" i="29" s="1"/>
  <c r="AM263" i="29"/>
  <c r="AP265" i="29"/>
  <c r="AQ265" i="29" s="1"/>
  <c r="AR265" i="29" s="1"/>
  <c r="AM268" i="29"/>
  <c r="AP270" i="29"/>
  <c r="AQ270" i="29" s="1"/>
  <c r="AR270" i="29" s="1"/>
  <c r="AN273" i="29"/>
  <c r="AM276" i="29"/>
  <c r="AN278" i="29"/>
  <c r="AN280" i="29"/>
  <c r="AN282" i="29"/>
  <c r="AM285" i="29"/>
  <c r="AP287" i="29"/>
  <c r="AQ287" i="29" s="1"/>
  <c r="AR287" i="29" s="1"/>
  <c r="AM290" i="29"/>
  <c r="AP292" i="29"/>
  <c r="AQ292" i="29" s="1"/>
  <c r="AR292" i="29" s="1"/>
  <c r="AN295" i="29"/>
  <c r="AM298" i="29"/>
  <c r="AN300" i="29"/>
  <c r="AM303" i="29"/>
  <c r="AN305" i="29"/>
  <c r="AM308" i="29"/>
  <c r="AP310" i="29"/>
  <c r="AQ310" i="29" s="1"/>
  <c r="AR310" i="29" s="1"/>
  <c r="AN313" i="29"/>
  <c r="AM316" i="29"/>
  <c r="AP318" i="29"/>
  <c r="AQ318" i="29" s="1"/>
  <c r="AR318" i="29" s="1"/>
  <c r="AM321" i="29"/>
  <c r="AP323" i="29"/>
  <c r="AQ323" i="29" s="1"/>
  <c r="AR323" i="29" s="1"/>
  <c r="AN328" i="29"/>
  <c r="AM331" i="29"/>
  <c r="AP333" i="29"/>
  <c r="AQ333" i="29" s="1"/>
  <c r="AR333" i="29" s="1"/>
  <c r="AN336" i="29"/>
  <c r="AP338" i="29"/>
  <c r="AQ338" i="29" s="1"/>
  <c r="AR338" i="29" s="1"/>
  <c r="AN341" i="29"/>
  <c r="AM344" i="29"/>
  <c r="AN346" i="29"/>
  <c r="AM351" i="29"/>
  <c r="AP353" i="29"/>
  <c r="AQ353" i="29" s="1"/>
  <c r="AR353" i="29" s="1"/>
  <c r="AN356" i="29"/>
  <c r="AM359" i="29"/>
  <c r="AN361" i="29"/>
  <c r="AM364" i="29"/>
  <c r="AN366" i="29"/>
  <c r="AM369" i="29"/>
  <c r="AN371" i="29"/>
  <c r="AP373" i="29"/>
  <c r="AQ373" i="29" s="1"/>
  <c r="AR373" i="29" s="1"/>
  <c r="AN376" i="29"/>
  <c r="AP378" i="29"/>
  <c r="AQ378" i="29" s="1"/>
  <c r="AR378" i="29" s="1"/>
  <c r="AM381" i="29"/>
  <c r="AP383" i="29"/>
  <c r="AQ383" i="29" s="1"/>
  <c r="AR383" i="29" s="1"/>
  <c r="AM386" i="29"/>
  <c r="AP388" i="29"/>
  <c r="AQ388" i="29" s="1"/>
  <c r="AR388" i="29" s="1"/>
  <c r="AM391" i="29"/>
  <c r="AN393" i="29"/>
  <c r="AM396" i="29"/>
  <c r="AP398" i="29"/>
  <c r="AQ398" i="29" s="1"/>
  <c r="AR398" i="29" s="1"/>
  <c r="AP400" i="29"/>
  <c r="AQ400" i="29" s="1"/>
  <c r="AR400" i="29" s="1"/>
  <c r="AM403" i="29"/>
  <c r="AN405" i="29"/>
  <c r="AP407" i="29"/>
  <c r="AQ407" i="29" s="1"/>
  <c r="AR407" i="29" s="1"/>
  <c r="AM410" i="29"/>
  <c r="AM412" i="29"/>
  <c r="AP414" i="29"/>
  <c r="AQ414" i="29" s="1"/>
  <c r="AR414" i="29" s="1"/>
  <c r="AN419" i="29"/>
  <c r="AM422" i="29"/>
  <c r="AP231" i="29"/>
  <c r="AQ231" i="29" s="1"/>
  <c r="AR231" i="29" s="1"/>
  <c r="AN234" i="29"/>
  <c r="AM237" i="29"/>
  <c r="AP239" i="29"/>
  <c r="AQ239" i="29" s="1"/>
  <c r="AR239" i="29" s="1"/>
  <c r="AN242" i="29"/>
  <c r="AM245" i="29"/>
  <c r="AP247" i="29"/>
  <c r="AQ247" i="29" s="1"/>
  <c r="AR247" i="29" s="1"/>
  <c r="AN250" i="29"/>
  <c r="AM253" i="29"/>
  <c r="AP255" i="29"/>
  <c r="AQ255" i="29" s="1"/>
  <c r="AR255" i="29" s="1"/>
  <c r="AN258" i="29"/>
  <c r="AM261" i="29"/>
  <c r="AN263" i="29"/>
  <c r="AM266" i="29"/>
  <c r="AN268" i="29"/>
  <c r="AM271" i="29"/>
  <c r="AP273" i="29"/>
  <c r="AQ273" i="29" s="1"/>
  <c r="AR273" i="29" s="1"/>
  <c r="AN276" i="29"/>
  <c r="AP282" i="29"/>
  <c r="AQ282" i="29" s="1"/>
  <c r="AR282" i="29" s="1"/>
  <c r="AN285" i="29"/>
  <c r="AM288" i="29"/>
  <c r="AN290" i="29"/>
  <c r="AM293" i="29"/>
  <c r="AP295" i="29"/>
  <c r="AQ295" i="29" s="1"/>
  <c r="AR295" i="29" s="1"/>
  <c r="AN298" i="29"/>
  <c r="AP300" i="29"/>
  <c r="AQ300" i="29" s="1"/>
  <c r="AR300" i="29" s="1"/>
  <c r="AN303" i="29"/>
  <c r="AP305" i="29"/>
  <c r="AQ305" i="29" s="1"/>
  <c r="AR305" i="29" s="1"/>
  <c r="AN308" i="29"/>
  <c r="AM311" i="29"/>
  <c r="AP313" i="29"/>
  <c r="AQ313" i="29" s="1"/>
  <c r="AR313" i="29" s="1"/>
  <c r="AN316" i="29"/>
  <c r="AM319" i="29"/>
  <c r="AN321" i="29"/>
  <c r="AM326" i="29"/>
  <c r="AP328" i="29"/>
  <c r="AQ328" i="29" s="1"/>
  <c r="AR328" i="29" s="1"/>
  <c r="AN331" i="29"/>
  <c r="AM334" i="29"/>
  <c r="AP336" i="29"/>
  <c r="AQ336" i="29" s="1"/>
  <c r="AR336" i="29" s="1"/>
  <c r="AM339" i="29"/>
  <c r="AP341" i="29"/>
  <c r="AQ341" i="29" s="1"/>
  <c r="AR341" i="29" s="1"/>
  <c r="AN344" i="29"/>
  <c r="AP346" i="29"/>
  <c r="AQ346" i="29" s="1"/>
  <c r="AR346" i="29" s="1"/>
  <c r="AM349" i="29"/>
  <c r="AN351" i="29"/>
  <c r="AM354" i="29"/>
  <c r="AP356" i="29"/>
  <c r="AQ356" i="29" s="1"/>
  <c r="AR356" i="29" s="1"/>
  <c r="AN359" i="29"/>
  <c r="AP361" i="29"/>
  <c r="AQ361" i="29" s="1"/>
  <c r="AR361" i="29" s="1"/>
  <c r="AN364" i="29"/>
  <c r="AP366" i="29"/>
  <c r="AQ366" i="29" s="1"/>
  <c r="AR366" i="29" s="1"/>
  <c r="AN369" i="29"/>
  <c r="AP371" i="29"/>
  <c r="AQ371" i="29" s="1"/>
  <c r="AR371" i="29" s="1"/>
  <c r="AM374" i="29"/>
  <c r="AP376" i="29"/>
  <c r="AQ376" i="29" s="1"/>
  <c r="AR376" i="29" s="1"/>
  <c r="AN381" i="29"/>
  <c r="AM384" i="29"/>
  <c r="AN386" i="29"/>
  <c r="AN391" i="29"/>
  <c r="AP393" i="29"/>
  <c r="AQ393" i="29" s="1"/>
  <c r="AR393" i="29" s="1"/>
  <c r="AN396" i="29"/>
  <c r="AM401" i="29"/>
  <c r="AN403" i="29"/>
  <c r="AP405" i="29"/>
  <c r="AQ405" i="29" s="1"/>
  <c r="AR405" i="29" s="1"/>
  <c r="AM408" i="29"/>
  <c r="AN410" i="29"/>
  <c r="AN412" i="29"/>
  <c r="AO412" i="29" s="1"/>
  <c r="AM417" i="29"/>
  <c r="AP419" i="29"/>
  <c r="AQ419" i="29" s="1"/>
  <c r="AR419" i="29" s="1"/>
  <c r="AN422" i="29"/>
  <c r="AP424" i="29"/>
  <c r="AQ424" i="29" s="1"/>
  <c r="AR424" i="29" s="1"/>
  <c r="AN427" i="29"/>
  <c r="AP429" i="29"/>
  <c r="AQ429" i="29" s="1"/>
  <c r="AR429" i="29" s="1"/>
  <c r="AN432" i="29"/>
  <c r="AM435" i="29"/>
  <c r="AN437" i="29"/>
  <c r="AN442" i="29"/>
  <c r="AM232" i="29"/>
  <c r="AP234" i="29"/>
  <c r="AQ234" i="29" s="1"/>
  <c r="AR234" i="29" s="1"/>
  <c r="AN237" i="29"/>
  <c r="AM240" i="29"/>
  <c r="AP242" i="29"/>
  <c r="AQ242" i="29" s="1"/>
  <c r="AR242" i="29" s="1"/>
  <c r="AN245" i="29"/>
  <c r="AM248" i="29"/>
  <c r="AP250" i="29"/>
  <c r="AQ250" i="29" s="1"/>
  <c r="AR250" i="29" s="1"/>
  <c r="AN253" i="29"/>
  <c r="AM256" i="29"/>
  <c r="AP258" i="29"/>
  <c r="AQ258" i="29" s="1"/>
  <c r="AR258" i="29" s="1"/>
  <c r="AN261" i="29"/>
  <c r="AP263" i="29"/>
  <c r="AQ263" i="29" s="1"/>
  <c r="AR263" i="29" s="1"/>
  <c r="AN266" i="29"/>
  <c r="AP268" i="29"/>
  <c r="AQ268" i="29" s="1"/>
  <c r="AR268" i="29" s="1"/>
  <c r="AN271" i="29"/>
  <c r="AM274" i="29"/>
  <c r="AP276" i="29"/>
  <c r="AQ276" i="29" s="1"/>
  <c r="AR276" i="29" s="1"/>
  <c r="AP278" i="29"/>
  <c r="AQ278" i="29" s="1"/>
  <c r="AR278" i="29" s="1"/>
  <c r="AP280" i="29"/>
  <c r="AQ280" i="29" s="1"/>
  <c r="AR280" i="29" s="1"/>
  <c r="AM283" i="29"/>
  <c r="AP285" i="29"/>
  <c r="AQ285" i="29" s="1"/>
  <c r="AR285" i="29" s="1"/>
  <c r="AN288" i="29"/>
  <c r="AP290" i="29"/>
  <c r="AQ290" i="29" s="1"/>
  <c r="AR290" i="29" s="1"/>
  <c r="AN293" i="29"/>
  <c r="AO293" i="29" s="1"/>
  <c r="AM296" i="29"/>
  <c r="AP298" i="29"/>
  <c r="AQ298" i="29" s="1"/>
  <c r="AR298" i="29" s="1"/>
  <c r="AM301" i="29"/>
  <c r="AP303" i="29"/>
  <c r="AQ303" i="29" s="1"/>
  <c r="AR303" i="29" s="1"/>
  <c r="AM306" i="29"/>
  <c r="AP308" i="29"/>
  <c r="AQ308" i="29" s="1"/>
  <c r="AR308" i="29" s="1"/>
  <c r="AN311" i="29"/>
  <c r="AM314" i="29"/>
  <c r="AP316" i="29"/>
  <c r="AQ316" i="29" s="1"/>
  <c r="AR316" i="29" s="1"/>
  <c r="AN319" i="29"/>
  <c r="AP321" i="29"/>
  <c r="AQ321" i="29" s="1"/>
  <c r="AR321" i="29" s="1"/>
  <c r="AM324" i="29"/>
  <c r="AN326" i="29"/>
  <c r="AM329" i="29"/>
  <c r="AP331" i="29"/>
  <c r="AQ331" i="29" s="1"/>
  <c r="AR331" i="29" s="1"/>
  <c r="AN334" i="29"/>
  <c r="AM337" i="29"/>
  <c r="AN339" i="29"/>
  <c r="AM342" i="29"/>
  <c r="AP344" i="29"/>
  <c r="AQ344" i="29" s="1"/>
  <c r="AR344" i="29" s="1"/>
  <c r="AM347" i="29"/>
  <c r="AN349" i="29"/>
  <c r="AP351" i="29"/>
  <c r="AQ351" i="29" s="1"/>
  <c r="AR351" i="29" s="1"/>
  <c r="AN354" i="29"/>
  <c r="AM357" i="29"/>
  <c r="AP359" i="29"/>
  <c r="AQ359" i="29" s="1"/>
  <c r="AR359" i="29" s="1"/>
  <c r="AM362" i="29"/>
  <c r="AP364" i="29"/>
  <c r="AQ364" i="29" s="1"/>
  <c r="AR364" i="29" s="1"/>
  <c r="AM367" i="29"/>
  <c r="AP369" i="29"/>
  <c r="AQ369" i="29" s="1"/>
  <c r="AR369" i="29" s="1"/>
  <c r="AM372" i="29"/>
  <c r="AN374" i="29"/>
  <c r="AM379" i="29"/>
  <c r="AP381" i="29"/>
  <c r="AQ381" i="29" s="1"/>
  <c r="AR381" i="29" s="1"/>
  <c r="AN384" i="29"/>
  <c r="AP386" i="29"/>
  <c r="AQ386" i="29" s="1"/>
  <c r="AR386" i="29" s="1"/>
  <c r="AM389" i="29"/>
  <c r="AP391" i="29"/>
  <c r="AQ391" i="29" s="1"/>
  <c r="AR391" i="29" s="1"/>
  <c r="AM394" i="29"/>
  <c r="AP396" i="29"/>
  <c r="AQ396" i="29" s="1"/>
  <c r="AR396" i="29" s="1"/>
  <c r="AM399" i="29"/>
  <c r="AN401" i="29"/>
  <c r="AP403" i="29"/>
  <c r="AQ403" i="29" s="1"/>
  <c r="AR403" i="29" s="1"/>
  <c r="AM406" i="29"/>
  <c r="AN408" i="29"/>
  <c r="AP410" i="29"/>
  <c r="AQ410" i="29" s="1"/>
  <c r="AR410" i="29" s="1"/>
  <c r="AP412" i="29"/>
  <c r="AQ412" i="29" s="1"/>
  <c r="AR412" i="29" s="1"/>
  <c r="AM415" i="29"/>
  <c r="AN417" i="29"/>
  <c r="AM420" i="29"/>
  <c r="AP422" i="29"/>
  <c r="AQ422" i="29" s="1"/>
  <c r="AR422" i="29" s="1"/>
  <c r="AP232" i="29"/>
  <c r="AQ232" i="29" s="1"/>
  <c r="AR232" i="29" s="1"/>
  <c r="AN235" i="29"/>
  <c r="AM238" i="29"/>
  <c r="AP240" i="29"/>
  <c r="AQ240" i="29" s="1"/>
  <c r="AR240" i="29" s="1"/>
  <c r="AN243" i="29"/>
  <c r="AM246" i="29"/>
  <c r="AP248" i="29"/>
  <c r="AQ248" i="29" s="1"/>
  <c r="AR248" i="29" s="1"/>
  <c r="AN251" i="29"/>
  <c r="AM254" i="29"/>
  <c r="AP256" i="29"/>
  <c r="AQ256" i="29" s="1"/>
  <c r="AR256" i="29" s="1"/>
  <c r="AN259" i="29"/>
  <c r="AN264" i="29"/>
  <c r="AM267" i="29"/>
  <c r="AN269" i="29"/>
  <c r="AM272" i="29"/>
  <c r="AP274" i="29"/>
  <c r="AQ274" i="29" s="1"/>
  <c r="AR274" i="29" s="1"/>
  <c r="AN277" i="29"/>
  <c r="AN279" i="29"/>
  <c r="AN281" i="29"/>
  <c r="AP283" i="29"/>
  <c r="AQ283" i="29" s="1"/>
  <c r="AR283" i="29" s="1"/>
  <c r="AN286" i="29"/>
  <c r="AM289" i="29"/>
  <c r="AN291" i="29"/>
  <c r="AM294" i="29"/>
  <c r="AP296" i="29"/>
  <c r="AQ296" i="29" s="1"/>
  <c r="AR296" i="29" s="1"/>
  <c r="AN299" i="29"/>
  <c r="AP301" i="29"/>
  <c r="AQ301" i="29" s="1"/>
  <c r="AR301" i="29" s="1"/>
  <c r="AM304" i="29"/>
  <c r="AP306" i="29"/>
  <c r="AQ306" i="29" s="1"/>
  <c r="AR306" i="29" s="1"/>
  <c r="AN309" i="29"/>
  <c r="AM312" i="29"/>
  <c r="AP314" i="29"/>
  <c r="AQ314" i="29" s="1"/>
  <c r="AR314" i="29" s="1"/>
  <c r="AN317" i="29"/>
  <c r="AN322" i="29"/>
  <c r="AP324" i="29"/>
  <c r="AQ324" i="29" s="1"/>
  <c r="AR324" i="29" s="1"/>
  <c r="AM327" i="29"/>
  <c r="AP329" i="29"/>
  <c r="AQ329" i="29" s="1"/>
  <c r="AR329" i="29" s="1"/>
  <c r="AN332" i="29"/>
  <c r="AM335" i="29"/>
  <c r="AP337" i="29"/>
  <c r="AQ337" i="29" s="1"/>
  <c r="AR337" i="29" s="1"/>
  <c r="AM340" i="29"/>
  <c r="AP342" i="29"/>
  <c r="AQ342" i="29" s="1"/>
  <c r="AR342" i="29" s="1"/>
  <c r="AN345" i="29"/>
  <c r="AP347" i="29"/>
  <c r="AQ347" i="29" s="1"/>
  <c r="AR347" i="29" s="1"/>
  <c r="AN352" i="29"/>
  <c r="AM355" i="29"/>
  <c r="AP357" i="29"/>
  <c r="AQ357" i="29" s="1"/>
  <c r="AR357" i="29" s="1"/>
  <c r="AM360" i="29"/>
  <c r="AP362" i="29"/>
  <c r="AQ362" i="29" s="1"/>
  <c r="AR362" i="29" s="1"/>
  <c r="AM365" i="29"/>
  <c r="AP367" i="29"/>
  <c r="AQ367" i="29" s="1"/>
  <c r="AR367" i="29" s="1"/>
  <c r="AN370" i="29"/>
  <c r="AP372" i="29"/>
  <c r="AQ372" i="29" s="1"/>
  <c r="AR372" i="29" s="1"/>
  <c r="AM375" i="29"/>
  <c r="AN377" i="29"/>
  <c r="AP379" i="29"/>
  <c r="AQ379" i="29" s="1"/>
  <c r="AR379" i="29" s="1"/>
  <c r="AN382" i="29"/>
  <c r="AN387" i="29"/>
  <c r="AP389" i="29"/>
  <c r="AQ389" i="29" s="1"/>
  <c r="AR389" i="29" s="1"/>
  <c r="AN392" i="29"/>
  <c r="AP394" i="29"/>
  <c r="AQ394" i="29" s="1"/>
  <c r="AR394" i="29" s="1"/>
  <c r="AN397" i="29"/>
  <c r="AM402" i="29"/>
  <c r="AN404" i="29"/>
  <c r="AP406" i="29"/>
  <c r="AQ406" i="29" s="1"/>
  <c r="AR406" i="29" s="1"/>
  <c r="AN413" i="29"/>
  <c r="AP415" i="29"/>
  <c r="AQ415" i="29" s="1"/>
  <c r="AR415" i="29" s="1"/>
  <c r="AM418" i="29"/>
  <c r="AP420" i="29"/>
  <c r="AQ420" i="29" s="1"/>
  <c r="AR420" i="29" s="1"/>
  <c r="AM233" i="29"/>
  <c r="AP235" i="29"/>
  <c r="AQ235" i="29" s="1"/>
  <c r="AR235" i="29" s="1"/>
  <c r="AN238" i="29"/>
  <c r="AM241" i="29"/>
  <c r="AP243" i="29"/>
  <c r="AQ243" i="29" s="1"/>
  <c r="AR243" i="29" s="1"/>
  <c r="AN246" i="29"/>
  <c r="AM249" i="29"/>
  <c r="AP251" i="29"/>
  <c r="AQ251" i="29" s="1"/>
  <c r="AR251" i="29" s="1"/>
  <c r="AN254" i="29"/>
  <c r="AM257" i="29"/>
  <c r="AO257" i="29" s="1"/>
  <c r="AP259" i="29"/>
  <c r="AQ259" i="29" s="1"/>
  <c r="AR259" i="29" s="1"/>
  <c r="AM262" i="29"/>
  <c r="AP264" i="29"/>
  <c r="AQ264" i="29" s="1"/>
  <c r="AR264" i="29" s="1"/>
  <c r="AN267" i="29"/>
  <c r="AP269" i="29"/>
  <c r="AQ269" i="29" s="1"/>
  <c r="AR269" i="29" s="1"/>
  <c r="AN272" i="29"/>
  <c r="AM275" i="29"/>
  <c r="AP277" i="29"/>
  <c r="AQ277" i="29" s="1"/>
  <c r="AR277" i="29" s="1"/>
  <c r="AP279" i="29"/>
  <c r="AQ279" i="29" s="1"/>
  <c r="AR279" i="29" s="1"/>
  <c r="AP281" i="29"/>
  <c r="AQ281" i="29" s="1"/>
  <c r="AR281" i="29" s="1"/>
  <c r="AM284" i="29"/>
  <c r="AP286" i="29"/>
  <c r="AQ286" i="29" s="1"/>
  <c r="AR286" i="29" s="1"/>
  <c r="AN289" i="29"/>
  <c r="AP291" i="29"/>
  <c r="AQ291" i="29" s="1"/>
  <c r="AR291" i="29" s="1"/>
  <c r="AN294" i="29"/>
  <c r="AM297" i="29"/>
  <c r="AP299" i="29"/>
  <c r="AQ299" i="29" s="1"/>
  <c r="AR299" i="29" s="1"/>
  <c r="AM302" i="29"/>
  <c r="AO302" i="29" s="1"/>
  <c r="AN304" i="29"/>
  <c r="AO304" i="29" s="1"/>
  <c r="AM307" i="29"/>
  <c r="AP309" i="29"/>
  <c r="AQ309" i="29" s="1"/>
  <c r="AR309" i="29" s="1"/>
  <c r="AN312" i="29"/>
  <c r="AM315" i="29"/>
  <c r="AO315" i="29" s="1"/>
  <c r="AP317" i="29"/>
  <c r="AQ317" i="29" s="1"/>
  <c r="AR317" i="29" s="1"/>
  <c r="AM320" i="29"/>
  <c r="AP322" i="29"/>
  <c r="AQ322" i="29" s="1"/>
  <c r="AR322" i="29" s="1"/>
  <c r="AM325" i="29"/>
  <c r="AN327" i="29"/>
  <c r="AM330" i="29"/>
  <c r="AP332" i="29"/>
  <c r="AQ332" i="29" s="1"/>
  <c r="AR332" i="29" s="1"/>
  <c r="AN335" i="29"/>
  <c r="AM338" i="29"/>
  <c r="AO338" i="29" s="1"/>
  <c r="AN340" i="29"/>
  <c r="AM343" i="29"/>
  <c r="AP345" i="29"/>
  <c r="AQ345" i="29" s="1"/>
  <c r="AR345" i="29" s="1"/>
  <c r="AM348" i="29"/>
  <c r="AM350" i="29"/>
  <c r="AP352" i="29"/>
  <c r="AQ352" i="29" s="1"/>
  <c r="AR352" i="29" s="1"/>
  <c r="AN355" i="29"/>
  <c r="AM358" i="29"/>
  <c r="AN360" i="29"/>
  <c r="AM363" i="29"/>
  <c r="AN365" i="29"/>
  <c r="AM368" i="29"/>
  <c r="AP370" i="29"/>
  <c r="AQ370" i="29" s="1"/>
  <c r="AR370" i="29" s="1"/>
  <c r="AN375" i="29"/>
  <c r="AP377" i="29"/>
  <c r="AQ377" i="29" s="1"/>
  <c r="AR377" i="29" s="1"/>
  <c r="AM380" i="29"/>
  <c r="AP382" i="29"/>
  <c r="AQ382" i="29" s="1"/>
  <c r="AR382" i="29" s="1"/>
  <c r="AM385" i="29"/>
  <c r="AP387" i="29"/>
  <c r="AQ387" i="29" s="1"/>
  <c r="AR387" i="29" s="1"/>
  <c r="AM390" i="29"/>
  <c r="AP392" i="29"/>
  <c r="AQ392" i="29" s="1"/>
  <c r="AR392" i="29" s="1"/>
  <c r="AM395" i="29"/>
  <c r="AP397" i="29"/>
  <c r="AQ397" i="29" s="1"/>
  <c r="AR397" i="29" s="1"/>
  <c r="AP399" i="29"/>
  <c r="AQ399" i="29" s="1"/>
  <c r="AR399" i="29" s="1"/>
  <c r="AN402" i="29"/>
  <c r="AP404" i="29"/>
  <c r="AQ404" i="29" s="1"/>
  <c r="AR404" i="29" s="1"/>
  <c r="AM407" i="29"/>
  <c r="AO407" i="29" s="1"/>
  <c r="U407" i="29" s="1"/>
  <c r="AM409" i="29"/>
  <c r="AM411" i="29"/>
  <c r="AP413" i="29"/>
  <c r="AQ413" i="29" s="1"/>
  <c r="AR413" i="29" s="1"/>
  <c r="AM416" i="29"/>
  <c r="AN418" i="29"/>
  <c r="AM421" i="29"/>
  <c r="AP423" i="29"/>
  <c r="AQ423" i="29" s="1"/>
  <c r="AR423" i="29" s="1"/>
  <c r="AN232" i="29"/>
  <c r="AP253" i="29"/>
  <c r="AQ253" i="29" s="1"/>
  <c r="AR253" i="29" s="1"/>
  <c r="AN274" i="29"/>
  <c r="AP293" i="29"/>
  <c r="AQ293" i="29" s="1"/>
  <c r="AR293" i="29" s="1"/>
  <c r="AN314" i="29"/>
  <c r="AP334" i="29"/>
  <c r="AQ334" i="29" s="1"/>
  <c r="AR334" i="29" s="1"/>
  <c r="AP354" i="29"/>
  <c r="AQ354" i="29" s="1"/>
  <c r="AR354" i="29" s="1"/>
  <c r="AP374" i="29"/>
  <c r="AQ374" i="29" s="1"/>
  <c r="AR374" i="29" s="1"/>
  <c r="AN394" i="29"/>
  <c r="AO394" i="29" s="1"/>
  <c r="AM413" i="29"/>
  <c r="AM425" i="29"/>
  <c r="AM428" i="29"/>
  <c r="AP431" i="29"/>
  <c r="AQ431" i="29" s="1"/>
  <c r="AR431" i="29" s="1"/>
  <c r="AN435" i="29"/>
  <c r="AN438" i="29"/>
  <c r="AP441" i="29"/>
  <c r="AQ441" i="29" s="1"/>
  <c r="AR441" i="29" s="1"/>
  <c r="AN444" i="29"/>
  <c r="AM447" i="29"/>
  <c r="AP449" i="29"/>
  <c r="AQ449" i="29" s="1"/>
  <c r="AR449" i="29" s="1"/>
  <c r="AN452" i="29"/>
  <c r="AM455" i="29"/>
  <c r="AN457" i="29"/>
  <c r="AP459" i="29"/>
  <c r="AQ459" i="29" s="1"/>
  <c r="AR459" i="29" s="1"/>
  <c r="AM462" i="29"/>
  <c r="AP464" i="29"/>
  <c r="AQ464" i="29" s="1"/>
  <c r="AR464" i="29" s="1"/>
  <c r="AM467" i="29"/>
  <c r="AP469" i="29"/>
  <c r="AQ469" i="29" s="1"/>
  <c r="AR469" i="29" s="1"/>
  <c r="AN472" i="29"/>
  <c r="AM475" i="29"/>
  <c r="AP477" i="29"/>
  <c r="AQ477" i="29" s="1"/>
  <c r="AR477" i="29" s="1"/>
  <c r="AM480" i="29"/>
  <c r="AP482" i="29"/>
  <c r="AQ482" i="29" s="1"/>
  <c r="AR482" i="29" s="1"/>
  <c r="AN487" i="29"/>
  <c r="AN489" i="29"/>
  <c r="AM492" i="29"/>
  <c r="AP494" i="29"/>
  <c r="AQ494" i="29" s="1"/>
  <c r="AR494" i="29" s="1"/>
  <c r="AP496" i="29"/>
  <c r="AQ496" i="29" s="1"/>
  <c r="AR496" i="29" s="1"/>
  <c r="AN499" i="29"/>
  <c r="AP501" i="29"/>
  <c r="AQ501" i="29" s="1"/>
  <c r="AR501" i="29" s="1"/>
  <c r="AM504" i="29"/>
  <c r="AP506" i="29"/>
  <c r="AQ506" i="29" s="1"/>
  <c r="AR506" i="29" s="1"/>
  <c r="AM509" i="29"/>
  <c r="AP511" i="29"/>
  <c r="AQ511" i="29" s="1"/>
  <c r="AR511" i="29" s="1"/>
  <c r="AN514" i="29"/>
  <c r="AM517" i="29"/>
  <c r="AP519" i="29"/>
  <c r="AQ519" i="29" s="1"/>
  <c r="AR519" i="29" s="1"/>
  <c r="AN522" i="29"/>
  <c r="AM525" i="29"/>
  <c r="AP527" i="29"/>
  <c r="AQ527" i="29" s="1"/>
  <c r="AR527" i="29" s="1"/>
  <c r="AN530" i="29"/>
  <c r="AP532" i="29"/>
  <c r="AQ532" i="29" s="1"/>
  <c r="AR532" i="29" s="1"/>
  <c r="AM535" i="29"/>
  <c r="AP537" i="29"/>
  <c r="AQ537" i="29" s="1"/>
  <c r="AR537" i="29" s="1"/>
  <c r="AM540" i="29"/>
  <c r="AP542" i="29"/>
  <c r="AQ542" i="29" s="1"/>
  <c r="AR542" i="29" s="1"/>
  <c r="AN545" i="29"/>
  <c r="AM548" i="29"/>
  <c r="AP550" i="29"/>
  <c r="AQ550" i="29" s="1"/>
  <c r="AR550" i="29" s="1"/>
  <c r="AN553" i="29"/>
  <c r="AM556" i="29"/>
  <c r="AP558" i="29"/>
  <c r="AQ558" i="29" s="1"/>
  <c r="AR558" i="29" s="1"/>
  <c r="AN561" i="29"/>
  <c r="AM564" i="29"/>
  <c r="AP566" i="29"/>
  <c r="AQ566" i="29" s="1"/>
  <c r="AR566" i="29" s="1"/>
  <c r="AN569" i="29"/>
  <c r="AP571" i="29"/>
  <c r="AQ571" i="29" s="1"/>
  <c r="AR571" i="29" s="1"/>
  <c r="AN574" i="29"/>
  <c r="AM577" i="29"/>
  <c r="AP579" i="29"/>
  <c r="AQ579" i="29" s="1"/>
  <c r="AR579" i="29" s="1"/>
  <c r="AN582" i="29"/>
  <c r="AM585" i="29"/>
  <c r="AN587" i="29"/>
  <c r="AM590" i="29"/>
  <c r="AP592" i="29"/>
  <c r="AQ592" i="29" s="1"/>
  <c r="AR592" i="29" s="1"/>
  <c r="AN595" i="29"/>
  <c r="AM598" i="29"/>
  <c r="AM600" i="29"/>
  <c r="AP602" i="29"/>
  <c r="AQ602" i="29" s="1"/>
  <c r="AR602" i="29" s="1"/>
  <c r="AN605" i="29"/>
  <c r="AP607" i="29"/>
  <c r="AQ607" i="29" s="1"/>
  <c r="AR607" i="29" s="1"/>
  <c r="AN610" i="29"/>
  <c r="AN612" i="29"/>
  <c r="AM13" i="29"/>
  <c r="AM593" i="29"/>
  <c r="AN598" i="29"/>
  <c r="AM603" i="29"/>
  <c r="AP605" i="29"/>
  <c r="AQ605" i="29" s="1"/>
  <c r="AR605" i="29" s="1"/>
  <c r="AP612" i="29"/>
  <c r="AQ612" i="29" s="1"/>
  <c r="AR612" i="29" s="1"/>
  <c r="AM235" i="29"/>
  <c r="AN256" i="29"/>
  <c r="AM277" i="29"/>
  <c r="AN296" i="29"/>
  <c r="AO296" i="29" s="1"/>
  <c r="AM317" i="29"/>
  <c r="AN337" i="29"/>
  <c r="AN357" i="29"/>
  <c r="AO357" i="29" s="1"/>
  <c r="AM377" i="29"/>
  <c r="AO377" i="29" s="1"/>
  <c r="AM397" i="29"/>
  <c r="AN415" i="29"/>
  <c r="AN425" i="29"/>
  <c r="AN428" i="29"/>
  <c r="AM432" i="29"/>
  <c r="AP435" i="29"/>
  <c r="AQ435" i="29" s="1"/>
  <c r="AR435" i="29" s="1"/>
  <c r="AP438" i="29"/>
  <c r="AQ438" i="29" s="1"/>
  <c r="AR438" i="29" s="1"/>
  <c r="AM442" i="29"/>
  <c r="AO442" i="29" s="1"/>
  <c r="AP444" i="29"/>
  <c r="AQ444" i="29" s="1"/>
  <c r="AR444" i="29" s="1"/>
  <c r="AN447" i="29"/>
  <c r="AM450" i="29"/>
  <c r="AP452" i="29"/>
  <c r="AQ452" i="29" s="1"/>
  <c r="AR452" i="29" s="1"/>
  <c r="AN455" i="29"/>
  <c r="AP457" i="29"/>
  <c r="AQ457" i="29" s="1"/>
  <c r="AR457" i="29" s="1"/>
  <c r="AM460" i="29"/>
  <c r="AN462" i="29"/>
  <c r="AN467" i="29"/>
  <c r="AM470" i="29"/>
  <c r="AP472" i="29"/>
  <c r="AQ472" i="29" s="1"/>
  <c r="AR472" i="29" s="1"/>
  <c r="AN475" i="29"/>
  <c r="AM478" i="29"/>
  <c r="AN480" i="29"/>
  <c r="AM483" i="29"/>
  <c r="AM485" i="29"/>
  <c r="AP489" i="29"/>
  <c r="AQ489" i="29" s="1"/>
  <c r="AR489" i="29" s="1"/>
  <c r="AN492" i="29"/>
  <c r="AM497" i="29"/>
  <c r="AP499" i="29"/>
  <c r="AQ499" i="29" s="1"/>
  <c r="AR499" i="29" s="1"/>
  <c r="AM502" i="29"/>
  <c r="AN504" i="29"/>
  <c r="AN509" i="29"/>
  <c r="AM512" i="29"/>
  <c r="AP514" i="29"/>
  <c r="AQ514" i="29" s="1"/>
  <c r="AR514" i="29" s="1"/>
  <c r="AN517" i="29"/>
  <c r="AM520" i="29"/>
  <c r="AP522" i="29"/>
  <c r="AQ522" i="29" s="1"/>
  <c r="AR522" i="29" s="1"/>
  <c r="AN525" i="29"/>
  <c r="AM528" i="29"/>
  <c r="AP530" i="29"/>
  <c r="AQ530" i="29" s="1"/>
  <c r="AR530" i="29" s="1"/>
  <c r="AM533" i="29"/>
  <c r="AN535" i="29"/>
  <c r="AM538" i="29"/>
  <c r="AN540" i="29"/>
  <c r="AM543" i="29"/>
  <c r="AP545" i="29"/>
  <c r="AQ545" i="29" s="1"/>
  <c r="AR545" i="29" s="1"/>
  <c r="AN548" i="29"/>
  <c r="AM551" i="29"/>
  <c r="AP553" i="29"/>
  <c r="AQ553" i="29" s="1"/>
  <c r="AR553" i="29" s="1"/>
  <c r="AN556" i="29"/>
  <c r="AM559" i="29"/>
  <c r="AP561" i="29"/>
  <c r="AQ561" i="29" s="1"/>
  <c r="AR561" i="29" s="1"/>
  <c r="AN564" i="29"/>
  <c r="AM567" i="29"/>
  <c r="AP569" i="29"/>
  <c r="AQ569" i="29" s="1"/>
  <c r="AR569" i="29" s="1"/>
  <c r="AM572" i="29"/>
  <c r="AP574" i="29"/>
  <c r="AQ574" i="29" s="1"/>
  <c r="AR574" i="29" s="1"/>
  <c r="AN577" i="29"/>
  <c r="AM580" i="29"/>
  <c r="AP582" i="29"/>
  <c r="AQ582" i="29" s="1"/>
  <c r="AR582" i="29" s="1"/>
  <c r="AN585" i="29"/>
  <c r="AP587" i="29"/>
  <c r="AQ587" i="29" s="1"/>
  <c r="AR587" i="29" s="1"/>
  <c r="AN590" i="29"/>
  <c r="AP595" i="29"/>
  <c r="AQ595" i="29" s="1"/>
  <c r="AR595" i="29" s="1"/>
  <c r="AN600" i="29"/>
  <c r="AM608" i="29"/>
  <c r="AP237" i="29"/>
  <c r="AQ237" i="29" s="1"/>
  <c r="AR237" i="29" s="1"/>
  <c r="AM259" i="29"/>
  <c r="AM279" i="29"/>
  <c r="AM299" i="29"/>
  <c r="AP319" i="29"/>
  <c r="AQ319" i="29" s="1"/>
  <c r="AR319" i="29" s="1"/>
  <c r="AP339" i="29"/>
  <c r="AQ339" i="29" s="1"/>
  <c r="AR339" i="29" s="1"/>
  <c r="AN379" i="29"/>
  <c r="AO379" i="29" s="1"/>
  <c r="AN399" i="29"/>
  <c r="AO399" i="29" s="1"/>
  <c r="AP417" i="29"/>
  <c r="AQ417" i="29" s="1"/>
  <c r="AR417" i="29" s="1"/>
  <c r="AP425" i="29"/>
  <c r="AQ425" i="29" s="1"/>
  <c r="AR425" i="29" s="1"/>
  <c r="AM429" i="29"/>
  <c r="AP432" i="29"/>
  <c r="AQ432" i="29" s="1"/>
  <c r="AR432" i="29" s="1"/>
  <c r="AM436" i="29"/>
  <c r="AN439" i="29"/>
  <c r="AP442" i="29"/>
  <c r="AQ442" i="29" s="1"/>
  <c r="AR442" i="29" s="1"/>
  <c r="AM445" i="29"/>
  <c r="AP447" i="29"/>
  <c r="AQ447" i="29" s="1"/>
  <c r="AR447" i="29" s="1"/>
  <c r="AN450" i="29"/>
  <c r="AM453" i="29"/>
  <c r="AP455" i="29"/>
  <c r="AQ455" i="29" s="1"/>
  <c r="AR455" i="29" s="1"/>
  <c r="AM458" i="29"/>
  <c r="AN460" i="29"/>
  <c r="AP462" i="29"/>
  <c r="AQ462" i="29" s="1"/>
  <c r="AR462" i="29" s="1"/>
  <c r="AM465" i="29"/>
  <c r="AP467" i="29"/>
  <c r="AQ467" i="29" s="1"/>
  <c r="AR467" i="29" s="1"/>
  <c r="AN470" i="29"/>
  <c r="AM473" i="29"/>
  <c r="AP475" i="29"/>
  <c r="AQ475" i="29" s="1"/>
  <c r="AR475" i="29" s="1"/>
  <c r="AN478" i="29"/>
  <c r="AP480" i="29"/>
  <c r="AQ480" i="29" s="1"/>
  <c r="AR480" i="29" s="1"/>
  <c r="AN483" i="29"/>
  <c r="AN485" i="29"/>
  <c r="AP487" i="29"/>
  <c r="AQ487" i="29" s="1"/>
  <c r="AR487" i="29" s="1"/>
  <c r="AM490" i="29"/>
  <c r="AP492" i="29"/>
  <c r="AQ492" i="29" s="1"/>
  <c r="AR492" i="29" s="1"/>
  <c r="AM495" i="29"/>
  <c r="AN497" i="29"/>
  <c r="AN502" i="29"/>
  <c r="AP504" i="29"/>
  <c r="AQ504" i="29" s="1"/>
  <c r="AR504" i="29" s="1"/>
  <c r="AM507" i="29"/>
  <c r="AP509" i="29"/>
  <c r="AQ509" i="29" s="1"/>
  <c r="AR509" i="29" s="1"/>
  <c r="AN512" i="29"/>
  <c r="AM515" i="29"/>
  <c r="AP517" i="29"/>
  <c r="AQ517" i="29" s="1"/>
  <c r="AR517" i="29" s="1"/>
  <c r="AN520" i="29"/>
  <c r="AM523" i="29"/>
  <c r="AP525" i="29"/>
  <c r="AQ525" i="29" s="1"/>
  <c r="AR525" i="29" s="1"/>
  <c r="AN528" i="29"/>
  <c r="AN533" i="29"/>
  <c r="AP535" i="29"/>
  <c r="AQ535" i="29" s="1"/>
  <c r="AR535" i="29" s="1"/>
  <c r="AN538" i="29"/>
  <c r="AP540" i="29"/>
  <c r="AQ540" i="29" s="1"/>
  <c r="AR540" i="29" s="1"/>
  <c r="AN543" i="29"/>
  <c r="AM546" i="29"/>
  <c r="AP548" i="29"/>
  <c r="AQ548" i="29" s="1"/>
  <c r="AR548" i="29" s="1"/>
  <c r="AN551" i="29"/>
  <c r="AM554" i="29"/>
  <c r="AP556" i="29"/>
  <c r="AQ556" i="29" s="1"/>
  <c r="AR556" i="29" s="1"/>
  <c r="AN559" i="29"/>
  <c r="AM562" i="29"/>
  <c r="AP564" i="29"/>
  <c r="AQ564" i="29" s="1"/>
  <c r="AR564" i="29" s="1"/>
  <c r="AN567" i="29"/>
  <c r="AM570" i="29"/>
  <c r="AN572" i="29"/>
  <c r="AM575" i="29"/>
  <c r="AP577" i="29"/>
  <c r="AQ577" i="29" s="1"/>
  <c r="AR577" i="29" s="1"/>
  <c r="AN580" i="29"/>
  <c r="AM583" i="29"/>
  <c r="AP585" i="29"/>
  <c r="AQ585" i="29" s="1"/>
  <c r="AR585" i="29" s="1"/>
  <c r="AM588" i="29"/>
  <c r="AP590" i="29"/>
  <c r="AQ590" i="29" s="1"/>
  <c r="AR590" i="29" s="1"/>
  <c r="AN593" i="29"/>
  <c r="AM596" i="29"/>
  <c r="AP598" i="29"/>
  <c r="AQ598" i="29" s="1"/>
  <c r="AR598" i="29" s="1"/>
  <c r="AP600" i="29"/>
  <c r="AQ600" i="29" s="1"/>
  <c r="AR600" i="29" s="1"/>
  <c r="AN603" i="29"/>
  <c r="AM606" i="29"/>
  <c r="AN608" i="29"/>
  <c r="AM613" i="29"/>
  <c r="AN240" i="29"/>
  <c r="AP261" i="29"/>
  <c r="AQ261" i="29" s="1"/>
  <c r="AR261" i="29" s="1"/>
  <c r="AM281" i="29"/>
  <c r="AO281" i="29" s="1"/>
  <c r="AN301" i="29"/>
  <c r="AM322" i="29"/>
  <c r="AN342" i="29"/>
  <c r="AN362" i="29"/>
  <c r="AM382" i="29"/>
  <c r="AP401" i="29"/>
  <c r="AQ401" i="29" s="1"/>
  <c r="AR401" i="29" s="1"/>
  <c r="AN420" i="29"/>
  <c r="AM426" i="29"/>
  <c r="AO426" i="29" s="1"/>
  <c r="AN429" i="29"/>
  <c r="AM433" i="29"/>
  <c r="AN436" i="29"/>
  <c r="AP439" i="29"/>
  <c r="AQ439" i="29" s="1"/>
  <c r="AR439" i="29" s="1"/>
  <c r="AN445" i="29"/>
  <c r="AM448" i="29"/>
  <c r="AP450" i="29"/>
  <c r="AQ450" i="29" s="1"/>
  <c r="AR450" i="29" s="1"/>
  <c r="AN453" i="29"/>
  <c r="AM456" i="29"/>
  <c r="AN458" i="29"/>
  <c r="AP460" i="29"/>
  <c r="AQ460" i="29" s="1"/>
  <c r="AR460" i="29" s="1"/>
  <c r="AM463" i="29"/>
  <c r="AN465" i="29"/>
  <c r="AM468" i="29"/>
  <c r="AP470" i="29"/>
  <c r="AQ470" i="29" s="1"/>
  <c r="AR470" i="29" s="1"/>
  <c r="AN473" i="29"/>
  <c r="AM476" i="29"/>
  <c r="AP478" i="29"/>
  <c r="AQ478" i="29" s="1"/>
  <c r="AR478" i="29" s="1"/>
  <c r="AM481" i="29"/>
  <c r="AP485" i="29"/>
  <c r="AQ485" i="29" s="1"/>
  <c r="AR485" i="29" s="1"/>
  <c r="AM488" i="29"/>
  <c r="AN490" i="29"/>
  <c r="AM493" i="29"/>
  <c r="AN495" i="29"/>
  <c r="AP497" i="29"/>
  <c r="AQ497" i="29" s="1"/>
  <c r="AR497" i="29" s="1"/>
  <c r="AM500" i="29"/>
  <c r="AP502" i="29"/>
  <c r="AQ502" i="29" s="1"/>
  <c r="AR502" i="29" s="1"/>
  <c r="AM505" i="29"/>
  <c r="AN507" i="29"/>
  <c r="AM510" i="29"/>
  <c r="AP512" i="29"/>
  <c r="AQ512" i="29" s="1"/>
  <c r="AR512" i="29" s="1"/>
  <c r="AN515" i="29"/>
  <c r="AM518" i="29"/>
  <c r="AP520" i="29"/>
  <c r="AQ520" i="29" s="1"/>
  <c r="AR520" i="29" s="1"/>
  <c r="AN523" i="29"/>
  <c r="AM526" i="29"/>
  <c r="AP528" i="29"/>
  <c r="AQ528" i="29" s="1"/>
  <c r="AR528" i="29" s="1"/>
  <c r="AM531" i="29"/>
  <c r="AP533" i="29"/>
  <c r="AQ533" i="29" s="1"/>
  <c r="AR533" i="29" s="1"/>
  <c r="AM536" i="29"/>
  <c r="AP538" i="29"/>
  <c r="AQ538" i="29" s="1"/>
  <c r="AR538" i="29" s="1"/>
  <c r="AM541" i="29"/>
  <c r="AP543" i="29"/>
  <c r="AQ543" i="29" s="1"/>
  <c r="AR543" i="29" s="1"/>
  <c r="AN546" i="29"/>
  <c r="AM549" i="29"/>
  <c r="AP551" i="29"/>
  <c r="AQ551" i="29" s="1"/>
  <c r="AR551" i="29" s="1"/>
  <c r="AN554" i="29"/>
  <c r="AM557" i="29"/>
  <c r="AP559" i="29"/>
  <c r="AQ559" i="29" s="1"/>
  <c r="AR559" i="29" s="1"/>
  <c r="AN562" i="29"/>
  <c r="AM565" i="29"/>
  <c r="AP567" i="29"/>
  <c r="AQ567" i="29" s="1"/>
  <c r="AR567" i="29" s="1"/>
  <c r="AN570" i="29"/>
  <c r="AP572" i="29"/>
  <c r="AQ572" i="29" s="1"/>
  <c r="AR572" i="29" s="1"/>
  <c r="AN575" i="29"/>
  <c r="AM578" i="29"/>
  <c r="AP580" i="29"/>
  <c r="AQ580" i="29" s="1"/>
  <c r="AR580" i="29" s="1"/>
  <c r="AN583" i="29"/>
  <c r="AM586" i="29"/>
  <c r="AN588" i="29"/>
  <c r="AO588" i="29" s="1"/>
  <c r="AM591" i="29"/>
  <c r="AP593" i="29"/>
  <c r="AQ593" i="29" s="1"/>
  <c r="AR593" i="29" s="1"/>
  <c r="AN596" i="29"/>
  <c r="AM601" i="29"/>
  <c r="AP603" i="29"/>
  <c r="AQ603" i="29" s="1"/>
  <c r="AR603" i="29" s="1"/>
  <c r="AN606" i="29"/>
  <c r="AP608" i="29"/>
  <c r="AQ608" i="29" s="1"/>
  <c r="AR608" i="29" s="1"/>
  <c r="AN613" i="29"/>
  <c r="AM243" i="29"/>
  <c r="AM264" i="29"/>
  <c r="AN283" i="29"/>
  <c r="AN324" i="29"/>
  <c r="AM345" i="29"/>
  <c r="AP384" i="29"/>
  <c r="AQ384" i="29" s="1"/>
  <c r="AR384" i="29" s="1"/>
  <c r="AM404" i="29"/>
  <c r="AM423" i="29"/>
  <c r="AP426" i="29"/>
  <c r="AQ426" i="29" s="1"/>
  <c r="AR426" i="29" s="1"/>
  <c r="V426" i="29" s="1"/>
  <c r="AM430" i="29"/>
  <c r="AN433" i="29"/>
  <c r="AM440" i="29"/>
  <c r="AM443" i="29"/>
  <c r="AP445" i="29"/>
  <c r="AQ445" i="29" s="1"/>
  <c r="AR445" i="29" s="1"/>
  <c r="AN448" i="29"/>
  <c r="AM451" i="29"/>
  <c r="AP453" i="29"/>
  <c r="AQ453" i="29" s="1"/>
  <c r="AR453" i="29" s="1"/>
  <c r="AN456" i="29"/>
  <c r="AP458" i="29"/>
  <c r="AQ458" i="29" s="1"/>
  <c r="AR458" i="29" s="1"/>
  <c r="AN463" i="29"/>
  <c r="AP465" i="29"/>
  <c r="AQ465" i="29" s="1"/>
  <c r="AR465" i="29" s="1"/>
  <c r="AN468" i="29"/>
  <c r="AM471" i="29"/>
  <c r="AP473" i="29"/>
  <c r="AQ473" i="29" s="1"/>
  <c r="AR473" i="29" s="1"/>
  <c r="AN476" i="29"/>
  <c r="AM479" i="29"/>
  <c r="AN481" i="29"/>
  <c r="AP483" i="29"/>
  <c r="AQ483" i="29" s="1"/>
  <c r="AR483" i="29" s="1"/>
  <c r="AM486" i="29"/>
  <c r="AN488" i="29"/>
  <c r="AP490" i="29"/>
  <c r="AQ490" i="29" s="1"/>
  <c r="AR490" i="29" s="1"/>
  <c r="AN493" i="29"/>
  <c r="AP495" i="29"/>
  <c r="AQ495" i="29" s="1"/>
  <c r="AR495" i="29" s="1"/>
  <c r="AM498" i="29"/>
  <c r="AN500" i="29"/>
  <c r="AM503" i="29"/>
  <c r="AN505" i="29"/>
  <c r="AP507" i="29"/>
  <c r="AQ507" i="29" s="1"/>
  <c r="AR507" i="29" s="1"/>
  <c r="AN510" i="29"/>
  <c r="AM513" i="29"/>
  <c r="AP515" i="29"/>
  <c r="AQ515" i="29" s="1"/>
  <c r="AR515" i="29" s="1"/>
  <c r="AN518" i="29"/>
  <c r="AM521" i="29"/>
  <c r="AP523" i="29"/>
  <c r="AQ523" i="29" s="1"/>
  <c r="AR523" i="29" s="1"/>
  <c r="AN526" i="29"/>
  <c r="AM529" i="29"/>
  <c r="AN531" i="29"/>
  <c r="AM534" i="29"/>
  <c r="AN536" i="29"/>
  <c r="AN541" i="29"/>
  <c r="AM544" i="29"/>
  <c r="AP546" i="29"/>
  <c r="AQ546" i="29" s="1"/>
  <c r="AR546" i="29" s="1"/>
  <c r="AN549" i="29"/>
  <c r="AM552" i="29"/>
  <c r="AP554" i="29"/>
  <c r="AQ554" i="29" s="1"/>
  <c r="AR554" i="29" s="1"/>
  <c r="AN557" i="29"/>
  <c r="AM560" i="29"/>
  <c r="AP562" i="29"/>
  <c r="AQ562" i="29" s="1"/>
  <c r="AR562" i="29" s="1"/>
  <c r="AN565" i="29"/>
  <c r="AM568" i="29"/>
  <c r="AP570" i="29"/>
  <c r="AQ570" i="29" s="1"/>
  <c r="AR570" i="29" s="1"/>
  <c r="AM573" i="29"/>
  <c r="AP575" i="29"/>
  <c r="AQ575" i="29" s="1"/>
  <c r="AR575" i="29" s="1"/>
  <c r="AN578" i="29"/>
  <c r="AM581" i="29"/>
  <c r="AP583" i="29"/>
  <c r="AQ583" i="29" s="1"/>
  <c r="AR583" i="29" s="1"/>
  <c r="AN586" i="29"/>
  <c r="AP588" i="29"/>
  <c r="AQ588" i="29" s="1"/>
  <c r="AR588" i="29" s="1"/>
  <c r="AN591" i="29"/>
  <c r="AM594" i="29"/>
  <c r="AP596" i="29"/>
  <c r="AQ596" i="29" s="1"/>
  <c r="AR596" i="29" s="1"/>
  <c r="AN601" i="29"/>
  <c r="AM604" i="29"/>
  <c r="AP606" i="29"/>
  <c r="AQ606" i="29" s="1"/>
  <c r="AR606" i="29" s="1"/>
  <c r="AM609" i="29"/>
  <c r="AM611" i="29"/>
  <c r="AP245" i="29"/>
  <c r="AQ245" i="29" s="1"/>
  <c r="AR245" i="29" s="1"/>
  <c r="AP266" i="29"/>
  <c r="AQ266" i="29" s="1"/>
  <c r="AR266" i="29" s="1"/>
  <c r="AM286" i="29"/>
  <c r="AN306" i="29"/>
  <c r="AP326" i="29"/>
  <c r="AQ326" i="29" s="1"/>
  <c r="AR326" i="29" s="1"/>
  <c r="AN347" i="29"/>
  <c r="AN367" i="29"/>
  <c r="AM387" i="29"/>
  <c r="AN406" i="29"/>
  <c r="AN423" i="29"/>
  <c r="AM427" i="29"/>
  <c r="AO427" i="29" s="1"/>
  <c r="AN430" i="29"/>
  <c r="AP433" i="29"/>
  <c r="AQ433" i="29" s="1"/>
  <c r="AR433" i="29" s="1"/>
  <c r="AM437" i="29"/>
  <c r="AN440" i="29"/>
  <c r="AN443" i="29"/>
  <c r="AM446" i="29"/>
  <c r="AP448" i="29"/>
  <c r="AQ448" i="29" s="1"/>
  <c r="AR448" i="29" s="1"/>
  <c r="AN451" i="29"/>
  <c r="AM454" i="29"/>
  <c r="AP456" i="29"/>
  <c r="AQ456" i="29" s="1"/>
  <c r="AR456" i="29" s="1"/>
  <c r="AM459" i="29"/>
  <c r="AM461" i="29"/>
  <c r="AP463" i="29"/>
  <c r="AQ463" i="29" s="1"/>
  <c r="AR463" i="29" s="1"/>
  <c r="AM466" i="29"/>
  <c r="AP468" i="29"/>
  <c r="AQ468" i="29" s="1"/>
  <c r="AR468" i="29" s="1"/>
  <c r="AN471" i="29"/>
  <c r="AM474" i="29"/>
  <c r="AP476" i="29"/>
  <c r="AQ476" i="29" s="1"/>
  <c r="AR476" i="29" s="1"/>
  <c r="AN479" i="29"/>
  <c r="AP481" i="29"/>
  <c r="AQ481" i="29" s="1"/>
  <c r="AR481" i="29" s="1"/>
  <c r="AM484" i="29"/>
  <c r="AN486" i="29"/>
  <c r="AO486" i="29" s="1"/>
  <c r="AP488" i="29"/>
  <c r="AQ488" i="29" s="1"/>
  <c r="AR488" i="29" s="1"/>
  <c r="AM491" i="29"/>
  <c r="AP493" i="29"/>
  <c r="AQ493" i="29" s="1"/>
  <c r="AR493" i="29" s="1"/>
  <c r="AN498" i="29"/>
  <c r="AP500" i="29"/>
  <c r="AQ500" i="29" s="1"/>
  <c r="AR500" i="29" s="1"/>
  <c r="AN503" i="29"/>
  <c r="AP505" i="29"/>
  <c r="AQ505" i="29" s="1"/>
  <c r="AR505" i="29" s="1"/>
  <c r="AM508" i="29"/>
  <c r="AP510" i="29"/>
  <c r="AQ510" i="29" s="1"/>
  <c r="AR510" i="29" s="1"/>
  <c r="AN513" i="29"/>
  <c r="AM516" i="29"/>
  <c r="AP518" i="29"/>
  <c r="AQ518" i="29" s="1"/>
  <c r="AR518" i="29" s="1"/>
  <c r="AN521" i="29"/>
  <c r="AM524" i="29"/>
  <c r="AP526" i="29"/>
  <c r="AQ526" i="29" s="1"/>
  <c r="AR526" i="29" s="1"/>
  <c r="AN529" i="29"/>
  <c r="AP531" i="29"/>
  <c r="AQ531" i="29" s="1"/>
  <c r="AR531" i="29" s="1"/>
  <c r="AN534" i="29"/>
  <c r="AP536" i="29"/>
  <c r="AQ536" i="29" s="1"/>
  <c r="AR536" i="29" s="1"/>
  <c r="AM539" i="29"/>
  <c r="AP541" i="29"/>
  <c r="AQ541" i="29" s="1"/>
  <c r="AR541" i="29" s="1"/>
  <c r="AN544" i="29"/>
  <c r="AM547" i="29"/>
  <c r="AP549" i="29"/>
  <c r="AQ549" i="29" s="1"/>
  <c r="AR549" i="29" s="1"/>
  <c r="AN552" i="29"/>
  <c r="AO552" i="29" s="1"/>
  <c r="AM555" i="29"/>
  <c r="AP557" i="29"/>
  <c r="AQ557" i="29" s="1"/>
  <c r="AR557" i="29" s="1"/>
  <c r="AN560" i="29"/>
  <c r="AM563" i="29"/>
  <c r="AP565" i="29"/>
  <c r="AQ565" i="29" s="1"/>
  <c r="AR565" i="29" s="1"/>
  <c r="AN568" i="29"/>
  <c r="AN573" i="29"/>
  <c r="AM576" i="29"/>
  <c r="AP578" i="29"/>
  <c r="AQ578" i="29" s="1"/>
  <c r="AR578" i="29" s="1"/>
  <c r="AN581" i="29"/>
  <c r="AM584" i="29"/>
  <c r="AP586" i="29"/>
  <c r="AQ586" i="29" s="1"/>
  <c r="AR586" i="29" s="1"/>
  <c r="AM589" i="29"/>
  <c r="AP591" i="29"/>
  <c r="AQ591" i="29" s="1"/>
  <c r="AR591" i="29" s="1"/>
  <c r="AN594" i="29"/>
  <c r="AM597" i="29"/>
  <c r="AM599" i="29"/>
  <c r="AP601" i="29"/>
  <c r="AQ601" i="29" s="1"/>
  <c r="AR601" i="29" s="1"/>
  <c r="AN604" i="29"/>
  <c r="AN609" i="29"/>
  <c r="AN611" i="29"/>
  <c r="AO611" i="29" s="1"/>
  <c r="AP613" i="29"/>
  <c r="AQ613" i="29" s="1"/>
  <c r="AR613" i="29" s="1"/>
  <c r="AN248" i="29"/>
  <c r="AO248" i="29" s="1"/>
  <c r="V248" i="29" s="1"/>
  <c r="AN329" i="29"/>
  <c r="AM251" i="29"/>
  <c r="AP271" i="29"/>
  <c r="AQ271" i="29" s="1"/>
  <c r="AR271" i="29" s="1"/>
  <c r="AM291" i="29"/>
  <c r="AO291" i="29" s="1"/>
  <c r="AP311" i="29"/>
  <c r="AQ311" i="29" s="1"/>
  <c r="AR311" i="29" s="1"/>
  <c r="AM332" i="29"/>
  <c r="AM352" i="29"/>
  <c r="AN372" i="29"/>
  <c r="AM392" i="29"/>
  <c r="AN424" i="29"/>
  <c r="AM431" i="29"/>
  <c r="AP434" i="29"/>
  <c r="AQ434" i="29" s="1"/>
  <c r="AR434" i="29" s="1"/>
  <c r="AM438" i="29"/>
  <c r="AM441" i="29"/>
  <c r="AM444" i="29"/>
  <c r="AP446" i="29"/>
  <c r="AQ446" i="29" s="1"/>
  <c r="AR446" i="29" s="1"/>
  <c r="AN449" i="29"/>
  <c r="AM452" i="29"/>
  <c r="AP454" i="29"/>
  <c r="AQ454" i="29" s="1"/>
  <c r="AR454" i="29" s="1"/>
  <c r="AM457" i="29"/>
  <c r="AP461" i="29"/>
  <c r="AQ461" i="29" s="1"/>
  <c r="AR461" i="29" s="1"/>
  <c r="AN464" i="29"/>
  <c r="AP466" i="29"/>
  <c r="AQ466" i="29" s="1"/>
  <c r="AR466" i="29" s="1"/>
  <c r="AN469" i="29"/>
  <c r="AM472" i="29"/>
  <c r="AP474" i="29"/>
  <c r="AQ474" i="29" s="1"/>
  <c r="AR474" i="29" s="1"/>
  <c r="AN477" i="29"/>
  <c r="AP479" i="29"/>
  <c r="AQ479" i="29" s="1"/>
  <c r="AR479" i="29" s="1"/>
  <c r="AN482" i="29"/>
  <c r="AP484" i="29"/>
  <c r="AQ484" i="29" s="1"/>
  <c r="AR484" i="29" s="1"/>
  <c r="AM487" i="29"/>
  <c r="AM489" i="29"/>
  <c r="AP491" i="29"/>
  <c r="AQ491" i="29" s="1"/>
  <c r="AR491" i="29" s="1"/>
  <c r="AN494" i="29"/>
  <c r="AN496" i="29"/>
  <c r="AM499" i="29"/>
  <c r="AN501" i="29"/>
  <c r="AN506" i="29"/>
  <c r="AP508" i="29"/>
  <c r="AQ508" i="29" s="1"/>
  <c r="AR508" i="29" s="1"/>
  <c r="AN511" i="29"/>
  <c r="AM514" i="29"/>
  <c r="AP516" i="29"/>
  <c r="AQ516" i="29" s="1"/>
  <c r="AR516" i="29" s="1"/>
  <c r="AN519" i="29"/>
  <c r="AM522" i="29"/>
  <c r="AP524" i="29"/>
  <c r="AQ524" i="29" s="1"/>
  <c r="AR524" i="29" s="1"/>
  <c r="AN527" i="29"/>
  <c r="AM530" i="29"/>
  <c r="AN532" i="29"/>
  <c r="AN537" i="29"/>
  <c r="AP539" i="29"/>
  <c r="AQ539" i="29" s="1"/>
  <c r="AR539" i="29" s="1"/>
  <c r="AN542" i="29"/>
  <c r="AM545" i="29"/>
  <c r="AO545" i="29" s="1"/>
  <c r="AP547" i="29"/>
  <c r="AQ547" i="29" s="1"/>
  <c r="AR547" i="29" s="1"/>
  <c r="AN550" i="29"/>
  <c r="AM553" i="29"/>
  <c r="AP555" i="29"/>
  <c r="AQ555" i="29" s="1"/>
  <c r="AR555" i="29" s="1"/>
  <c r="AN558" i="29"/>
  <c r="AM561" i="29"/>
  <c r="AO561" i="29" s="1"/>
  <c r="AP563" i="29"/>
  <c r="AQ563" i="29" s="1"/>
  <c r="AR563" i="29" s="1"/>
  <c r="AN566" i="29"/>
  <c r="AM569" i="29"/>
  <c r="AO569" i="29" s="1"/>
  <c r="AN571" i="29"/>
  <c r="AM574" i="29"/>
  <c r="AO574" i="29" s="1"/>
  <c r="AP576" i="29"/>
  <c r="AQ576" i="29" s="1"/>
  <c r="AR576" i="29" s="1"/>
  <c r="AN579" i="29"/>
  <c r="AM582" i="29"/>
  <c r="AO582" i="29" s="1"/>
  <c r="U582" i="29" s="1"/>
  <c r="AP584" i="29"/>
  <c r="AQ584" i="29" s="1"/>
  <c r="AR584" i="29" s="1"/>
  <c r="AM587" i="29"/>
  <c r="AO587" i="29" s="1"/>
  <c r="U587" i="29" s="1"/>
  <c r="AP589" i="29"/>
  <c r="AQ589" i="29" s="1"/>
  <c r="AR589" i="29" s="1"/>
  <c r="AN592" i="29"/>
  <c r="AM595" i="29"/>
  <c r="AP597" i="29"/>
  <c r="AQ597" i="29" s="1"/>
  <c r="AR597" i="29" s="1"/>
  <c r="AP599" i="29"/>
  <c r="AQ599" i="29" s="1"/>
  <c r="AR599" i="29" s="1"/>
  <c r="AN602" i="29"/>
  <c r="AM605" i="29"/>
  <c r="AN607" i="29"/>
  <c r="AM610" i="29"/>
  <c r="AO610" i="29" s="1"/>
  <c r="AM612" i="29"/>
  <c r="AN13" i="29"/>
  <c r="AP610" i="29"/>
  <c r="AQ610" i="29" s="1"/>
  <c r="AR610" i="29" s="1"/>
  <c r="AM269" i="29"/>
  <c r="AP427" i="29"/>
  <c r="AQ427" i="29" s="1"/>
  <c r="AR427" i="29" s="1"/>
  <c r="V427" i="29" s="1"/>
  <c r="AP451" i="29"/>
  <c r="AQ451" i="29" s="1"/>
  <c r="AR451" i="29" s="1"/>
  <c r="AP471" i="29"/>
  <c r="AQ471" i="29" s="1"/>
  <c r="AR471" i="29" s="1"/>
  <c r="AN491" i="29"/>
  <c r="AM511" i="29"/>
  <c r="AM532" i="29"/>
  <c r="AP552" i="29"/>
  <c r="AQ552" i="29" s="1"/>
  <c r="AR552" i="29" s="1"/>
  <c r="AP573" i="29"/>
  <c r="AQ573" i="29" s="1"/>
  <c r="AR573" i="29" s="1"/>
  <c r="AP594" i="29"/>
  <c r="AQ594" i="29" s="1"/>
  <c r="AR594" i="29" s="1"/>
  <c r="AP13" i="29"/>
  <c r="AQ13" i="29" s="1"/>
  <c r="AR13" i="29" s="1"/>
  <c r="AN555" i="29"/>
  <c r="AN576" i="29"/>
  <c r="AM579" i="29"/>
  <c r="AP560" i="29"/>
  <c r="AQ560" i="29" s="1"/>
  <c r="AR560" i="29" s="1"/>
  <c r="AP581" i="29"/>
  <c r="AQ581" i="29" s="1"/>
  <c r="AR581" i="29" s="1"/>
  <c r="AN461" i="29"/>
  <c r="AM542" i="29"/>
  <c r="AP486" i="29"/>
  <c r="AQ486" i="29" s="1"/>
  <c r="AR486" i="29" s="1"/>
  <c r="AN589" i="29"/>
  <c r="AP288" i="29"/>
  <c r="AQ288" i="29" s="1"/>
  <c r="AR288" i="29" s="1"/>
  <c r="AP430" i="29"/>
  <c r="AQ430" i="29" s="1"/>
  <c r="AR430" i="29" s="1"/>
  <c r="AN454" i="29"/>
  <c r="AN474" i="29"/>
  <c r="AM494" i="29"/>
  <c r="AP513" i="29"/>
  <c r="AQ513" i="29" s="1"/>
  <c r="AR513" i="29" s="1"/>
  <c r="AP534" i="29"/>
  <c r="AQ534" i="29" s="1"/>
  <c r="AR534" i="29" s="1"/>
  <c r="AN597" i="29"/>
  <c r="AM602" i="29"/>
  <c r="AM501" i="29"/>
  <c r="AN466" i="29"/>
  <c r="AM309" i="29"/>
  <c r="AO309" i="29" s="1"/>
  <c r="AN434" i="29"/>
  <c r="AO434" i="29" s="1"/>
  <c r="AM477" i="29"/>
  <c r="AM496" i="29"/>
  <c r="AN516" i="29"/>
  <c r="AM537" i="29"/>
  <c r="AM558" i="29"/>
  <c r="AN599" i="29"/>
  <c r="AM370" i="29"/>
  <c r="AO370" i="29" s="1"/>
  <c r="U370" i="29" s="1"/>
  <c r="AP521" i="29"/>
  <c r="AQ521" i="29" s="1"/>
  <c r="AR521" i="29" s="1"/>
  <c r="AN584" i="29"/>
  <c r="AM527" i="29"/>
  <c r="AP349" i="29"/>
  <c r="AQ349" i="29" s="1"/>
  <c r="AR349" i="29" s="1"/>
  <c r="AP437" i="29"/>
  <c r="AQ437" i="29" s="1"/>
  <c r="AR437" i="29" s="1"/>
  <c r="AN459" i="29"/>
  <c r="AP498" i="29"/>
  <c r="AQ498" i="29" s="1"/>
  <c r="AR498" i="29" s="1"/>
  <c r="AM519" i="29"/>
  <c r="AN539" i="29"/>
  <c r="AM482" i="29"/>
  <c r="AP604" i="29"/>
  <c r="AQ604" i="29" s="1"/>
  <c r="AR604" i="29" s="1"/>
  <c r="AP568" i="29"/>
  <c r="AQ568" i="29" s="1"/>
  <c r="AR568" i="29" s="1"/>
  <c r="AN389" i="29"/>
  <c r="AO389" i="29" s="1"/>
  <c r="U389" i="29" s="1"/>
  <c r="AM464" i="29"/>
  <c r="AN484" i="29"/>
  <c r="AP503" i="29"/>
  <c r="AQ503" i="29" s="1"/>
  <c r="AR503" i="29" s="1"/>
  <c r="AN524" i="29"/>
  <c r="AP544" i="29"/>
  <c r="AQ544" i="29" s="1"/>
  <c r="AR544" i="29" s="1"/>
  <c r="AM566" i="29"/>
  <c r="AM607" i="29"/>
  <c r="AP408" i="29"/>
  <c r="AQ408" i="29" s="1"/>
  <c r="AR408" i="29" s="1"/>
  <c r="AM506" i="29"/>
  <c r="AP609" i="29"/>
  <c r="AQ609" i="29" s="1"/>
  <c r="AR609" i="29" s="1"/>
  <c r="AM424" i="29"/>
  <c r="AM449" i="29"/>
  <c r="AM469" i="29"/>
  <c r="AN508" i="29"/>
  <c r="AP529" i="29"/>
  <c r="AQ529" i="29" s="1"/>
  <c r="AR529" i="29" s="1"/>
  <c r="AM550" i="29"/>
  <c r="AM571" i="29"/>
  <c r="AM592" i="29"/>
  <c r="AP611" i="29"/>
  <c r="AQ611" i="29" s="1"/>
  <c r="AR611" i="29" s="1"/>
  <c r="AP440" i="29"/>
  <c r="AQ440" i="29" s="1"/>
  <c r="AR440" i="29" s="1"/>
  <c r="AN563" i="29"/>
  <c r="AN446" i="29"/>
  <c r="AN547" i="29"/>
  <c r="R609" i="29"/>
  <c r="I29" i="29"/>
  <c r="O3" i="29"/>
  <c r="O4" i="29"/>
  <c r="I73" i="29"/>
  <c r="R18" i="29"/>
  <c r="G626" i="29"/>
  <c r="I636" i="29"/>
  <c r="S27" i="29"/>
  <c r="I635" i="29"/>
  <c r="Q582" i="29"/>
  <c r="Q559" i="29"/>
  <c r="Q525" i="29"/>
  <c r="R523" i="29"/>
  <c r="Q518" i="29"/>
  <c r="Q492" i="29"/>
  <c r="Q468" i="29"/>
  <c r="R474" i="29"/>
  <c r="R453" i="29"/>
  <c r="Q416" i="29"/>
  <c r="Q394" i="29"/>
  <c r="Q381" i="29"/>
  <c r="R375" i="29"/>
  <c r="Q383" i="29"/>
  <c r="Q333" i="29"/>
  <c r="R346" i="29"/>
  <c r="R318" i="29"/>
  <c r="Q334" i="29"/>
  <c r="Q283" i="29"/>
  <c r="Q323" i="29"/>
  <c r="R296" i="29"/>
  <c r="Q261" i="29"/>
  <c r="R291" i="29"/>
  <c r="R316" i="29"/>
  <c r="R214" i="29"/>
  <c r="R186" i="29"/>
  <c r="R217" i="29"/>
  <c r="Q228" i="29"/>
  <c r="R185" i="29"/>
  <c r="R161" i="29"/>
  <c r="R159" i="29"/>
  <c r="R131" i="29"/>
  <c r="R149" i="29"/>
  <c r="R85" i="29"/>
  <c r="Q101" i="29"/>
  <c r="R84" i="29"/>
  <c r="P13" i="29"/>
  <c r="P17" i="29"/>
  <c r="J20" i="29"/>
  <c r="P21" i="29"/>
  <c r="P25" i="29"/>
  <c r="P29" i="29"/>
  <c r="P33" i="29"/>
  <c r="J36" i="29"/>
  <c r="P37" i="29"/>
  <c r="P41" i="29"/>
  <c r="P45" i="29"/>
  <c r="O53" i="29"/>
  <c r="I56" i="29"/>
  <c r="P60" i="29"/>
  <c r="O62" i="29"/>
  <c r="O69" i="29"/>
  <c r="T70" i="29"/>
  <c r="O75" i="29"/>
  <c r="S83" i="29"/>
  <c r="O89" i="29"/>
  <c r="O91" i="29"/>
  <c r="O108" i="29"/>
  <c r="P163" i="29"/>
  <c r="O14" i="29"/>
  <c r="O18" i="29"/>
  <c r="O22" i="29"/>
  <c r="S24" i="29"/>
  <c r="O26" i="29"/>
  <c r="O30" i="29"/>
  <c r="O34" i="29"/>
  <c r="O38" i="29"/>
  <c r="O42" i="29"/>
  <c r="O46" i="29"/>
  <c r="O48" i="29"/>
  <c r="O55" i="29"/>
  <c r="P62" i="29"/>
  <c r="O64" i="29"/>
  <c r="R67" i="29"/>
  <c r="O71" i="29"/>
  <c r="T72" i="29"/>
  <c r="T76" i="29"/>
  <c r="S77" i="29"/>
  <c r="O80" i="29"/>
  <c r="O93" i="29"/>
  <c r="O95" i="29"/>
  <c r="O112" i="29"/>
  <c r="O120" i="29"/>
  <c r="P130" i="29"/>
  <c r="P146" i="29"/>
  <c r="K113" i="29"/>
  <c r="O24" i="29"/>
  <c r="O44" i="29"/>
  <c r="I607" i="29"/>
  <c r="I572" i="29"/>
  <c r="I567" i="29"/>
  <c r="J536" i="29"/>
  <c r="I536" i="29"/>
  <c r="J541" i="29"/>
  <c r="I502" i="29"/>
  <c r="I477" i="29"/>
  <c r="J472" i="29"/>
  <c r="I434" i="29"/>
  <c r="I406" i="29"/>
  <c r="I404" i="29"/>
  <c r="I455" i="29"/>
  <c r="I413" i="29"/>
  <c r="I417" i="29"/>
  <c r="J382" i="29"/>
  <c r="J369" i="29"/>
  <c r="I328" i="29"/>
  <c r="I320" i="29"/>
  <c r="J318" i="29"/>
  <c r="J309" i="29"/>
  <c r="I358" i="29"/>
  <c r="J313" i="29"/>
  <c r="J314" i="29"/>
  <c r="J306" i="29"/>
  <c r="I326" i="29"/>
  <c r="J250" i="29"/>
  <c r="J257" i="29"/>
  <c r="J249" i="29"/>
  <c r="J252" i="29"/>
  <c r="J236" i="29"/>
  <c r="J279" i="29"/>
  <c r="J259" i="29"/>
  <c r="I215" i="29"/>
  <c r="I199" i="29"/>
  <c r="I206" i="29"/>
  <c r="I198" i="29"/>
  <c r="I209" i="29"/>
  <c r="I185" i="29"/>
  <c r="I236" i="29"/>
  <c r="I220" i="29"/>
  <c r="J191" i="29"/>
  <c r="I171" i="29"/>
  <c r="J179" i="29"/>
  <c r="J175" i="29"/>
  <c r="I164" i="29"/>
  <c r="I152" i="29"/>
  <c r="J139" i="29"/>
  <c r="J135" i="29"/>
  <c r="J83" i="29"/>
  <c r="J79" i="29"/>
  <c r="J74" i="29"/>
  <c r="J62" i="29"/>
  <c r="J130" i="29"/>
  <c r="I129" i="29"/>
  <c r="I109" i="29"/>
  <c r="I105" i="29"/>
  <c r="J88" i="29"/>
  <c r="J76" i="29"/>
  <c r="P14" i="29"/>
  <c r="P22" i="29"/>
  <c r="P30" i="29"/>
  <c r="P34" i="29"/>
  <c r="T36" i="29"/>
  <c r="P38" i="29"/>
  <c r="T40" i="29"/>
  <c r="P42" i="29"/>
  <c r="T44" i="29"/>
  <c r="P46" i="29"/>
  <c r="O47" i="29"/>
  <c r="P48" i="29"/>
  <c r="O50" i="29"/>
  <c r="O57" i="29"/>
  <c r="S60" i="29"/>
  <c r="P64" i="29"/>
  <c r="O66" i="29"/>
  <c r="I67" i="29"/>
  <c r="O73" i="29"/>
  <c r="T74" i="29"/>
  <c r="O84" i="29"/>
  <c r="S93" i="29"/>
  <c r="O97" i="29"/>
  <c r="O99" i="29"/>
  <c r="O36" i="29"/>
  <c r="P18" i="29"/>
  <c r="J21" i="29"/>
  <c r="T24" i="29"/>
  <c r="P26" i="29"/>
  <c r="T28" i="29"/>
  <c r="O15" i="29"/>
  <c r="I18" i="29"/>
  <c r="O19" i="29"/>
  <c r="O23" i="29"/>
  <c r="S25" i="29"/>
  <c r="O27" i="29"/>
  <c r="S29" i="29"/>
  <c r="Q30" i="29"/>
  <c r="O31" i="29"/>
  <c r="O35" i="29"/>
  <c r="O39" i="29"/>
  <c r="I42" i="29"/>
  <c r="O43" i="29"/>
  <c r="K45" i="29"/>
  <c r="P47" i="29"/>
  <c r="P50" i="29"/>
  <c r="O52" i="29"/>
  <c r="O59" i="29"/>
  <c r="S62" i="29"/>
  <c r="P66" i="29"/>
  <c r="J67" i="29"/>
  <c r="O68" i="29"/>
  <c r="S69" i="29"/>
  <c r="K81" i="29"/>
  <c r="O88" i="29"/>
  <c r="O101" i="29"/>
  <c r="O103" i="29"/>
  <c r="Q145" i="29"/>
  <c r="O612" i="29"/>
  <c r="O608" i="29"/>
  <c r="O604" i="29"/>
  <c r="O600" i="29"/>
  <c r="O596" i="29"/>
  <c r="P611" i="29"/>
  <c r="P607" i="29"/>
  <c r="P603" i="29"/>
  <c r="P599" i="29"/>
  <c r="P595" i="29"/>
  <c r="O611" i="29"/>
  <c r="O607" i="29"/>
  <c r="O603" i="29"/>
  <c r="O599" i="29"/>
  <c r="O595" i="29"/>
  <c r="I634" i="29"/>
  <c r="P610" i="29"/>
  <c r="P606" i="29"/>
  <c r="P602" i="29"/>
  <c r="P598" i="29"/>
  <c r="P594" i="29"/>
  <c r="G624" i="29"/>
  <c r="J624" i="29" s="1"/>
  <c r="AC624" i="29"/>
  <c r="P609" i="29"/>
  <c r="P601" i="29"/>
  <c r="P590" i="29"/>
  <c r="P586" i="29"/>
  <c r="P582" i="29"/>
  <c r="P578" i="29"/>
  <c r="O610" i="29"/>
  <c r="O609" i="29"/>
  <c r="O602" i="29"/>
  <c r="O601" i="29"/>
  <c r="O594" i="29"/>
  <c r="P593" i="29"/>
  <c r="O590" i="29"/>
  <c r="O586" i="29"/>
  <c r="O582" i="29"/>
  <c r="O593" i="29"/>
  <c r="P589" i="29"/>
  <c r="P612" i="29"/>
  <c r="P604" i="29"/>
  <c r="P596" i="29"/>
  <c r="O589" i="29"/>
  <c r="O585" i="29"/>
  <c r="P613" i="29"/>
  <c r="P605" i="29"/>
  <c r="P597" i="29"/>
  <c r="O613" i="29"/>
  <c r="O606" i="29"/>
  <c r="O605" i="29"/>
  <c r="O598" i="29"/>
  <c r="O597" i="29"/>
  <c r="P592" i="29"/>
  <c r="O588" i="29"/>
  <c r="O584" i="29"/>
  <c r="P608" i="29"/>
  <c r="P591" i="29"/>
  <c r="P588" i="29"/>
  <c r="P585" i="29"/>
  <c r="P584" i="29"/>
  <c r="P583" i="29"/>
  <c r="P574" i="29"/>
  <c r="P570" i="29"/>
  <c r="P566" i="29"/>
  <c r="P562" i="29"/>
  <c r="P558" i="29"/>
  <c r="P600" i="29"/>
  <c r="P587" i="29"/>
  <c r="P577" i="29"/>
  <c r="O573" i="29"/>
  <c r="O569" i="29"/>
  <c r="O565" i="29"/>
  <c r="O561" i="29"/>
  <c r="O557" i="29"/>
  <c r="O587" i="29"/>
  <c r="P581" i="29"/>
  <c r="O578" i="29"/>
  <c r="O577" i="29"/>
  <c r="P576" i="29"/>
  <c r="P572" i="29"/>
  <c r="O581" i="29"/>
  <c r="P579" i="29"/>
  <c r="O576" i="29"/>
  <c r="O572" i="29"/>
  <c r="O568" i="29"/>
  <c r="O564" i="29"/>
  <c r="O592" i="29"/>
  <c r="P575" i="29"/>
  <c r="O574" i="29"/>
  <c r="O562" i="29"/>
  <c r="O558" i="29"/>
  <c r="P556" i="29"/>
  <c r="O552" i="29"/>
  <c r="O548" i="29"/>
  <c r="O555" i="29"/>
  <c r="O551" i="29"/>
  <c r="O547" i="29"/>
  <c r="O583" i="29"/>
  <c r="P565" i="29"/>
  <c r="P561" i="29"/>
  <c r="P559" i="29"/>
  <c r="P554" i="29"/>
  <c r="P550" i="29"/>
  <c r="P580" i="29"/>
  <c r="P571" i="29"/>
  <c r="O570" i="29"/>
  <c r="P569" i="29"/>
  <c r="P564" i="29"/>
  <c r="O559" i="29"/>
  <c r="O554" i="29"/>
  <c r="O550" i="29"/>
  <c r="O580" i="29"/>
  <c r="O571" i="29"/>
  <c r="P568" i="29"/>
  <c r="P563" i="29"/>
  <c r="P557" i="29"/>
  <c r="P553" i="29"/>
  <c r="P549" i="29"/>
  <c r="P545" i="29"/>
  <c r="P567" i="29"/>
  <c r="O563" i="29"/>
  <c r="P560" i="29"/>
  <c r="O553" i="29"/>
  <c r="O549" i="29"/>
  <c r="O545" i="29"/>
  <c r="O566" i="29"/>
  <c r="O543" i="29"/>
  <c r="O539" i="29"/>
  <c r="O535" i="29"/>
  <c r="O531" i="29"/>
  <c r="O527" i="29"/>
  <c r="O546" i="29"/>
  <c r="O542" i="29"/>
  <c r="O538" i="29"/>
  <c r="O534" i="29"/>
  <c r="O530" i="29"/>
  <c r="O526" i="29"/>
  <c r="P552" i="29"/>
  <c r="P547" i="29"/>
  <c r="P541" i="29"/>
  <c r="P537" i="29"/>
  <c r="P533" i="29"/>
  <c r="P529" i="29"/>
  <c r="P525" i="29"/>
  <c r="O591" i="29"/>
  <c r="P551" i="29"/>
  <c r="O541" i="29"/>
  <c r="O537" i="29"/>
  <c r="O533" i="29"/>
  <c r="O529" i="29"/>
  <c r="O525" i="29"/>
  <c r="P555" i="29"/>
  <c r="O544" i="29"/>
  <c r="O540" i="29"/>
  <c r="O536" i="29"/>
  <c r="O532" i="29"/>
  <c r="O528" i="29"/>
  <c r="P543" i="29"/>
  <c r="P539" i="29"/>
  <c r="P535" i="29"/>
  <c r="P531" i="29"/>
  <c r="P527" i="29"/>
  <c r="P523" i="29"/>
  <c r="O575" i="29"/>
  <c r="P532" i="29"/>
  <c r="O521" i="29"/>
  <c r="O517" i="29"/>
  <c r="O513" i="29"/>
  <c r="O509" i="29"/>
  <c r="O505" i="29"/>
  <c r="O567" i="29"/>
  <c r="P548" i="29"/>
  <c r="P542" i="29"/>
  <c r="P520" i="29"/>
  <c r="P516" i="29"/>
  <c r="P512" i="29"/>
  <c r="P508" i="29"/>
  <c r="P573" i="29"/>
  <c r="P536" i="29"/>
  <c r="P526" i="29"/>
  <c r="P524" i="29"/>
  <c r="O520" i="29"/>
  <c r="O516" i="29"/>
  <c r="O512" i="29"/>
  <c r="O508" i="29"/>
  <c r="O579" i="29"/>
  <c r="P530" i="29"/>
  <c r="O524" i="29"/>
  <c r="P519" i="29"/>
  <c r="P515" i="29"/>
  <c r="P511" i="29"/>
  <c r="P507" i="29"/>
  <c r="O556" i="29"/>
  <c r="P540" i="29"/>
  <c r="O519" i="29"/>
  <c r="O515" i="29"/>
  <c r="O511" i="29"/>
  <c r="O507" i="29"/>
  <c r="O560" i="29"/>
  <c r="P534" i="29"/>
  <c r="O523" i="29"/>
  <c r="P522" i="29"/>
  <c r="P518" i="29"/>
  <c r="P514" i="29"/>
  <c r="P510" i="29"/>
  <c r="P506" i="29"/>
  <c r="O504" i="29"/>
  <c r="P498" i="29"/>
  <c r="P494" i="29"/>
  <c r="P490" i="29"/>
  <c r="P486" i="29"/>
  <c r="P482" i="29"/>
  <c r="P478" i="29"/>
  <c r="O502" i="29"/>
  <c r="P501" i="29"/>
  <c r="P497" i="29"/>
  <c r="P493" i="29"/>
  <c r="P489" i="29"/>
  <c r="P485" i="29"/>
  <c r="O522" i="29"/>
  <c r="P517" i="29"/>
  <c r="O501" i="29"/>
  <c r="O497" i="29"/>
  <c r="O493" i="29"/>
  <c r="O489" i="29"/>
  <c r="O485" i="29"/>
  <c r="P546" i="29"/>
  <c r="P528" i="29"/>
  <c r="P505" i="29"/>
  <c r="P503" i="29"/>
  <c r="P500" i="29"/>
  <c r="P496" i="29"/>
  <c r="P492" i="29"/>
  <c r="P488" i="29"/>
  <c r="P484" i="29"/>
  <c r="P521" i="29"/>
  <c r="O510" i="29"/>
  <c r="O503" i="29"/>
  <c r="O500" i="29"/>
  <c r="O496" i="29"/>
  <c r="O492" i="29"/>
  <c r="O488" i="29"/>
  <c r="O484" i="29"/>
  <c r="P544" i="29"/>
  <c r="O506" i="29"/>
  <c r="P502" i="29"/>
  <c r="O498" i="29"/>
  <c r="P474" i="29"/>
  <c r="P470" i="29"/>
  <c r="P466" i="29"/>
  <c r="O494" i="29"/>
  <c r="O474" i="29"/>
  <c r="O470" i="29"/>
  <c r="O466" i="29"/>
  <c r="O490" i="29"/>
  <c r="P483" i="29"/>
  <c r="O482" i="29"/>
  <c r="P479" i="29"/>
  <c r="O478" i="29"/>
  <c r="P477" i="29"/>
  <c r="P473" i="29"/>
  <c r="P469" i="29"/>
  <c r="P465" i="29"/>
  <c r="P538" i="29"/>
  <c r="P504" i="29"/>
  <c r="P499" i="29"/>
  <c r="O486" i="29"/>
  <c r="O483" i="29"/>
  <c r="P480" i="29"/>
  <c r="O479" i="29"/>
  <c r="O477" i="29"/>
  <c r="O473" i="29"/>
  <c r="O469" i="29"/>
  <c r="O465" i="29"/>
  <c r="O518" i="29"/>
  <c r="P513" i="29"/>
  <c r="P509" i="29"/>
  <c r="O514" i="29"/>
  <c r="O495" i="29"/>
  <c r="P491" i="29"/>
  <c r="O481" i="29"/>
  <c r="O476" i="29"/>
  <c r="O472" i="29"/>
  <c r="O468" i="29"/>
  <c r="O464" i="29"/>
  <c r="O491" i="29"/>
  <c r="P487" i="29"/>
  <c r="P475" i="29"/>
  <c r="P471" i="29"/>
  <c r="P467" i="29"/>
  <c r="P463" i="29"/>
  <c r="O487" i="29"/>
  <c r="O475" i="29"/>
  <c r="O471" i="29"/>
  <c r="O467" i="29"/>
  <c r="O463" i="29"/>
  <c r="O499" i="29"/>
  <c r="P459" i="29"/>
  <c r="P455" i="29"/>
  <c r="P451" i="29"/>
  <c r="P447" i="29"/>
  <c r="P443" i="29"/>
  <c r="P468" i="29"/>
  <c r="O459" i="29"/>
  <c r="O455" i="29"/>
  <c r="O451" i="29"/>
  <c r="O447" i="29"/>
  <c r="O443" i="29"/>
  <c r="O439" i="29"/>
  <c r="O435" i="29"/>
  <c r="O431" i="29"/>
  <c r="O427" i="29"/>
  <c r="O423" i="29"/>
  <c r="O419" i="29"/>
  <c r="O415" i="29"/>
  <c r="O411" i="29"/>
  <c r="O407" i="29"/>
  <c r="O480" i="29"/>
  <c r="P462" i="29"/>
  <c r="P458" i="29"/>
  <c r="P454" i="29"/>
  <c r="P450" i="29"/>
  <c r="P446" i="29"/>
  <c r="P442" i="29"/>
  <c r="P481" i="29"/>
  <c r="P476" i="29"/>
  <c r="O462" i="29"/>
  <c r="O458" i="29"/>
  <c r="O454" i="29"/>
  <c r="O450" i="29"/>
  <c r="O446" i="29"/>
  <c r="O442" i="29"/>
  <c r="O438" i="29"/>
  <c r="O434" i="29"/>
  <c r="O430" i="29"/>
  <c r="O426" i="29"/>
  <c r="O422" i="29"/>
  <c r="P464" i="29"/>
  <c r="P461" i="29"/>
  <c r="P457" i="29"/>
  <c r="P453" i="29"/>
  <c r="P449" i="29"/>
  <c r="P445" i="29"/>
  <c r="P441" i="29"/>
  <c r="P437" i="29"/>
  <c r="P433" i="29"/>
  <c r="P429" i="29"/>
  <c r="P425" i="29"/>
  <c r="P421" i="29"/>
  <c r="P417" i="29"/>
  <c r="P413" i="29"/>
  <c r="P409" i="29"/>
  <c r="P405" i="29"/>
  <c r="P495" i="29"/>
  <c r="O461" i="29"/>
  <c r="O457" i="29"/>
  <c r="O453" i="29"/>
  <c r="O449" i="29"/>
  <c r="O445" i="29"/>
  <c r="O441" i="29"/>
  <c r="O437" i="29"/>
  <c r="O433" i="29"/>
  <c r="O429" i="29"/>
  <c r="O425" i="29"/>
  <c r="O421" i="29"/>
  <c r="O417" i="29"/>
  <c r="O413" i="29"/>
  <c r="O409" i="29"/>
  <c r="O405" i="29"/>
  <c r="P472" i="29"/>
  <c r="P460" i="29"/>
  <c r="P456" i="29"/>
  <c r="P452" i="29"/>
  <c r="P436" i="29"/>
  <c r="P435" i="29"/>
  <c r="P428" i="29"/>
  <c r="P427" i="29"/>
  <c r="P416" i="29"/>
  <c r="O412" i="29"/>
  <c r="P404" i="29"/>
  <c r="O403" i="29"/>
  <c r="O399" i="29"/>
  <c r="O395" i="29"/>
  <c r="O391" i="29"/>
  <c r="O387" i="29"/>
  <c r="O383" i="29"/>
  <c r="O379" i="29"/>
  <c r="O375" i="29"/>
  <c r="O371" i="29"/>
  <c r="O452" i="29"/>
  <c r="O436" i="29"/>
  <c r="O428" i="29"/>
  <c r="P420" i="29"/>
  <c r="O416" i="29"/>
  <c r="P407" i="29"/>
  <c r="P406" i="29"/>
  <c r="O404" i="29"/>
  <c r="P402" i="29"/>
  <c r="P398" i="29"/>
  <c r="P394" i="29"/>
  <c r="P390" i="29"/>
  <c r="P386" i="29"/>
  <c r="P382" i="29"/>
  <c r="P378" i="29"/>
  <c r="P438" i="29"/>
  <c r="P430" i="29"/>
  <c r="P422" i="29"/>
  <c r="O420" i="29"/>
  <c r="P411" i="29"/>
  <c r="P410" i="29"/>
  <c r="O406" i="29"/>
  <c r="O402" i="29"/>
  <c r="O398" i="29"/>
  <c r="O394" i="29"/>
  <c r="O390" i="29"/>
  <c r="O386" i="29"/>
  <c r="O382" i="29"/>
  <c r="O378" i="29"/>
  <c r="O460" i="29"/>
  <c r="P415" i="29"/>
  <c r="P414" i="29"/>
  <c r="O410" i="29"/>
  <c r="P401" i="29"/>
  <c r="P397" i="29"/>
  <c r="P393" i="29"/>
  <c r="P389" i="29"/>
  <c r="P385" i="29"/>
  <c r="P381" i="29"/>
  <c r="P377" i="29"/>
  <c r="P373" i="29"/>
  <c r="P444" i="29"/>
  <c r="P440" i="29"/>
  <c r="P439" i="29"/>
  <c r="P432" i="29"/>
  <c r="P431" i="29"/>
  <c r="P424" i="29"/>
  <c r="P423" i="29"/>
  <c r="P419" i="29"/>
  <c r="P418" i="29"/>
  <c r="O414" i="29"/>
  <c r="O401" i="29"/>
  <c r="O397" i="29"/>
  <c r="O393" i="29"/>
  <c r="O389" i="29"/>
  <c r="O385" i="29"/>
  <c r="O381" i="29"/>
  <c r="O377" i="29"/>
  <c r="O444" i="29"/>
  <c r="O440" i="29"/>
  <c r="O432" i="29"/>
  <c r="O424" i="29"/>
  <c r="O418" i="29"/>
  <c r="P400" i="29"/>
  <c r="P396" i="29"/>
  <c r="P392" i="29"/>
  <c r="P388" i="29"/>
  <c r="P384" i="29"/>
  <c r="P380" i="29"/>
  <c r="P376" i="29"/>
  <c r="P372" i="29"/>
  <c r="O456" i="29"/>
  <c r="P448" i="29"/>
  <c r="P434" i="29"/>
  <c r="P426" i="29"/>
  <c r="P408" i="29"/>
  <c r="O400" i="29"/>
  <c r="O396" i="29"/>
  <c r="O392" i="29"/>
  <c r="O388" i="29"/>
  <c r="O384" i="29"/>
  <c r="O380" i="29"/>
  <c r="O376" i="29"/>
  <c r="O448" i="29"/>
  <c r="P412" i="29"/>
  <c r="O408" i="29"/>
  <c r="P403" i="29"/>
  <c r="P399" i="29"/>
  <c r="P395" i="29"/>
  <c r="P391" i="29"/>
  <c r="P387" i="29"/>
  <c r="P383" i="29"/>
  <c r="P379" i="29"/>
  <c r="P375" i="29"/>
  <c r="P371" i="29"/>
  <c r="P374" i="29"/>
  <c r="P366" i="29"/>
  <c r="P362" i="29"/>
  <c r="P358" i="29"/>
  <c r="P354" i="29"/>
  <c r="P350" i="29"/>
  <c r="P346" i="29"/>
  <c r="P342" i="29"/>
  <c r="O374" i="29"/>
  <c r="O366" i="29"/>
  <c r="O362" i="29"/>
  <c r="O358" i="29"/>
  <c r="O354" i="29"/>
  <c r="O350" i="29"/>
  <c r="O346" i="29"/>
  <c r="O342" i="29"/>
  <c r="O338" i="29"/>
  <c r="O334" i="29"/>
  <c r="O330" i="29"/>
  <c r="O326" i="29"/>
  <c r="O322" i="29"/>
  <c r="O318" i="29"/>
  <c r="P369" i="29"/>
  <c r="P365" i="29"/>
  <c r="P361" i="29"/>
  <c r="P357" i="29"/>
  <c r="P353" i="29"/>
  <c r="P349" i="29"/>
  <c r="P345" i="29"/>
  <c r="P341" i="29"/>
  <c r="P337" i="29"/>
  <c r="P370" i="29"/>
  <c r="O369" i="29"/>
  <c r="O365" i="29"/>
  <c r="O361" i="29"/>
  <c r="O357" i="29"/>
  <c r="O353" i="29"/>
  <c r="O349" i="29"/>
  <c r="O345" i="29"/>
  <c r="O341" i="29"/>
  <c r="O337" i="29"/>
  <c r="O333" i="29"/>
  <c r="O329" i="29"/>
  <c r="O325" i="29"/>
  <c r="O321" i="29"/>
  <c r="O317" i="29"/>
  <c r="O313" i="29"/>
  <c r="O370" i="29"/>
  <c r="P368" i="29"/>
  <c r="P364" i="29"/>
  <c r="P360" i="29"/>
  <c r="P356" i="29"/>
  <c r="P352" i="29"/>
  <c r="P348" i="29"/>
  <c r="P344" i="29"/>
  <c r="P340" i="29"/>
  <c r="P336" i="29"/>
  <c r="P332" i="29"/>
  <c r="P328" i="29"/>
  <c r="P324" i="29"/>
  <c r="P320" i="29"/>
  <c r="P316" i="29"/>
  <c r="P312" i="29"/>
  <c r="O372" i="29"/>
  <c r="P367" i="29"/>
  <c r="P363" i="29"/>
  <c r="P359" i="29"/>
  <c r="P355" i="29"/>
  <c r="P351" i="29"/>
  <c r="P347" i="29"/>
  <c r="P343" i="29"/>
  <c r="P339" i="29"/>
  <c r="P335" i="29"/>
  <c r="P331" i="29"/>
  <c r="P327" i="29"/>
  <c r="P323" i="29"/>
  <c r="P319" i="29"/>
  <c r="P315" i="29"/>
  <c r="O368" i="29"/>
  <c r="O363" i="29"/>
  <c r="O352" i="29"/>
  <c r="O347" i="29"/>
  <c r="O332" i="29"/>
  <c r="O331" i="29"/>
  <c r="O324" i="29"/>
  <c r="O323" i="29"/>
  <c r="O316" i="29"/>
  <c r="O315" i="29"/>
  <c r="O311" i="29"/>
  <c r="P310" i="29"/>
  <c r="P306" i="29"/>
  <c r="P302" i="29"/>
  <c r="P298" i="29"/>
  <c r="P294" i="29"/>
  <c r="P290" i="29"/>
  <c r="P286" i="29"/>
  <c r="P282" i="29"/>
  <c r="P278" i="29"/>
  <c r="P274" i="29"/>
  <c r="P338" i="29"/>
  <c r="O336" i="29"/>
  <c r="P333" i="29"/>
  <c r="P325" i="29"/>
  <c r="P317" i="29"/>
  <c r="P314" i="29"/>
  <c r="O310" i="29"/>
  <c r="O306" i="29"/>
  <c r="O302" i="29"/>
  <c r="O298" i="29"/>
  <c r="O294" i="29"/>
  <c r="O290" i="29"/>
  <c r="O286" i="29"/>
  <c r="O282" i="29"/>
  <c r="O278" i="29"/>
  <c r="O274" i="29"/>
  <c r="O373" i="29"/>
  <c r="O367" i="29"/>
  <c r="O356" i="29"/>
  <c r="O351" i="29"/>
  <c r="O340" i="29"/>
  <c r="O314" i="29"/>
  <c r="O312" i="29"/>
  <c r="P309" i="29"/>
  <c r="P305" i="29"/>
  <c r="P334" i="29"/>
  <c r="P326" i="29"/>
  <c r="P318" i="29"/>
  <c r="O309" i="29"/>
  <c r="O305" i="29"/>
  <c r="O360" i="29"/>
  <c r="O355" i="29"/>
  <c r="O344" i="29"/>
  <c r="O328" i="29"/>
  <c r="O327" i="29"/>
  <c r="O320" i="29"/>
  <c r="O319" i="29"/>
  <c r="P308" i="29"/>
  <c r="P304" i="29"/>
  <c r="P300" i="29"/>
  <c r="O339" i="29"/>
  <c r="P329" i="29"/>
  <c r="P321" i="29"/>
  <c r="O308" i="29"/>
  <c r="O304" i="29"/>
  <c r="O300" i="29"/>
  <c r="O296" i="29"/>
  <c r="O292" i="29"/>
  <c r="O288" i="29"/>
  <c r="O284" i="29"/>
  <c r="O280" i="29"/>
  <c r="O276" i="29"/>
  <c r="O364" i="29"/>
  <c r="O359" i="29"/>
  <c r="O348" i="29"/>
  <c r="O343" i="29"/>
  <c r="O335" i="29"/>
  <c r="P313" i="29"/>
  <c r="P307" i="29"/>
  <c r="P303" i="29"/>
  <c r="P299" i="29"/>
  <c r="P295" i="29"/>
  <c r="P291" i="29"/>
  <c r="P287" i="29"/>
  <c r="P283" i="29"/>
  <c r="P279" i="29"/>
  <c r="P275" i="29"/>
  <c r="O307" i="29"/>
  <c r="P293" i="29"/>
  <c r="P292" i="29"/>
  <c r="P285" i="29"/>
  <c r="P284" i="29"/>
  <c r="P277" i="29"/>
  <c r="P276" i="29"/>
  <c r="O273" i="29"/>
  <c r="O272" i="29"/>
  <c r="O268" i="29"/>
  <c r="O264" i="29"/>
  <c r="O260" i="29"/>
  <c r="O256" i="29"/>
  <c r="O252" i="29"/>
  <c r="O248" i="29"/>
  <c r="O244" i="29"/>
  <c r="O240" i="29"/>
  <c r="O236" i="29"/>
  <c r="O232" i="29"/>
  <c r="P330" i="29"/>
  <c r="O293" i="29"/>
  <c r="O285" i="29"/>
  <c r="O277" i="29"/>
  <c r="P271" i="29"/>
  <c r="P267" i="29"/>
  <c r="P263" i="29"/>
  <c r="P259" i="29"/>
  <c r="P255" i="29"/>
  <c r="P251" i="29"/>
  <c r="P247" i="29"/>
  <c r="O295" i="29"/>
  <c r="O287" i="29"/>
  <c r="O279" i="29"/>
  <c r="O271" i="29"/>
  <c r="O267" i="29"/>
  <c r="O263" i="29"/>
  <c r="O259" i="29"/>
  <c r="O255" i="29"/>
  <c r="O251" i="29"/>
  <c r="O247" i="29"/>
  <c r="O243" i="29"/>
  <c r="O239" i="29"/>
  <c r="O303" i="29"/>
  <c r="P270" i="29"/>
  <c r="P266" i="29"/>
  <c r="P262" i="29"/>
  <c r="P258" i="29"/>
  <c r="P254" i="29"/>
  <c r="P250" i="29"/>
  <c r="P246" i="29"/>
  <c r="P242" i="29"/>
  <c r="P238" i="29"/>
  <c r="P234" i="29"/>
  <c r="P230" i="29"/>
  <c r="P296" i="29"/>
  <c r="P289" i="29"/>
  <c r="P288" i="29"/>
  <c r="P281" i="29"/>
  <c r="P280" i="29"/>
  <c r="O270" i="29"/>
  <c r="O266" i="29"/>
  <c r="O262" i="29"/>
  <c r="O258" i="29"/>
  <c r="O254" i="29"/>
  <c r="O250" i="29"/>
  <c r="P311" i="29"/>
  <c r="P301" i="29"/>
  <c r="O289" i="29"/>
  <c r="O281" i="29"/>
  <c r="P269" i="29"/>
  <c r="P265" i="29"/>
  <c r="P261" i="29"/>
  <c r="P257" i="29"/>
  <c r="P253" i="29"/>
  <c r="P249" i="29"/>
  <c r="P245" i="29"/>
  <c r="P241" i="29"/>
  <c r="P237" i="29"/>
  <c r="P233" i="29"/>
  <c r="P322" i="29"/>
  <c r="O301" i="29"/>
  <c r="O299" i="29"/>
  <c r="P297" i="29"/>
  <c r="O291" i="29"/>
  <c r="O283" i="29"/>
  <c r="O275" i="29"/>
  <c r="O269" i="29"/>
  <c r="O265" i="29"/>
  <c r="O261" i="29"/>
  <c r="O257" i="29"/>
  <c r="O253" i="29"/>
  <c r="O249" i="29"/>
  <c r="O245" i="29"/>
  <c r="O241" i="29"/>
  <c r="O297" i="29"/>
  <c r="P273" i="29"/>
  <c r="P272" i="29"/>
  <c r="P268" i="29"/>
  <c r="P264" i="29"/>
  <c r="P260" i="29"/>
  <c r="P256" i="29"/>
  <c r="P252" i="29"/>
  <c r="P248" i="29"/>
  <c r="P244" i="29"/>
  <c r="P240" i="29"/>
  <c r="P236" i="29"/>
  <c r="P232" i="29"/>
  <c r="O233" i="29"/>
  <c r="P228" i="29"/>
  <c r="P224" i="29"/>
  <c r="P220" i="29"/>
  <c r="P216" i="29"/>
  <c r="P212" i="29"/>
  <c r="P208" i="29"/>
  <c r="P204" i="29"/>
  <c r="P200" i="29"/>
  <c r="P239" i="29"/>
  <c r="P235" i="29"/>
  <c r="O234" i="29"/>
  <c r="O228" i="29"/>
  <c r="O224" i="29"/>
  <c r="O220" i="29"/>
  <c r="O216" i="29"/>
  <c r="O212" i="29"/>
  <c r="O208" i="29"/>
  <c r="O204" i="29"/>
  <c r="O200" i="29"/>
  <c r="O196" i="29"/>
  <c r="O192" i="29"/>
  <c r="O188" i="29"/>
  <c r="O184" i="29"/>
  <c r="O180" i="29"/>
  <c r="O176" i="29"/>
  <c r="O235" i="29"/>
  <c r="P227" i="29"/>
  <c r="P223" i="29"/>
  <c r="P219" i="29"/>
  <c r="P215" i="29"/>
  <c r="P211" i="29"/>
  <c r="P207" i="29"/>
  <c r="P203" i="29"/>
  <c r="P199" i="29"/>
  <c r="P195" i="29"/>
  <c r="P191" i="29"/>
  <c r="P187" i="29"/>
  <c r="P183" i="29"/>
  <c r="P179" i="29"/>
  <c r="P175" i="29"/>
  <c r="O246" i="29"/>
  <c r="P243" i="29"/>
  <c r="O227" i="29"/>
  <c r="O223" i="29"/>
  <c r="O219" i="29"/>
  <c r="O215" i="29"/>
  <c r="O211" i="29"/>
  <c r="O207" i="29"/>
  <c r="O203" i="29"/>
  <c r="O199" i="29"/>
  <c r="O195" i="29"/>
  <c r="O191" i="29"/>
  <c r="O187" i="29"/>
  <c r="O183" i="29"/>
  <c r="O179" i="29"/>
  <c r="O175" i="29"/>
  <c r="O171" i="29"/>
  <c r="O242" i="29"/>
  <c r="O237" i="29"/>
  <c r="P226" i="29"/>
  <c r="P222" i="29"/>
  <c r="P218" i="29"/>
  <c r="P214" i="29"/>
  <c r="P210" i="29"/>
  <c r="P206" i="29"/>
  <c r="P202" i="29"/>
  <c r="O238" i="29"/>
  <c r="P231" i="29"/>
  <c r="O230" i="29"/>
  <c r="O226" i="29"/>
  <c r="O222" i="29"/>
  <c r="O218" i="29"/>
  <c r="O214" i="29"/>
  <c r="O210" i="29"/>
  <c r="O206" i="29"/>
  <c r="O202" i="29"/>
  <c r="O198" i="29"/>
  <c r="O194" i="29"/>
  <c r="O190" i="29"/>
  <c r="O186" i="29"/>
  <c r="O182" i="29"/>
  <c r="O178" i="29"/>
  <c r="O174" i="29"/>
  <c r="O231" i="29"/>
  <c r="P229" i="29"/>
  <c r="P225" i="29"/>
  <c r="P221" i="29"/>
  <c r="P217" i="29"/>
  <c r="P213" i="29"/>
  <c r="P209" i="29"/>
  <c r="P205" i="29"/>
  <c r="P201" i="29"/>
  <c r="P197" i="29"/>
  <c r="P193" i="29"/>
  <c r="P189" i="29"/>
  <c r="P185" i="29"/>
  <c r="P181" i="29"/>
  <c r="P177" i="29"/>
  <c r="O229" i="29"/>
  <c r="O225" i="29"/>
  <c r="O221" i="29"/>
  <c r="O217" i="29"/>
  <c r="O213" i="29"/>
  <c r="O209" i="29"/>
  <c r="O205" i="29"/>
  <c r="O201" i="29"/>
  <c r="O197" i="29"/>
  <c r="O193" i="29"/>
  <c r="O189" i="29"/>
  <c r="O185" i="29"/>
  <c r="O181" i="29"/>
  <c r="O177" i="29"/>
  <c r="O173" i="29"/>
  <c r="P196" i="29"/>
  <c r="P180" i="29"/>
  <c r="O168" i="29"/>
  <c r="O164" i="29"/>
  <c r="O160" i="29"/>
  <c r="P190" i="29"/>
  <c r="P184" i="29"/>
  <c r="P172" i="29"/>
  <c r="O167" i="29"/>
  <c r="O163" i="29"/>
  <c r="O159" i="29"/>
  <c r="O155" i="29"/>
  <c r="O151" i="29"/>
  <c r="O147" i="29"/>
  <c r="O143" i="29"/>
  <c r="O139" i="29"/>
  <c r="O135" i="29"/>
  <c r="O131" i="29"/>
  <c r="O127" i="29"/>
  <c r="O123" i="29"/>
  <c r="O119" i="29"/>
  <c r="P194" i="29"/>
  <c r="P178" i="29"/>
  <c r="O172" i="29"/>
  <c r="P170" i="29"/>
  <c r="P166" i="29"/>
  <c r="P162" i="29"/>
  <c r="P158" i="29"/>
  <c r="P188" i="29"/>
  <c r="P182" i="29"/>
  <c r="P171" i="29"/>
  <c r="P169" i="29"/>
  <c r="P165" i="29"/>
  <c r="P161" i="29"/>
  <c r="P157" i="29"/>
  <c r="P153" i="29"/>
  <c r="P149" i="29"/>
  <c r="P145" i="29"/>
  <c r="P141" i="29"/>
  <c r="P137" i="29"/>
  <c r="P133" i="29"/>
  <c r="P129" i="29"/>
  <c r="P125" i="29"/>
  <c r="P121" i="29"/>
  <c r="P198" i="29"/>
  <c r="P192" i="29"/>
  <c r="P176" i="29"/>
  <c r="O169" i="29"/>
  <c r="O165" i="29"/>
  <c r="O161" i="29"/>
  <c r="O157" i="29"/>
  <c r="O153" i="29"/>
  <c r="O149" i="29"/>
  <c r="O145" i="29"/>
  <c r="O141" i="29"/>
  <c r="O137" i="29"/>
  <c r="O133" i="29"/>
  <c r="O129" i="29"/>
  <c r="O125" i="29"/>
  <c r="O121" i="29"/>
  <c r="P186" i="29"/>
  <c r="P174" i="29"/>
  <c r="P168" i="29"/>
  <c r="P164" i="29"/>
  <c r="P160" i="29"/>
  <c r="P156" i="29"/>
  <c r="P152" i="29"/>
  <c r="P148" i="29"/>
  <c r="P144" i="29"/>
  <c r="P140" i="29"/>
  <c r="P136" i="29"/>
  <c r="P132" i="29"/>
  <c r="P128" i="29"/>
  <c r="P124" i="29"/>
  <c r="O162" i="29"/>
  <c r="O154" i="29"/>
  <c r="O146" i="29"/>
  <c r="O138" i="29"/>
  <c r="O130" i="29"/>
  <c r="O122" i="29"/>
  <c r="P116" i="29"/>
  <c r="P112" i="29"/>
  <c r="P108" i="29"/>
  <c r="P104" i="29"/>
  <c r="P100" i="29"/>
  <c r="P96" i="29"/>
  <c r="P92" i="29"/>
  <c r="P88" i="29"/>
  <c r="P84" i="29"/>
  <c r="P80" i="29"/>
  <c r="P76" i="29"/>
  <c r="P167" i="29"/>
  <c r="O116" i="29"/>
  <c r="O166" i="29"/>
  <c r="P155" i="29"/>
  <c r="O148" i="29"/>
  <c r="P147" i="29"/>
  <c r="O140" i="29"/>
  <c r="P139" i="29"/>
  <c r="O132" i="29"/>
  <c r="P131" i="29"/>
  <c r="O124" i="29"/>
  <c r="P123" i="29"/>
  <c r="P119" i="29"/>
  <c r="P115" i="29"/>
  <c r="P111" i="29"/>
  <c r="P107" i="29"/>
  <c r="P103" i="29"/>
  <c r="P99" i="29"/>
  <c r="P95" i="29"/>
  <c r="P91" i="29"/>
  <c r="P87" i="29"/>
  <c r="P83" i="29"/>
  <c r="P79" i="29"/>
  <c r="P75" i="29"/>
  <c r="P71" i="29"/>
  <c r="P67" i="29"/>
  <c r="P63" i="29"/>
  <c r="P59" i="29"/>
  <c r="P55" i="29"/>
  <c r="P51" i="29"/>
  <c r="P173" i="29"/>
  <c r="P150" i="29"/>
  <c r="P142" i="29"/>
  <c r="P134" i="29"/>
  <c r="P126" i="29"/>
  <c r="O115" i="29"/>
  <c r="O170" i="29"/>
  <c r="O156" i="29"/>
  <c r="O150" i="29"/>
  <c r="O142" i="29"/>
  <c r="O134" i="29"/>
  <c r="O126" i="29"/>
  <c r="P114" i="29"/>
  <c r="P110" i="29"/>
  <c r="P106" i="29"/>
  <c r="P102" i="29"/>
  <c r="P98" i="29"/>
  <c r="P94" i="29"/>
  <c r="P90" i="29"/>
  <c r="P86" i="29"/>
  <c r="P82" i="29"/>
  <c r="P159" i="29"/>
  <c r="P118" i="29"/>
  <c r="O114" i="29"/>
  <c r="O110" i="29"/>
  <c r="O106" i="29"/>
  <c r="O102" i="29"/>
  <c r="O98" i="29"/>
  <c r="O94" i="29"/>
  <c r="O90" i="29"/>
  <c r="O86" i="29"/>
  <c r="O82" i="29"/>
  <c r="O78" i="29"/>
  <c r="O158" i="29"/>
  <c r="O152" i="29"/>
  <c r="P151" i="29"/>
  <c r="O144" i="29"/>
  <c r="P143" i="29"/>
  <c r="O136" i="29"/>
  <c r="P135" i="29"/>
  <c r="O128" i="29"/>
  <c r="P127" i="29"/>
  <c r="P120" i="29"/>
  <c r="O118" i="29"/>
  <c r="P117" i="29"/>
  <c r="P113" i="29"/>
  <c r="P109" i="29"/>
  <c r="P105" i="29"/>
  <c r="P101" i="29"/>
  <c r="P97" i="29"/>
  <c r="P93" i="29"/>
  <c r="P89" i="29"/>
  <c r="P85" i="29"/>
  <c r="P81" i="29"/>
  <c r="P77" i="29"/>
  <c r="P73" i="29"/>
  <c r="P69" i="29"/>
  <c r="P65" i="29"/>
  <c r="P61" i="29"/>
  <c r="P57" i="29"/>
  <c r="P53" i="29"/>
  <c r="P49" i="29"/>
  <c r="S606" i="29"/>
  <c r="S602" i="29"/>
  <c r="S594" i="29"/>
  <c r="T605" i="29"/>
  <c r="T597" i="29"/>
  <c r="S613" i="29"/>
  <c r="S597" i="29"/>
  <c r="S593" i="29"/>
  <c r="T608" i="29"/>
  <c r="T604" i="29"/>
  <c r="T596" i="29"/>
  <c r="S612" i="29"/>
  <c r="T610" i="29"/>
  <c r="S603" i="29"/>
  <c r="T602" i="29"/>
  <c r="S595" i="29"/>
  <c r="T584" i="29"/>
  <c r="T580" i="29"/>
  <c r="S592" i="29"/>
  <c r="T591" i="29"/>
  <c r="T607" i="29"/>
  <c r="T599" i="29"/>
  <c r="S587" i="29"/>
  <c r="S607" i="29"/>
  <c r="T598" i="29"/>
  <c r="T590" i="29"/>
  <c r="S627" i="29"/>
  <c r="S586" i="29"/>
  <c r="T595" i="29"/>
  <c r="T576" i="29"/>
  <c r="T564" i="29"/>
  <c r="T560" i="29"/>
  <c r="T556" i="29"/>
  <c r="S589" i="29"/>
  <c r="S563" i="29"/>
  <c r="S559" i="29"/>
  <c r="T570" i="29"/>
  <c r="T583" i="29"/>
  <c r="S574" i="29"/>
  <c r="S562" i="29"/>
  <c r="S579" i="29"/>
  <c r="S576" i="29"/>
  <c r="T561" i="29"/>
  <c r="S550" i="29"/>
  <c r="S546" i="29"/>
  <c r="S564" i="29"/>
  <c r="S553" i="29"/>
  <c r="S545" i="29"/>
  <c r="S568" i="29"/>
  <c r="T563" i="29"/>
  <c r="T552" i="29"/>
  <c r="T589" i="29"/>
  <c r="T567" i="29"/>
  <c r="S560" i="29"/>
  <c r="S552" i="29"/>
  <c r="S578" i="29"/>
  <c r="S573" i="29"/>
  <c r="S558" i="29"/>
  <c r="T551" i="29"/>
  <c r="T586" i="29"/>
  <c r="S555" i="29"/>
  <c r="S547" i="29"/>
  <c r="T603" i="29"/>
  <c r="T579" i="29"/>
  <c r="S537" i="29"/>
  <c r="S533" i="29"/>
  <c r="T544" i="29"/>
  <c r="S540" i="29"/>
  <c r="S536" i="29"/>
  <c r="S532" i="29"/>
  <c r="S524" i="29"/>
  <c r="T539" i="29"/>
  <c r="T531" i="29"/>
  <c r="T527" i="29"/>
  <c r="T575" i="29"/>
  <c r="T550" i="29"/>
  <c r="S527" i="29"/>
  <c r="T611" i="29"/>
  <c r="S542" i="29"/>
  <c r="S534" i="29"/>
  <c r="S565" i="29"/>
  <c r="T549" i="29"/>
  <c r="T541" i="29"/>
  <c r="T533" i="29"/>
  <c r="S561" i="29"/>
  <c r="T542" i="29"/>
  <c r="T526" i="29"/>
  <c r="S511" i="29"/>
  <c r="S503" i="29"/>
  <c r="S526" i="29"/>
  <c r="T523" i="29"/>
  <c r="T518" i="29"/>
  <c r="T510" i="29"/>
  <c r="T530" i="29"/>
  <c r="S518" i="29"/>
  <c r="S510" i="29"/>
  <c r="T521" i="29"/>
  <c r="T513" i="29"/>
  <c r="T534" i="29"/>
  <c r="S517" i="29"/>
  <c r="S509" i="29"/>
  <c r="T528" i="29"/>
  <c r="T504" i="29"/>
  <c r="S512" i="29"/>
  <c r="T500" i="29"/>
  <c r="T496" i="29"/>
  <c r="T488" i="29"/>
  <c r="T484" i="29"/>
  <c r="T495" i="29"/>
  <c r="T491" i="29"/>
  <c r="T487" i="29"/>
  <c r="T511" i="29"/>
  <c r="S487" i="29"/>
  <c r="T553" i="29"/>
  <c r="T498" i="29"/>
  <c r="T490" i="29"/>
  <c r="T486" i="29"/>
  <c r="T538" i="29"/>
  <c r="S504" i="29"/>
  <c r="S498" i="29"/>
  <c r="S490" i="29"/>
  <c r="S482" i="29"/>
  <c r="T507" i="29"/>
  <c r="S496" i="29"/>
  <c r="T468" i="29"/>
  <c r="T464" i="29"/>
  <c r="T501" i="29"/>
  <c r="T483" i="29"/>
  <c r="T481" i="29"/>
  <c r="S472" i="29"/>
  <c r="S501" i="29"/>
  <c r="S488" i="29"/>
  <c r="T475" i="29"/>
  <c r="T471" i="29"/>
  <c r="T463" i="29"/>
  <c r="S484" i="29"/>
  <c r="S471" i="29"/>
  <c r="S467" i="29"/>
  <c r="T532" i="29"/>
  <c r="S474" i="29"/>
  <c r="S470" i="29"/>
  <c r="S466" i="29"/>
  <c r="T519" i="29"/>
  <c r="S502" i="29"/>
  <c r="T473" i="29"/>
  <c r="T469" i="29"/>
  <c r="T465" i="29"/>
  <c r="S506" i="29"/>
  <c r="S478" i="29"/>
  <c r="S473" i="29"/>
  <c r="S461" i="29"/>
  <c r="T474" i="29"/>
  <c r="T457" i="29"/>
  <c r="T453" i="29"/>
  <c r="T441" i="29"/>
  <c r="T461" i="29"/>
  <c r="S453" i="29"/>
  <c r="S449" i="29"/>
  <c r="S441" i="29"/>
  <c r="S437" i="29"/>
  <c r="S425" i="29"/>
  <c r="S421" i="29"/>
  <c r="S409" i="29"/>
  <c r="S405" i="29"/>
  <c r="T460" i="29"/>
  <c r="T456" i="29"/>
  <c r="T444" i="29"/>
  <c r="S460" i="29"/>
  <c r="S452" i="29"/>
  <c r="S448" i="29"/>
  <c r="S444" i="29"/>
  <c r="S436" i="29"/>
  <c r="S424" i="29"/>
  <c r="T489" i="29"/>
  <c r="T455" i="29"/>
  <c r="T451" i="29"/>
  <c r="T439" i="29"/>
  <c r="T435" i="29"/>
  <c r="T427" i="29"/>
  <c r="T423" i="29"/>
  <c r="T415" i="29"/>
  <c r="S459" i="29"/>
  <c r="S455" i="29"/>
  <c r="S451" i="29"/>
  <c r="S443" i="29"/>
  <c r="S439" i="29"/>
  <c r="S423" i="29"/>
  <c r="S419" i="29"/>
  <c r="S415" i="29"/>
  <c r="S411" i="29"/>
  <c r="T458" i="29"/>
  <c r="T454" i="29"/>
  <c r="T446" i="29"/>
  <c r="S438" i="29"/>
  <c r="T437" i="29"/>
  <c r="T429" i="29"/>
  <c r="T421" i="29"/>
  <c r="T414" i="29"/>
  <c r="S401" i="29"/>
  <c r="S393" i="29"/>
  <c r="S389" i="29"/>
  <c r="S385" i="29"/>
  <c r="S373" i="29"/>
  <c r="S446" i="29"/>
  <c r="T400" i="29"/>
  <c r="T396" i="29"/>
  <c r="T392" i="29"/>
  <c r="T388" i="29"/>
  <c r="S418" i="29"/>
  <c r="T405" i="29"/>
  <c r="S396" i="29"/>
  <c r="S392" i="29"/>
  <c r="S388" i="29"/>
  <c r="S376" i="29"/>
  <c r="T440" i="29"/>
  <c r="T434" i="29"/>
  <c r="T426" i="29"/>
  <c r="T424" i="29"/>
  <c r="T399" i="29"/>
  <c r="T395" i="29"/>
  <c r="T387" i="29"/>
  <c r="T383" i="29"/>
  <c r="T371" i="29"/>
  <c r="T433" i="29"/>
  <c r="S426" i="29"/>
  <c r="T425" i="29"/>
  <c r="T408" i="29"/>
  <c r="S399" i="29"/>
  <c r="S387" i="29"/>
  <c r="S383" i="29"/>
  <c r="S379" i="29"/>
  <c r="S375" i="29"/>
  <c r="S408" i="29"/>
  <c r="T402" i="29"/>
  <c r="T390" i="29"/>
  <c r="T386" i="29"/>
  <c r="T378" i="29"/>
  <c r="T374" i="29"/>
  <c r="S450" i="29"/>
  <c r="T416" i="29"/>
  <c r="T404" i="29"/>
  <c r="S402" i="29"/>
  <c r="S398" i="29"/>
  <c r="S394" i="29"/>
  <c r="S382" i="29"/>
  <c r="S374" i="29"/>
  <c r="T438" i="29"/>
  <c r="T436" i="29"/>
  <c r="T430" i="29"/>
  <c r="T428" i="29"/>
  <c r="T410" i="29"/>
  <c r="S406" i="29"/>
  <c r="T401" i="29"/>
  <c r="T397" i="29"/>
  <c r="T393" i="29"/>
  <c r="T381" i="29"/>
  <c r="T373" i="29"/>
  <c r="T368" i="29"/>
  <c r="T360" i="29"/>
  <c r="T352" i="29"/>
  <c r="T344" i="29"/>
  <c r="T340" i="29"/>
  <c r="S364" i="29"/>
  <c r="S360" i="29"/>
  <c r="S348" i="29"/>
  <c r="S340" i="29"/>
  <c r="S336" i="29"/>
  <c r="S332" i="29"/>
  <c r="S320" i="29"/>
  <c r="S316" i="29"/>
  <c r="T363" i="29"/>
  <c r="T359" i="29"/>
  <c r="T355" i="29"/>
  <c r="T347" i="29"/>
  <c r="T339" i="29"/>
  <c r="T335" i="29"/>
  <c r="S363" i="29"/>
  <c r="S355" i="29"/>
  <c r="S351" i="29"/>
  <c r="S347" i="29"/>
  <c r="S339" i="29"/>
  <c r="S331" i="29"/>
  <c r="S319" i="29"/>
  <c r="S315" i="29"/>
  <c r="S311" i="29"/>
  <c r="S372" i="29"/>
  <c r="T358" i="29"/>
  <c r="T354" i="29"/>
  <c r="T346" i="29"/>
  <c r="T342" i="29"/>
  <c r="T338" i="29"/>
  <c r="T334" i="29"/>
  <c r="T318" i="29"/>
  <c r="T314" i="29"/>
  <c r="T365" i="29"/>
  <c r="T361" i="29"/>
  <c r="T353" i="29"/>
  <c r="T345" i="29"/>
  <c r="T337" i="29"/>
  <c r="T333" i="29"/>
  <c r="T321" i="29"/>
  <c r="T317" i="29"/>
  <c r="S357" i="29"/>
  <c r="S346" i="29"/>
  <c r="S341" i="29"/>
  <c r="T336" i="29"/>
  <c r="S312" i="29"/>
  <c r="T308" i="29"/>
  <c r="T304" i="29"/>
  <c r="T296" i="29"/>
  <c r="T292" i="29"/>
  <c r="T288" i="29"/>
  <c r="T284" i="29"/>
  <c r="T280" i="29"/>
  <c r="T276" i="29"/>
  <c r="S334" i="29"/>
  <c r="S318" i="29"/>
  <c r="S308" i="29"/>
  <c r="S304" i="29"/>
  <c r="S300" i="29"/>
  <c r="S296" i="29"/>
  <c r="S292" i="29"/>
  <c r="S288" i="29"/>
  <c r="S280" i="29"/>
  <c r="S276" i="29"/>
  <c r="S366" i="29"/>
  <c r="S361" i="29"/>
  <c r="S350" i="29"/>
  <c r="S345" i="29"/>
  <c r="T328" i="29"/>
  <c r="T320" i="29"/>
  <c r="T319" i="29"/>
  <c r="T313" i="29"/>
  <c r="T307" i="29"/>
  <c r="T303" i="29"/>
  <c r="S337" i="29"/>
  <c r="S329" i="29"/>
  <c r="S313" i="29"/>
  <c r="S307" i="29"/>
  <c r="S303" i="29"/>
  <c r="S365" i="29"/>
  <c r="S354" i="29"/>
  <c r="S349" i="29"/>
  <c r="T310" i="29"/>
  <c r="T302" i="29"/>
  <c r="T298" i="29"/>
  <c r="S330" i="29"/>
  <c r="S322" i="29"/>
  <c r="T311" i="29"/>
  <c r="S310" i="29"/>
  <c r="S306" i="29"/>
  <c r="S298" i="29"/>
  <c r="S294" i="29"/>
  <c r="S290" i="29"/>
  <c r="S286" i="29"/>
  <c r="S282" i="29"/>
  <c r="S278" i="29"/>
  <c r="S274" i="29"/>
  <c r="S358" i="29"/>
  <c r="S353" i="29"/>
  <c r="S342" i="29"/>
  <c r="T332" i="29"/>
  <c r="T331" i="29"/>
  <c r="T324" i="29"/>
  <c r="T323" i="29"/>
  <c r="T315" i="29"/>
  <c r="S314" i="29"/>
  <c r="T309" i="29"/>
  <c r="T305" i="29"/>
  <c r="T301" i="29"/>
  <c r="T297" i="29"/>
  <c r="T293" i="29"/>
  <c r="T285" i="29"/>
  <c r="T281" i="29"/>
  <c r="T277" i="29"/>
  <c r="T273" i="29"/>
  <c r="S295" i="29"/>
  <c r="S287" i="29"/>
  <c r="S279" i="29"/>
  <c r="S266" i="29"/>
  <c r="S262" i="29"/>
  <c r="S258" i="29"/>
  <c r="S254" i="29"/>
  <c r="S250" i="29"/>
  <c r="S246" i="29"/>
  <c r="S242" i="29"/>
  <c r="S238" i="29"/>
  <c r="S234" i="29"/>
  <c r="S230" i="29"/>
  <c r="S317" i="29"/>
  <c r="T294" i="29"/>
  <c r="T286" i="29"/>
  <c r="T278" i="29"/>
  <c r="T269" i="29"/>
  <c r="T265" i="29"/>
  <c r="T261" i="29"/>
  <c r="T257" i="29"/>
  <c r="T253" i="29"/>
  <c r="T249" i="29"/>
  <c r="T245" i="29"/>
  <c r="S309" i="29"/>
  <c r="S269" i="29"/>
  <c r="S265" i="29"/>
  <c r="S261" i="29"/>
  <c r="S257" i="29"/>
  <c r="S253" i="29"/>
  <c r="S249" i="29"/>
  <c r="S245" i="29"/>
  <c r="S241" i="29"/>
  <c r="T291" i="29"/>
  <c r="S289" i="29"/>
  <c r="T283" i="29"/>
  <c r="S281" i="29"/>
  <c r="T275" i="29"/>
  <c r="T272" i="29"/>
  <c r="T268" i="29"/>
  <c r="T264" i="29"/>
  <c r="T260" i="29"/>
  <c r="T256" i="29"/>
  <c r="T252" i="29"/>
  <c r="T248" i="29"/>
  <c r="T244" i="29"/>
  <c r="T240" i="29"/>
  <c r="T236" i="29"/>
  <c r="T232" i="29"/>
  <c r="S338" i="29"/>
  <c r="S325" i="29"/>
  <c r="S301" i="29"/>
  <c r="T299" i="29"/>
  <c r="S291" i="29"/>
  <c r="S283" i="29"/>
  <c r="S275" i="29"/>
  <c r="S273" i="29"/>
  <c r="S272" i="29"/>
  <c r="S268" i="29"/>
  <c r="S264" i="29"/>
  <c r="S260" i="29"/>
  <c r="S256" i="29"/>
  <c r="S252" i="29"/>
  <c r="S248" i="29"/>
  <c r="S305" i="29"/>
  <c r="S299" i="29"/>
  <c r="S297" i="29"/>
  <c r="T290" i="29"/>
  <c r="T282" i="29"/>
  <c r="T274" i="29"/>
  <c r="T271" i="29"/>
  <c r="T267" i="29"/>
  <c r="T263" i="29"/>
  <c r="T259" i="29"/>
  <c r="T255" i="29"/>
  <c r="T251" i="29"/>
  <c r="T247" i="29"/>
  <c r="T243" i="29"/>
  <c r="T239" i="29"/>
  <c r="T235" i="29"/>
  <c r="T231" i="29"/>
  <c r="S271" i="29"/>
  <c r="S267" i="29"/>
  <c r="S263" i="29"/>
  <c r="S259" i="29"/>
  <c r="S255" i="29"/>
  <c r="S251" i="29"/>
  <c r="S247" i="29"/>
  <c r="S243" i="29"/>
  <c r="S239" i="29"/>
  <c r="S333" i="29"/>
  <c r="T312" i="29"/>
  <c r="T295" i="29"/>
  <c r="S293" i="29"/>
  <c r="T287" i="29"/>
  <c r="S285" i="29"/>
  <c r="T279" i="29"/>
  <c r="S277" i="29"/>
  <c r="T270" i="29"/>
  <c r="T266" i="29"/>
  <c r="T262" i="29"/>
  <c r="T258" i="29"/>
  <c r="T254" i="29"/>
  <c r="T250" i="29"/>
  <c r="T246" i="29"/>
  <c r="T242" i="29"/>
  <c r="T238" i="29"/>
  <c r="T234" i="29"/>
  <c r="T230" i="29"/>
  <c r="S235" i="29"/>
  <c r="T226" i="29"/>
  <c r="T222" i="29"/>
  <c r="T218" i="29"/>
  <c r="T214" i="29"/>
  <c r="T210" i="29"/>
  <c r="T206" i="29"/>
  <c r="T202" i="29"/>
  <c r="T198" i="29"/>
  <c r="S244" i="29"/>
  <c r="T237" i="29"/>
  <c r="S226" i="29"/>
  <c r="S222" i="29"/>
  <c r="S218" i="29"/>
  <c r="S214" i="29"/>
  <c r="S210" i="29"/>
  <c r="S206" i="29"/>
  <c r="S202" i="29"/>
  <c r="S198" i="29"/>
  <c r="S194" i="29"/>
  <c r="S190" i="29"/>
  <c r="S186" i="29"/>
  <c r="S182" i="29"/>
  <c r="S178" i="29"/>
  <c r="S237" i="29"/>
  <c r="S236" i="29"/>
  <c r="T225" i="29"/>
  <c r="T221" i="29"/>
  <c r="T217" i="29"/>
  <c r="T213" i="29"/>
  <c r="T209" i="29"/>
  <c r="T205" i="29"/>
  <c r="T201" i="29"/>
  <c r="T197" i="29"/>
  <c r="T193" i="29"/>
  <c r="T189" i="29"/>
  <c r="T185" i="29"/>
  <c r="T181" i="29"/>
  <c r="T177" i="29"/>
  <c r="T229" i="29"/>
  <c r="S225" i="29"/>
  <c r="S221" i="29"/>
  <c r="S217" i="29"/>
  <c r="S213" i="29"/>
  <c r="S209" i="29"/>
  <c r="S205" i="29"/>
  <c r="S201" i="29"/>
  <c r="S197" i="29"/>
  <c r="S193" i="29"/>
  <c r="S189" i="29"/>
  <c r="S185" i="29"/>
  <c r="S181" i="29"/>
  <c r="S177" i="29"/>
  <c r="S173" i="29"/>
  <c r="S231" i="29"/>
  <c r="S229" i="29"/>
  <c r="T228" i="29"/>
  <c r="T224" i="29"/>
  <c r="T220" i="29"/>
  <c r="T216" i="29"/>
  <c r="T212" i="29"/>
  <c r="T208" i="29"/>
  <c r="T204" i="29"/>
  <c r="T200" i="29"/>
  <c r="T241" i="29"/>
  <c r="T233" i="29"/>
  <c r="S228" i="29"/>
  <c r="S224" i="29"/>
  <c r="S220" i="29"/>
  <c r="S216" i="29"/>
  <c r="S212" i="29"/>
  <c r="S208" i="29"/>
  <c r="S204" i="29"/>
  <c r="S200" i="29"/>
  <c r="S196" i="29"/>
  <c r="S192" i="29"/>
  <c r="S188" i="29"/>
  <c r="S184" i="29"/>
  <c r="S180" i="29"/>
  <c r="S176" i="29"/>
  <c r="S172" i="29"/>
  <c r="S233" i="29"/>
  <c r="S232" i="29"/>
  <c r="T227" i="29"/>
  <c r="T223" i="29"/>
  <c r="T219" i="29"/>
  <c r="T215" i="29"/>
  <c r="T211" i="29"/>
  <c r="T207" i="29"/>
  <c r="T203" i="29"/>
  <c r="T199" i="29"/>
  <c r="T195" i="29"/>
  <c r="T191" i="29"/>
  <c r="T187" i="29"/>
  <c r="T183" i="29"/>
  <c r="T179" i="29"/>
  <c r="T175" i="29"/>
  <c r="S240" i="29"/>
  <c r="S227" i="29"/>
  <c r="S223" i="29"/>
  <c r="S219" i="29"/>
  <c r="S215" i="29"/>
  <c r="S211" i="29"/>
  <c r="S207" i="29"/>
  <c r="S203" i="29"/>
  <c r="S199" i="29"/>
  <c r="S195" i="29"/>
  <c r="S191" i="29"/>
  <c r="S187" i="29"/>
  <c r="S183" i="29"/>
  <c r="S179" i="29"/>
  <c r="S175" i="29"/>
  <c r="S171" i="29"/>
  <c r="T190" i="29"/>
  <c r="T172" i="29"/>
  <c r="S170" i="29"/>
  <c r="S166" i="29"/>
  <c r="S162" i="29"/>
  <c r="S158" i="29"/>
  <c r="T184" i="29"/>
  <c r="T194" i="29"/>
  <c r="T178" i="29"/>
  <c r="T171" i="29"/>
  <c r="S169" i="29"/>
  <c r="S165" i="29"/>
  <c r="S161" i="29"/>
  <c r="S157" i="29"/>
  <c r="S153" i="29"/>
  <c r="S149" i="29"/>
  <c r="S145" i="29"/>
  <c r="S141" i="29"/>
  <c r="S137" i="29"/>
  <c r="S133" i="29"/>
  <c r="S129" i="29"/>
  <c r="S125" i="29"/>
  <c r="S121" i="29"/>
  <c r="T188" i="29"/>
  <c r="T168" i="29"/>
  <c r="T164" i="29"/>
  <c r="T160" i="29"/>
  <c r="T156" i="29"/>
  <c r="T182" i="29"/>
  <c r="T192" i="29"/>
  <c r="T176" i="29"/>
  <c r="S174" i="29"/>
  <c r="T167" i="29"/>
  <c r="T163" i="29"/>
  <c r="T159" i="29"/>
  <c r="T155" i="29"/>
  <c r="T151" i="29"/>
  <c r="T147" i="29"/>
  <c r="T143" i="29"/>
  <c r="T139" i="29"/>
  <c r="T135" i="29"/>
  <c r="T131" i="29"/>
  <c r="T127" i="29"/>
  <c r="T123" i="29"/>
  <c r="T119" i="29"/>
  <c r="T186" i="29"/>
  <c r="S167" i="29"/>
  <c r="S163" i="29"/>
  <c r="S159" i="29"/>
  <c r="S155" i="29"/>
  <c r="S151" i="29"/>
  <c r="S147" i="29"/>
  <c r="S143" i="29"/>
  <c r="S139" i="29"/>
  <c r="S135" i="29"/>
  <c r="S131" i="29"/>
  <c r="S127" i="29"/>
  <c r="S123" i="29"/>
  <c r="T196" i="29"/>
  <c r="T180" i="29"/>
  <c r="T173" i="29"/>
  <c r="T170" i="29"/>
  <c r="T166" i="29"/>
  <c r="T162" i="29"/>
  <c r="T158" i="29"/>
  <c r="T154" i="29"/>
  <c r="T150" i="29"/>
  <c r="T146" i="29"/>
  <c r="T142" i="29"/>
  <c r="T138" i="29"/>
  <c r="T134" i="29"/>
  <c r="T130" i="29"/>
  <c r="T126" i="29"/>
  <c r="T122" i="29"/>
  <c r="T148" i="29"/>
  <c r="T140" i="29"/>
  <c r="T132" i="29"/>
  <c r="T124" i="29"/>
  <c r="T114" i="29"/>
  <c r="T110" i="29"/>
  <c r="T106" i="29"/>
  <c r="T102" i="29"/>
  <c r="T98" i="29"/>
  <c r="T94" i="29"/>
  <c r="T90" i="29"/>
  <c r="T86" i="29"/>
  <c r="T82" i="29"/>
  <c r="T78" i="29"/>
  <c r="T161" i="29"/>
  <c r="S150" i="29"/>
  <c r="T149" i="29"/>
  <c r="S148" i="29"/>
  <c r="S142" i="29"/>
  <c r="T141" i="29"/>
  <c r="S140" i="29"/>
  <c r="S134" i="29"/>
  <c r="T133" i="29"/>
  <c r="S132" i="29"/>
  <c r="S126" i="29"/>
  <c r="T125" i="29"/>
  <c r="S124" i="29"/>
  <c r="S114" i="29"/>
  <c r="T118" i="29"/>
  <c r="T117" i="29"/>
  <c r="T113" i="29"/>
  <c r="T109" i="29"/>
  <c r="T105" i="29"/>
  <c r="T101" i="29"/>
  <c r="T97" i="29"/>
  <c r="T93" i="29"/>
  <c r="T89" i="29"/>
  <c r="T85" i="29"/>
  <c r="T81" i="29"/>
  <c r="T77" i="29"/>
  <c r="T73" i="29"/>
  <c r="T69" i="29"/>
  <c r="T65" i="29"/>
  <c r="T61" i="29"/>
  <c r="T57" i="29"/>
  <c r="T53" i="29"/>
  <c r="T49" i="29"/>
  <c r="T174" i="29"/>
  <c r="T165" i="29"/>
  <c r="S160" i="29"/>
  <c r="S156" i="29"/>
  <c r="S118" i="29"/>
  <c r="S117" i="29"/>
  <c r="S113" i="29"/>
  <c r="T152" i="29"/>
  <c r="T144" i="29"/>
  <c r="T136" i="29"/>
  <c r="T128" i="29"/>
  <c r="T120" i="29"/>
  <c r="T116" i="29"/>
  <c r="T112" i="29"/>
  <c r="T108" i="29"/>
  <c r="T104" i="29"/>
  <c r="T100" i="29"/>
  <c r="T96" i="29"/>
  <c r="T92" i="29"/>
  <c r="T88" i="29"/>
  <c r="T84" i="29"/>
  <c r="T80" i="29"/>
  <c r="T169" i="29"/>
  <c r="S164" i="29"/>
  <c r="S154" i="29"/>
  <c r="T153" i="29"/>
  <c r="S152" i="29"/>
  <c r="S146" i="29"/>
  <c r="T145" i="29"/>
  <c r="S144" i="29"/>
  <c r="S138" i="29"/>
  <c r="T137" i="29"/>
  <c r="S136" i="29"/>
  <c r="S130" i="29"/>
  <c r="T129" i="29"/>
  <c r="S128" i="29"/>
  <c r="S122" i="29"/>
  <c r="T121" i="29"/>
  <c r="S120" i="29"/>
  <c r="S116" i="29"/>
  <c r="S112" i="29"/>
  <c r="S108" i="29"/>
  <c r="S104" i="29"/>
  <c r="S100" i="29"/>
  <c r="S96" i="29"/>
  <c r="S92" i="29"/>
  <c r="S88" i="29"/>
  <c r="S84" i="29"/>
  <c r="S80" i="29"/>
  <c r="S76" i="29"/>
  <c r="T115" i="29"/>
  <c r="T111" i="29"/>
  <c r="T107" i="29"/>
  <c r="T103" i="29"/>
  <c r="T99" i="29"/>
  <c r="T95" i="29"/>
  <c r="T91" i="29"/>
  <c r="T87" i="29"/>
  <c r="T83" i="29"/>
  <c r="T79" i="29"/>
  <c r="T75" i="29"/>
  <c r="T71" i="29"/>
  <c r="T67" i="29"/>
  <c r="T63" i="29"/>
  <c r="T59" i="29"/>
  <c r="T55" i="29"/>
  <c r="T51" i="29"/>
  <c r="T47" i="29"/>
  <c r="T13" i="29"/>
  <c r="P15" i="29"/>
  <c r="T17" i="29"/>
  <c r="P19" i="29"/>
  <c r="L21" i="29"/>
  <c r="T21" i="29"/>
  <c r="J22" i="29"/>
  <c r="R22" i="29"/>
  <c r="P23" i="29"/>
  <c r="T25" i="29"/>
  <c r="J26" i="29"/>
  <c r="R26" i="29"/>
  <c r="P27" i="29"/>
  <c r="T29" i="29"/>
  <c r="J30" i="29"/>
  <c r="R30" i="29"/>
  <c r="P31" i="29"/>
  <c r="T33" i="29"/>
  <c r="J34" i="29"/>
  <c r="R34" i="29"/>
  <c r="P35" i="29"/>
  <c r="T37" i="29"/>
  <c r="J38" i="29"/>
  <c r="R38" i="29"/>
  <c r="P39" i="29"/>
  <c r="T41" i="29"/>
  <c r="J42" i="29"/>
  <c r="R42" i="29"/>
  <c r="P43" i="29"/>
  <c r="T45" i="29"/>
  <c r="J46" i="29"/>
  <c r="R46" i="29"/>
  <c r="Q47" i="29"/>
  <c r="I48" i="29"/>
  <c r="S48" i="29"/>
  <c r="Q50" i="29"/>
  <c r="P52" i="29"/>
  <c r="J53" i="29"/>
  <c r="O54" i="29"/>
  <c r="I55" i="29"/>
  <c r="S55" i="29"/>
  <c r="R57" i="29"/>
  <c r="Q59" i="29"/>
  <c r="O61" i="29"/>
  <c r="K62" i="29"/>
  <c r="T62" i="29"/>
  <c r="I64" i="29"/>
  <c r="S64" i="29"/>
  <c r="Q66" i="29"/>
  <c r="P68" i="29"/>
  <c r="J69" i="29"/>
  <c r="O70" i="29"/>
  <c r="I71" i="29"/>
  <c r="S71" i="29"/>
  <c r="R73" i="29"/>
  <c r="I75" i="29"/>
  <c r="O79" i="29"/>
  <c r="K85" i="29"/>
  <c r="S86" i="29"/>
  <c r="Q88" i="29"/>
  <c r="Q90" i="29"/>
  <c r="I91" i="29"/>
  <c r="O92" i="29"/>
  <c r="S99" i="29"/>
  <c r="S101" i="29"/>
  <c r="Q103" i="29"/>
  <c r="I104" i="29"/>
  <c r="O105" i="29"/>
  <c r="I106" i="29"/>
  <c r="O107" i="29"/>
  <c r="I116" i="29"/>
  <c r="R627" i="29"/>
  <c r="O627" i="29"/>
  <c r="P627" i="29"/>
  <c r="Q627" i="29"/>
  <c r="AO205" i="29"/>
  <c r="AO120" i="29"/>
  <c r="AO215" i="29"/>
  <c r="AO417" i="29"/>
  <c r="AO154" i="29"/>
  <c r="U154" i="29" s="1"/>
  <c r="AO499" i="29"/>
  <c r="AO512" i="29"/>
  <c r="AO403" i="29"/>
  <c r="U403" i="29" s="1"/>
  <c r="AO366" i="29"/>
  <c r="AO231" i="29"/>
  <c r="AO96" i="29"/>
  <c r="AO425" i="29"/>
  <c r="AO418" i="29"/>
  <c r="AO288" i="29"/>
  <c r="AO331" i="29"/>
  <c r="AO308" i="29"/>
  <c r="V308" i="29" s="1"/>
  <c r="AO268" i="29"/>
  <c r="U268" i="29" s="1"/>
  <c r="AO182" i="29"/>
  <c r="AO189" i="29"/>
  <c r="V189" i="29" s="1"/>
  <c r="AO169" i="29"/>
  <c r="AO148" i="29"/>
  <c r="U148" i="29" s="1"/>
  <c r="AO60" i="29"/>
  <c r="U60" i="29" s="1"/>
  <c r="AO198" i="29"/>
  <c r="U198" i="29" s="1"/>
  <c r="AO409" i="29"/>
  <c r="U409" i="29" s="1"/>
  <c r="AO329" i="29"/>
  <c r="AO349" i="29"/>
  <c r="AO145" i="29"/>
  <c r="U145" i="29" s="1"/>
  <c r="AO62" i="29"/>
  <c r="AO195" i="29"/>
  <c r="AO66" i="29"/>
  <c r="U66" i="29" s="1"/>
  <c r="AO525" i="29"/>
  <c r="V525" i="29" s="1"/>
  <c r="AO385" i="29"/>
  <c r="AO386" i="29"/>
  <c r="U386" i="29" s="1"/>
  <c r="AO321" i="29"/>
  <c r="AO411" i="29"/>
  <c r="AO388" i="29"/>
  <c r="AO323" i="29"/>
  <c r="AO252" i="29"/>
  <c r="AO112" i="29"/>
  <c r="U112" i="29" s="1"/>
  <c r="AO223" i="29"/>
  <c r="AO140" i="29"/>
  <c r="U140" i="29" s="1"/>
  <c r="AO230" i="29"/>
  <c r="AO119" i="29"/>
  <c r="AO18" i="29"/>
  <c r="AO168" i="29"/>
  <c r="AO211" i="29"/>
  <c r="V211" i="29" s="1"/>
  <c r="AO158" i="29"/>
  <c r="AO271" i="29"/>
  <c r="AO381" i="29"/>
  <c r="V381" i="29" s="1"/>
  <c r="AO316" i="29"/>
  <c r="U316" i="29" s="1"/>
  <c r="AO276" i="29"/>
  <c r="U276" i="29" s="1"/>
  <c r="AO234" i="29"/>
  <c r="V234" i="29" s="1"/>
  <c r="AO405" i="29"/>
  <c r="V405" i="29" s="1"/>
  <c r="AO255" i="29"/>
  <c r="U255" i="29" s="1"/>
  <c r="AO383" i="29"/>
  <c r="AO318" i="29"/>
  <c r="AO63" i="29"/>
  <c r="AO29" i="29"/>
  <c r="U29" i="29" s="1"/>
  <c r="AO114" i="29"/>
  <c r="AO227" i="29"/>
  <c r="V227" i="29" s="1"/>
  <c r="AO14" i="29"/>
  <c r="AO562" i="29"/>
  <c r="AO567" i="29"/>
  <c r="AO502" i="29"/>
  <c r="AO246" i="29"/>
  <c r="U246" i="29" s="1"/>
  <c r="AO361" i="29"/>
  <c r="AO187" i="29"/>
  <c r="AO104" i="29"/>
  <c r="AO81" i="29"/>
  <c r="AO174" i="29"/>
  <c r="AO203" i="29"/>
  <c r="U203" i="29" s="1"/>
  <c r="AO471" i="29"/>
  <c r="V471" i="29" s="1"/>
  <c r="AO109" i="29"/>
  <c r="AO178" i="29"/>
  <c r="U178" i="29" s="1"/>
  <c r="AO180" i="29"/>
  <c r="R55" i="29"/>
  <c r="Q71" i="29"/>
  <c r="J45" i="29"/>
  <c r="J68" i="29"/>
  <c r="I97" i="29"/>
  <c r="J113" i="29"/>
  <c r="J54" i="29"/>
  <c r="J158" i="29"/>
  <c r="I165" i="29"/>
  <c r="I144" i="29"/>
  <c r="I175" i="29"/>
  <c r="I158" i="29"/>
  <c r="I212" i="29"/>
  <c r="I177" i="29"/>
  <c r="I182" i="29"/>
  <c r="I183" i="29"/>
  <c r="J243" i="29"/>
  <c r="I318" i="29"/>
  <c r="I292" i="29"/>
  <c r="J312" i="29"/>
  <c r="J298" i="29"/>
  <c r="I331" i="29"/>
  <c r="J301" i="29"/>
  <c r="J359" i="29"/>
  <c r="I357" i="29"/>
  <c r="I392" i="29"/>
  <c r="I398" i="29"/>
  <c r="I461" i="29"/>
  <c r="I468" i="29"/>
  <c r="J485" i="29"/>
  <c r="I535" i="29"/>
  <c r="J564" i="29"/>
  <c r="J610" i="29"/>
  <c r="Q76" i="29"/>
  <c r="Q81" i="29"/>
  <c r="R75" i="29"/>
  <c r="R179" i="29"/>
  <c r="Q236" i="29"/>
  <c r="Q290" i="29"/>
  <c r="Q251" i="29"/>
  <c r="R289" i="29"/>
  <c r="R374" i="29"/>
  <c r="R422" i="29"/>
  <c r="Q474" i="29"/>
  <c r="R485" i="29"/>
  <c r="Q577" i="29"/>
  <c r="I111" i="29"/>
  <c r="I61" i="29"/>
  <c r="J19" i="29"/>
  <c r="J61" i="29"/>
  <c r="I72" i="29"/>
  <c r="I17" i="29"/>
  <c r="I25" i="29"/>
  <c r="I33" i="29"/>
  <c r="I41" i="29"/>
  <c r="I49" i="29"/>
  <c r="I603" i="29"/>
  <c r="J598" i="29"/>
  <c r="J613" i="29"/>
  <c r="I605" i="29"/>
  <c r="I589" i="29"/>
  <c r="J600" i="29"/>
  <c r="I591" i="29"/>
  <c r="J565" i="29"/>
  <c r="I568" i="29"/>
  <c r="J571" i="29"/>
  <c r="J587" i="29"/>
  <c r="I555" i="29"/>
  <c r="I554" i="29"/>
  <c r="J549" i="29"/>
  <c r="J576" i="29"/>
  <c r="I566" i="29"/>
  <c r="I530" i="29"/>
  <c r="J16" i="29"/>
  <c r="J24" i="29"/>
  <c r="J32" i="29"/>
  <c r="J40" i="29"/>
  <c r="I107" i="29"/>
  <c r="I599" i="29"/>
  <c r="J594" i="29"/>
  <c r="J609" i="29"/>
  <c r="I604" i="29"/>
  <c r="I585" i="29"/>
  <c r="I592" i="29"/>
  <c r="I587" i="29"/>
  <c r="J561" i="29"/>
  <c r="I564" i="29"/>
  <c r="J590" i="29"/>
  <c r="I580" i="29"/>
  <c r="I551" i="29"/>
  <c r="I550" i="29"/>
  <c r="J604" i="29"/>
  <c r="J566" i="29"/>
  <c r="I558" i="29"/>
  <c r="I526" i="29"/>
  <c r="J63" i="29"/>
  <c r="I74" i="29"/>
  <c r="I611" i="29"/>
  <c r="G622" i="29"/>
  <c r="O622" i="29" s="1"/>
  <c r="J597" i="29"/>
  <c r="J581" i="29"/>
  <c r="I588" i="29"/>
  <c r="J603" i="29"/>
  <c r="I576" i="29"/>
  <c r="J586" i="29"/>
  <c r="I565" i="29"/>
  <c r="J563" i="29"/>
  <c r="I593" i="29"/>
  <c r="J556" i="29"/>
  <c r="I538" i="29"/>
  <c r="I590" i="29"/>
  <c r="I540" i="29"/>
  <c r="J546" i="29"/>
  <c r="J542" i="29"/>
  <c r="I512" i="29"/>
  <c r="J515" i="29"/>
  <c r="I511" i="29"/>
  <c r="I522" i="29"/>
  <c r="J513" i="29"/>
  <c r="J489" i="29"/>
  <c r="J488" i="29"/>
  <c r="J506" i="29"/>
  <c r="J512" i="29"/>
  <c r="J503" i="29"/>
  <c r="J465" i="29"/>
  <c r="J535" i="29"/>
  <c r="J498" i="29"/>
  <c r="J516" i="29"/>
  <c r="I471" i="29"/>
  <c r="J466" i="29"/>
  <c r="I462" i="29"/>
  <c r="I454" i="29"/>
  <c r="I422" i="29"/>
  <c r="J457" i="29"/>
  <c r="I449" i="29"/>
  <c r="J502" i="29"/>
  <c r="J436" i="29"/>
  <c r="J404" i="29"/>
  <c r="I440" i="29"/>
  <c r="I408" i="29"/>
  <c r="I423" i="29"/>
  <c r="I382" i="29"/>
  <c r="J409" i="29"/>
  <c r="J377" i="29"/>
  <c r="I393" i="29"/>
  <c r="J435" i="29"/>
  <c r="J392" i="29"/>
  <c r="I427" i="29"/>
  <c r="I380" i="29"/>
  <c r="J403" i="29"/>
  <c r="J371" i="29"/>
  <c r="I383" i="29"/>
  <c r="J422" i="29"/>
  <c r="J386" i="29"/>
  <c r="J357" i="29"/>
  <c r="I361" i="29"/>
  <c r="I329" i="29"/>
  <c r="J356" i="29"/>
  <c r="I368" i="29"/>
  <c r="I336" i="29"/>
  <c r="J363" i="29"/>
  <c r="J331" i="29"/>
  <c r="J358" i="29"/>
  <c r="J326" i="29"/>
  <c r="I319" i="29"/>
  <c r="J281" i="29"/>
  <c r="I309" i="29"/>
  <c r="I277" i="29"/>
  <c r="I322" i="29"/>
  <c r="J316" i="29"/>
  <c r="I351" i="29"/>
  <c r="I303" i="29"/>
  <c r="I65" i="29"/>
  <c r="I92" i="29"/>
  <c r="I595" i="29"/>
  <c r="I606" i="29"/>
  <c r="I613" i="29"/>
  <c r="I581" i="29"/>
  <c r="I608" i="29"/>
  <c r="J573" i="29"/>
  <c r="I560" i="29"/>
  <c r="I575" i="29"/>
  <c r="I561" i="29"/>
  <c r="I546" i="29"/>
  <c r="I573" i="29"/>
  <c r="J548" i="29"/>
  <c r="J572" i="29"/>
  <c r="J544" i="29"/>
  <c r="I532" i="29"/>
  <c r="I543" i="29"/>
  <c r="J534" i="29"/>
  <c r="I504" i="29"/>
  <c r="J507" i="29"/>
  <c r="I523" i="29"/>
  <c r="I514" i="29"/>
  <c r="J505" i="29"/>
  <c r="J481" i="29"/>
  <c r="I500" i="29"/>
  <c r="J499" i="29"/>
  <c r="I506" i="29"/>
  <c r="J480" i="29"/>
  <c r="I480" i="29"/>
  <c r="I493" i="29"/>
  <c r="I476" i="29"/>
  <c r="I517" i="29"/>
  <c r="I463" i="29"/>
  <c r="I486" i="29"/>
  <c r="J458" i="29"/>
  <c r="I446" i="29"/>
  <c r="I414" i="29"/>
  <c r="J449" i="29"/>
  <c r="I441" i="29"/>
  <c r="J460" i="29"/>
  <c r="J428" i="29"/>
  <c r="J463" i="29"/>
  <c r="I432" i="29"/>
  <c r="J459" i="29"/>
  <c r="J410" i="29"/>
  <c r="I374" i="29"/>
  <c r="J401" i="29"/>
  <c r="J418" i="29"/>
  <c r="I385" i="29"/>
  <c r="J427" i="29"/>
  <c r="J384" i="29"/>
  <c r="J407" i="29"/>
  <c r="I459" i="29"/>
  <c r="J395" i="29"/>
  <c r="I411" i="29"/>
  <c r="I375" i="29"/>
  <c r="I415" i="29"/>
  <c r="J378" i="29"/>
  <c r="J349" i="29"/>
  <c r="I353" i="29"/>
  <c r="I321" i="29"/>
  <c r="J348" i="29"/>
  <c r="I15" i="29"/>
  <c r="J28" i="29"/>
  <c r="I79" i="29"/>
  <c r="I21" i="29"/>
  <c r="I632" i="29"/>
  <c r="I602" i="29"/>
  <c r="I612" i="29"/>
  <c r="J607" i="29"/>
  <c r="I601" i="29"/>
  <c r="J569" i="29"/>
  <c r="J612" i="29"/>
  <c r="I571" i="29"/>
  <c r="J559" i="29"/>
  <c r="I578" i="29"/>
  <c r="J562" i="29"/>
  <c r="J583" i="29"/>
  <c r="I541" i="29"/>
  <c r="J540" i="29"/>
  <c r="I528" i="29"/>
  <c r="I539" i="29"/>
  <c r="J530" i="29"/>
  <c r="J550" i="29"/>
  <c r="J543" i="29"/>
  <c r="J522" i="29"/>
  <c r="I510" i="29"/>
  <c r="I521" i="29"/>
  <c r="I509" i="29"/>
  <c r="I496" i="29"/>
  <c r="J495" i="29"/>
  <c r="I499" i="29"/>
  <c r="J479" i="29"/>
  <c r="I479" i="29"/>
  <c r="I481" i="29"/>
  <c r="I472" i="29"/>
  <c r="I505" i="29"/>
  <c r="I490" i="29"/>
  <c r="J484" i="29"/>
  <c r="J454" i="29"/>
  <c r="I442" i="29"/>
  <c r="I410" i="29"/>
  <c r="J445" i="29"/>
  <c r="I437" i="29"/>
  <c r="J456" i="29"/>
  <c r="J424" i="29"/>
  <c r="I460" i="29"/>
  <c r="I428" i="29"/>
  <c r="J455" i="29"/>
  <c r="I402" i="29"/>
  <c r="I370" i="29"/>
  <c r="J397" i="29"/>
  <c r="J413" i="29"/>
  <c r="I381" i="29"/>
  <c r="J426" i="29"/>
  <c r="J380" i="29"/>
  <c r="I400" i="29"/>
  <c r="J437" i="29"/>
  <c r="J391" i="29"/>
  <c r="I403" i="29"/>
  <c r="J439" i="29"/>
  <c r="J406" i="29"/>
  <c r="J374" i="29"/>
  <c r="J345" i="29"/>
  <c r="I349" i="29"/>
  <c r="I317" i="29"/>
  <c r="I52" i="29"/>
  <c r="J170" i="29"/>
  <c r="J606" i="29"/>
  <c r="J605" i="29"/>
  <c r="J589" i="29"/>
  <c r="J588" i="29"/>
  <c r="I583" i="29"/>
  <c r="J584" i="29"/>
  <c r="I579" i="29"/>
  <c r="I577" i="29"/>
  <c r="J582" i="29"/>
  <c r="J560" i="29"/>
  <c r="I562" i="29"/>
  <c r="I548" i="29"/>
  <c r="I529" i="29"/>
  <c r="J528" i="29"/>
  <c r="I569" i="29"/>
  <c r="I527" i="29"/>
  <c r="I520" i="29"/>
  <c r="J525" i="29"/>
  <c r="I519" i="29"/>
  <c r="J510" i="29"/>
  <c r="J521" i="29"/>
  <c r="J497" i="29"/>
  <c r="J496" i="29"/>
  <c r="I484" i="29"/>
  <c r="J483" i="29"/>
  <c r="I487" i="29"/>
  <c r="J473" i="29"/>
  <c r="I469" i="29"/>
  <c r="J468" i="29"/>
  <c r="J568" i="29"/>
  <c r="J482" i="29"/>
  <c r="J474" i="29"/>
  <c r="I470" i="29"/>
  <c r="J442" i="29"/>
  <c r="I430" i="29"/>
  <c r="J467" i="29"/>
  <c r="I457" i="29"/>
  <c r="I425" i="29"/>
  <c r="J444" i="29"/>
  <c r="J412" i="29"/>
  <c r="I448" i="29"/>
  <c r="I416" i="29"/>
  <c r="I439" i="29"/>
  <c r="I390" i="29"/>
  <c r="J425" i="29"/>
  <c r="J385" i="29"/>
  <c r="I401" i="29"/>
  <c r="I451" i="29"/>
  <c r="J400" i="29"/>
  <c r="I447" i="29"/>
  <c r="I388" i="29"/>
  <c r="J411" i="29"/>
  <c r="J379" i="29"/>
  <c r="I391" i="29"/>
  <c r="J430" i="29"/>
  <c r="J394" i="29"/>
  <c r="J365" i="29"/>
  <c r="I369" i="29"/>
  <c r="I337" i="29"/>
  <c r="J364" i="29"/>
  <c r="I373" i="29"/>
  <c r="I344" i="29"/>
  <c r="I312" i="29"/>
  <c r="J339" i="29"/>
  <c r="J366" i="29"/>
  <c r="J334" i="29"/>
  <c r="I327" i="29"/>
  <c r="J289" i="29"/>
  <c r="J329" i="29"/>
  <c r="I285" i="29"/>
  <c r="I342" i="29"/>
  <c r="J324" i="29"/>
  <c r="I367" i="29"/>
  <c r="I311" i="29"/>
  <c r="I279" i="29"/>
  <c r="J290" i="29"/>
  <c r="I280" i="29"/>
  <c r="I243" i="29"/>
  <c r="J258" i="29"/>
  <c r="I274" i="29"/>
  <c r="I242" i="29"/>
  <c r="J265" i="29"/>
  <c r="J233" i="29"/>
  <c r="I261" i="29"/>
  <c r="I273" i="29"/>
  <c r="J244" i="29"/>
  <c r="I294" i="29"/>
  <c r="I252" i="29"/>
  <c r="J287" i="29"/>
  <c r="J251" i="29"/>
  <c r="J227" i="29"/>
  <c r="I238" i="29"/>
  <c r="I207" i="29"/>
  <c r="I241" i="29"/>
  <c r="J198" i="29"/>
  <c r="I222" i="29"/>
  <c r="I190" i="29"/>
  <c r="J221" i="29"/>
  <c r="I233" i="29"/>
  <c r="I201" i="29"/>
  <c r="J228" i="29"/>
  <c r="J196" i="29"/>
  <c r="I228" i="29"/>
  <c r="I196" i="29"/>
  <c r="I167" i="29"/>
  <c r="I166" i="29"/>
  <c r="I134" i="29"/>
  <c r="J161" i="29"/>
  <c r="J168" i="29"/>
  <c r="J136" i="29"/>
  <c r="I160" i="29"/>
  <c r="I128" i="29"/>
  <c r="J159" i="29"/>
  <c r="J127" i="29"/>
  <c r="I133" i="29"/>
  <c r="J95" i="29"/>
  <c r="I143" i="29"/>
  <c r="J102" i="29"/>
  <c r="J70" i="29"/>
  <c r="J145" i="29"/>
  <c r="I153" i="29"/>
  <c r="I121" i="29"/>
  <c r="J89" i="29"/>
  <c r="I123" i="29"/>
  <c r="I89" i="29"/>
  <c r="J116" i="29"/>
  <c r="J84" i="29"/>
  <c r="J52" i="29"/>
  <c r="J65" i="29"/>
  <c r="I96" i="29"/>
  <c r="J17" i="29"/>
  <c r="J33" i="29"/>
  <c r="I69" i="29"/>
  <c r="J44" i="29"/>
  <c r="I90" i="29"/>
  <c r="I37" i="29"/>
  <c r="J627" i="29"/>
  <c r="J602" i="29"/>
  <c r="J601" i="29"/>
  <c r="J585" i="29"/>
  <c r="J608" i="29"/>
  <c r="J611" i="29"/>
  <c r="J579" i="29"/>
  <c r="J575" i="29"/>
  <c r="I570" i="29"/>
  <c r="J578" i="29"/>
  <c r="J553" i="29"/>
  <c r="J558" i="29"/>
  <c r="I542" i="29"/>
  <c r="I525" i="29"/>
  <c r="I544" i="29"/>
  <c r="J547" i="29"/>
  <c r="J551" i="29"/>
  <c r="I516" i="29"/>
  <c r="J519" i="29"/>
  <c r="I515" i="29"/>
  <c r="J531" i="29"/>
  <c r="J517" i="29"/>
  <c r="J493" i="29"/>
  <c r="J492" i="29"/>
  <c r="I513" i="29"/>
  <c r="I559" i="29"/>
  <c r="I483" i="29"/>
  <c r="J469" i="29"/>
  <c r="I465" i="29"/>
  <c r="J464" i="29"/>
  <c r="J524" i="29"/>
  <c r="I475" i="29"/>
  <c r="J470" i="29"/>
  <c r="I466" i="29"/>
  <c r="I458" i="29"/>
  <c r="I426" i="29"/>
  <c r="J461" i="29"/>
  <c r="I453" i="29"/>
  <c r="I421" i="29"/>
  <c r="J440" i="29"/>
  <c r="J408" i="29"/>
  <c r="I444" i="29"/>
  <c r="I412" i="29"/>
  <c r="I431" i="29"/>
  <c r="I386" i="29"/>
  <c r="J414" i="29"/>
  <c r="J381" i="29"/>
  <c r="I397" i="29"/>
  <c r="J447" i="29"/>
  <c r="J396" i="29"/>
  <c r="I435" i="29"/>
  <c r="I384" i="29"/>
  <c r="I407" i="29"/>
  <c r="J375" i="29"/>
  <c r="I387" i="29"/>
  <c r="J423" i="29"/>
  <c r="J390" i="29"/>
  <c r="J361" i="29"/>
  <c r="I365" i="29"/>
  <c r="I333" i="29"/>
  <c r="J360" i="29"/>
  <c r="I372" i="29"/>
  <c r="I340" i="29"/>
  <c r="J367" i="29"/>
  <c r="J335" i="29"/>
  <c r="J362" i="29"/>
  <c r="J330" i="29"/>
  <c r="J320" i="29"/>
  <c r="J285" i="29"/>
  <c r="J321" i="29"/>
  <c r="I281" i="29"/>
  <c r="I330" i="29"/>
  <c r="I323" i="29"/>
  <c r="I362" i="29"/>
  <c r="I307" i="29"/>
  <c r="I275" i="29"/>
  <c r="J286" i="29"/>
  <c r="I271" i="29"/>
  <c r="I239" i="29"/>
  <c r="J254" i="29"/>
  <c r="I270" i="29"/>
  <c r="J292" i="29"/>
  <c r="J261" i="29"/>
  <c r="I334" i="29"/>
  <c r="I257" i="29"/>
  <c r="J272" i="29"/>
  <c r="J240" i="29"/>
  <c r="I286" i="29"/>
  <c r="I248" i="29"/>
  <c r="J280" i="29"/>
  <c r="J247" i="29"/>
  <c r="J223" i="29"/>
  <c r="I237" i="29"/>
  <c r="I203" i="29"/>
  <c r="J226" i="29"/>
  <c r="J194" i="29"/>
  <c r="I218" i="29"/>
  <c r="I186" i="29"/>
  <c r="J217" i="29"/>
  <c r="I229" i="29"/>
  <c r="I197" i="29"/>
  <c r="J224" i="29"/>
  <c r="J192" i="29"/>
  <c r="I224" i="29"/>
  <c r="I192" i="29"/>
  <c r="I163" i="29"/>
  <c r="I162" i="29"/>
  <c r="I130" i="29"/>
  <c r="J157" i="29"/>
  <c r="J164" i="29"/>
  <c r="J132" i="29"/>
  <c r="I156" i="29"/>
  <c r="I124" i="29"/>
  <c r="J155" i="29"/>
  <c r="J123" i="29"/>
  <c r="J126" i="29"/>
  <c r="J91" i="29"/>
  <c r="I135" i="29"/>
  <c r="J98" i="29"/>
  <c r="J66" i="29"/>
  <c r="J137" i="29"/>
  <c r="J146" i="29"/>
  <c r="J117" i="29"/>
  <c r="J85" i="29"/>
  <c r="I117" i="29"/>
  <c r="I85" i="29"/>
  <c r="J112" i="29"/>
  <c r="J80" i="29"/>
  <c r="J48" i="29"/>
  <c r="J51" i="29"/>
  <c r="I102" i="29"/>
  <c r="I58" i="29"/>
  <c r="I627" i="29"/>
  <c r="J577" i="29"/>
  <c r="J595" i="29"/>
  <c r="I547" i="29"/>
  <c r="J552" i="29"/>
  <c r="J532" i="29"/>
  <c r="J526" i="29"/>
  <c r="J537" i="29"/>
  <c r="J501" i="29"/>
  <c r="J491" i="29"/>
  <c r="I497" i="29"/>
  <c r="I464" i="29"/>
  <c r="J478" i="29"/>
  <c r="I418" i="29"/>
  <c r="I429" i="29"/>
  <c r="I456" i="29"/>
  <c r="I419" i="29"/>
  <c r="J389" i="29"/>
  <c r="J417" i="29"/>
  <c r="I376" i="29"/>
  <c r="I395" i="29"/>
  <c r="J370" i="29"/>
  <c r="I325" i="29"/>
  <c r="I360" i="29"/>
  <c r="I316" i="29"/>
  <c r="J319" i="29"/>
  <c r="J322" i="29"/>
  <c r="J297" i="29"/>
  <c r="I301" i="29"/>
  <c r="I347" i="29"/>
  <c r="J307" i="29"/>
  <c r="I299" i="29"/>
  <c r="J302" i="29"/>
  <c r="I288" i="29"/>
  <c r="I231" i="29"/>
  <c r="I306" i="29"/>
  <c r="I246" i="29"/>
  <c r="J253" i="29"/>
  <c r="J273" i="29"/>
  <c r="J300" i="29"/>
  <c r="J232" i="29"/>
  <c r="I264" i="29"/>
  <c r="J288" i="29"/>
  <c r="J239" i="29"/>
  <c r="J207" i="29"/>
  <c r="I211" i="29"/>
  <c r="J218" i="29"/>
  <c r="J178" i="29"/>
  <c r="I194" i="29"/>
  <c r="J209" i="29"/>
  <c r="I213" i="29"/>
  <c r="I173" i="29"/>
  <c r="J184" i="29"/>
  <c r="I208" i="29"/>
  <c r="J187" i="29"/>
  <c r="I154" i="29"/>
  <c r="J185" i="29"/>
  <c r="J173" i="29"/>
  <c r="J124" i="29"/>
  <c r="I140" i="29"/>
  <c r="J163" i="29"/>
  <c r="J150" i="29"/>
  <c r="J107" i="29"/>
  <c r="I151" i="29"/>
  <c r="J90" i="29"/>
  <c r="J50" i="29"/>
  <c r="J154" i="29"/>
  <c r="J109" i="29"/>
  <c r="I147" i="29"/>
  <c r="I93" i="29"/>
  <c r="J104" i="29"/>
  <c r="J64" i="29"/>
  <c r="I14" i="29"/>
  <c r="J141" i="29"/>
  <c r="I45" i="29"/>
  <c r="I94" i="29"/>
  <c r="I610" i="29"/>
  <c r="J592" i="29"/>
  <c r="J596" i="29"/>
  <c r="I557" i="29"/>
  <c r="I552" i="29"/>
  <c r="I524" i="29"/>
  <c r="I508" i="29"/>
  <c r="J514" i="29"/>
  <c r="I503" i="29"/>
  <c r="I507" i="29"/>
  <c r="I473" i="29"/>
  <c r="I494" i="29"/>
  <c r="I498" i="29"/>
  <c r="I485" i="29"/>
  <c r="J452" i="29"/>
  <c r="I436" i="29"/>
  <c r="I394" i="29"/>
  <c r="I409" i="29"/>
  <c r="J388" i="29"/>
  <c r="J421" i="29"/>
  <c r="J438" i="29"/>
  <c r="J353" i="29"/>
  <c r="J368" i="29"/>
  <c r="I352" i="29"/>
  <c r="J355" i="29"/>
  <c r="J311" i="29"/>
  <c r="I339" i="29"/>
  <c r="J277" i="29"/>
  <c r="I293" i="29"/>
  <c r="I308" i="29"/>
  <c r="J299" i="29"/>
  <c r="I291" i="29"/>
  <c r="J294" i="29"/>
  <c r="I263" i="29"/>
  <c r="J270" i="29"/>
  <c r="I282" i="29"/>
  <c r="J284" i="29"/>
  <c r="J245" i="29"/>
  <c r="I265" i="29"/>
  <c r="J264" i="29"/>
  <c r="I314" i="29"/>
  <c r="I256" i="29"/>
  <c r="J271" i="29"/>
  <c r="J231" i="29"/>
  <c r="J199" i="29"/>
  <c r="I195" i="29"/>
  <c r="J210" i="29"/>
  <c r="I226" i="29"/>
  <c r="I178" i="29"/>
  <c r="J201" i="29"/>
  <c r="I205" i="29"/>
  <c r="J216" i="29"/>
  <c r="J176" i="29"/>
  <c r="I200" i="29"/>
  <c r="J197" i="29"/>
  <c r="I146" i="29"/>
  <c r="J165" i="29"/>
  <c r="J156" i="29"/>
  <c r="J183" i="29"/>
  <c r="I132" i="29"/>
  <c r="J147" i="29"/>
  <c r="J142" i="29"/>
  <c r="J99" i="29"/>
  <c r="I115" i="29"/>
  <c r="J82" i="29"/>
  <c r="J153" i="29"/>
  <c r="J138" i="29"/>
  <c r="J101" i="29"/>
  <c r="I131" i="29"/>
  <c r="I77" i="29"/>
  <c r="J96" i="29"/>
  <c r="J56" i="29"/>
  <c r="I98" i="29"/>
  <c r="I34" i="29"/>
  <c r="I76" i="29"/>
  <c r="I598" i="29"/>
  <c r="I609" i="29"/>
  <c r="I584" i="29"/>
  <c r="J574" i="29"/>
  <c r="I534" i="29"/>
  <c r="J570" i="29"/>
  <c r="J545" i="29"/>
  <c r="I518" i="29"/>
  <c r="J500" i="29"/>
  <c r="I495" i="29"/>
  <c r="J520" i="29"/>
  <c r="J490" i="29"/>
  <c r="J450" i="29"/>
  <c r="J453" i="29"/>
  <c r="J448" i="29"/>
  <c r="I424" i="29"/>
  <c r="I378" i="29"/>
  <c r="I405" i="29"/>
  <c r="J376" i="29"/>
  <c r="J399" i="29"/>
  <c r="J431" i="29"/>
  <c r="J341" i="29"/>
  <c r="J352" i="29"/>
  <c r="I348" i="29"/>
  <c r="J351" i="29"/>
  <c r="J354" i="29"/>
  <c r="J337" i="29"/>
  <c r="I359" i="29"/>
  <c r="I289" i="29"/>
  <c r="I304" i="29"/>
  <c r="I346" i="29"/>
  <c r="I287" i="29"/>
  <c r="J282" i="29"/>
  <c r="I259" i="29"/>
  <c r="J266" i="29"/>
  <c r="I266" i="29"/>
  <c r="J283" i="29"/>
  <c r="J241" i="29"/>
  <c r="I253" i="29"/>
  <c r="J260" i="29"/>
  <c r="I300" i="29"/>
  <c r="I244" i="29"/>
  <c r="J267" i="29"/>
  <c r="J238" i="29"/>
  <c r="I230" i="29"/>
  <c r="I191" i="29"/>
  <c r="J206" i="29"/>
  <c r="I214" i="29"/>
  <c r="I174" i="29"/>
  <c r="I245" i="29"/>
  <c r="I193" i="29"/>
  <c r="J212" i="29"/>
  <c r="J242" i="29"/>
  <c r="I188" i="29"/>
  <c r="J181" i="29"/>
  <c r="I142" i="29"/>
  <c r="J195" i="29"/>
  <c r="J152" i="29"/>
  <c r="I168" i="29"/>
  <c r="I120" i="29"/>
  <c r="J143" i="29"/>
  <c r="I141" i="29"/>
  <c r="J87" i="29"/>
  <c r="I169" i="29"/>
  <c r="J78" i="29"/>
  <c r="J129" i="29"/>
  <c r="I137" i="29"/>
  <c r="J97" i="29"/>
  <c r="I113" i="29"/>
  <c r="J174" i="29"/>
  <c r="J92" i="29"/>
  <c r="J13" i="29"/>
  <c r="I51" i="29"/>
  <c r="J25" i="29"/>
  <c r="I26" i="29"/>
  <c r="I53" i="29"/>
  <c r="J77" i="29"/>
  <c r="I100" i="29"/>
  <c r="I78" i="29"/>
  <c r="I594" i="29"/>
  <c r="I600" i="29"/>
  <c r="J580" i="29"/>
  <c r="J567" i="29"/>
  <c r="I537" i="29"/>
  <c r="I545" i="29"/>
  <c r="J533" i="29"/>
  <c r="J555" i="29"/>
  <c r="J508" i="29"/>
  <c r="I491" i="29"/>
  <c r="J476" i="29"/>
  <c r="I467" i="29"/>
  <c r="J446" i="29"/>
  <c r="J441" i="29"/>
  <c r="J432" i="29"/>
  <c r="I420" i="29"/>
  <c r="J443" i="29"/>
  <c r="I389" i="29"/>
  <c r="J372" i="29"/>
  <c r="J387" i="29"/>
  <c r="J419" i="29"/>
  <c r="I371" i="29"/>
  <c r="J344" i="29"/>
  <c r="I332" i="29"/>
  <c r="J347" i="29"/>
  <c r="J350" i="29"/>
  <c r="J328" i="29"/>
  <c r="I354" i="29"/>
  <c r="J308" i="29"/>
  <c r="J332" i="29"/>
  <c r="I338" i="29"/>
  <c r="I283" i="29"/>
  <c r="J278" i="29"/>
  <c r="I255" i="29"/>
  <c r="J262" i="29"/>
  <c r="I262" i="29"/>
  <c r="J276" i="29"/>
  <c r="J237" i="29"/>
  <c r="I249" i="29"/>
  <c r="J256" i="29"/>
  <c r="I298" i="29"/>
  <c r="I240" i="29"/>
  <c r="J263" i="29"/>
  <c r="J230" i="29"/>
  <c r="I227" i="29"/>
  <c r="I187" i="29"/>
  <c r="J202" i="29"/>
  <c r="I210" i="29"/>
  <c r="J234" i="29"/>
  <c r="I234" i="29"/>
  <c r="I189" i="29"/>
  <c r="I119" i="29"/>
  <c r="I597" i="29"/>
  <c r="I582" i="29"/>
  <c r="I563" i="29"/>
  <c r="I553" i="29"/>
  <c r="J554" i="29"/>
  <c r="I531" i="29"/>
  <c r="J527" i="29"/>
  <c r="J509" i="29"/>
  <c r="I488" i="29"/>
  <c r="I478" i="29"/>
  <c r="I489" i="29"/>
  <c r="I482" i="29"/>
  <c r="I438" i="29"/>
  <c r="I445" i="29"/>
  <c r="J416" i="29"/>
  <c r="J451" i="29"/>
  <c r="J405" i="29"/>
  <c r="J471" i="29"/>
  <c r="I396" i="29"/>
  <c r="J415" i="29"/>
  <c r="J398" i="29"/>
  <c r="I345" i="29"/>
  <c r="J336" i="29"/>
  <c r="I324" i="29"/>
  <c r="J327" i="29"/>
  <c r="J342" i="29"/>
  <c r="J305" i="29"/>
  <c r="I335" i="29"/>
  <c r="I363" i="29"/>
  <c r="I315" i="29"/>
  <c r="J325" i="29"/>
  <c r="J310" i="29"/>
  <c r="I366" i="29"/>
  <c r="I247" i="29"/>
  <c r="J246" i="29"/>
  <c r="I254" i="29"/>
  <c r="J269" i="29"/>
  <c r="I284" i="29"/>
  <c r="I350" i="29"/>
  <c r="J248" i="29"/>
  <c r="I272" i="29"/>
  <c r="J296" i="29"/>
  <c r="J255" i="29"/>
  <c r="J215" i="29"/>
  <c r="I219" i="29"/>
  <c r="I179" i="29"/>
  <c r="J186" i="29"/>
  <c r="I202" i="29"/>
  <c r="J225" i="29"/>
  <c r="I221" i="29"/>
  <c r="I181" i="29"/>
  <c r="J200" i="29"/>
  <c r="I216" i="29"/>
  <c r="I176" i="29"/>
  <c r="I170" i="29"/>
  <c r="I122" i="29"/>
  <c r="J189" i="29"/>
  <c r="J140" i="29"/>
  <c r="I148" i="29"/>
  <c r="J172" i="29"/>
  <c r="J131" i="29"/>
  <c r="J115" i="29"/>
  <c r="J75" i="29"/>
  <c r="J106" i="29"/>
  <c r="J58" i="29"/>
  <c r="I114" i="29"/>
  <c r="J122" i="29"/>
  <c r="J166" i="29"/>
  <c r="I101" i="29"/>
  <c r="J119" i="29"/>
  <c r="J72" i="29"/>
  <c r="J37" i="29"/>
  <c r="J29" i="29"/>
  <c r="I30" i="29"/>
  <c r="I87" i="29"/>
  <c r="J125" i="29"/>
  <c r="J41" i="29"/>
  <c r="R21" i="29"/>
  <c r="J100" i="29"/>
  <c r="I139" i="29"/>
  <c r="I145" i="29"/>
  <c r="J86" i="29"/>
  <c r="J103" i="29"/>
  <c r="J151" i="29"/>
  <c r="J120" i="29"/>
  <c r="J169" i="29"/>
  <c r="I159" i="29"/>
  <c r="J180" i="29"/>
  <c r="I217" i="29"/>
  <c r="I232" i="29"/>
  <c r="I223" i="29"/>
  <c r="J295" i="29"/>
  <c r="J268" i="29"/>
  <c r="J275" i="29"/>
  <c r="I235" i="29"/>
  <c r="I295" i="29"/>
  <c r="J304" i="29"/>
  <c r="J338" i="29"/>
  <c r="I356" i="29"/>
  <c r="J402" i="29"/>
  <c r="J434" i="29"/>
  <c r="I452" i="29"/>
  <c r="I450" i="29"/>
  <c r="J477" i="29"/>
  <c r="J518" i="29"/>
  <c r="I533" i="29"/>
  <c r="J557" i="29"/>
  <c r="Q114" i="29"/>
  <c r="Q140" i="29"/>
  <c r="R188" i="29"/>
  <c r="Q219" i="29"/>
  <c r="Q363" i="29"/>
  <c r="Q299" i="29"/>
  <c r="R355" i="29"/>
  <c r="R395" i="29"/>
  <c r="Q460" i="29"/>
  <c r="R512" i="29"/>
  <c r="R519" i="29"/>
  <c r="AC625" i="29"/>
  <c r="Q98" i="29"/>
  <c r="I38" i="29"/>
  <c r="Q14" i="29"/>
  <c r="I83" i="29"/>
  <c r="J49" i="29"/>
  <c r="J108" i="29"/>
  <c r="I155" i="29"/>
  <c r="I157" i="29"/>
  <c r="J94" i="29"/>
  <c r="J111" i="29"/>
  <c r="J167" i="29"/>
  <c r="J128" i="29"/>
  <c r="I118" i="29"/>
  <c r="I172" i="29"/>
  <c r="J188" i="29"/>
  <c r="I225" i="29"/>
  <c r="J182" i="29"/>
  <c r="J203" i="29"/>
  <c r="I310" i="29"/>
  <c r="I302" i="29"/>
  <c r="J291" i="29"/>
  <c r="I251" i="29"/>
  <c r="J317" i="29"/>
  <c r="I297" i="29"/>
  <c r="J346" i="29"/>
  <c r="I364" i="29"/>
  <c r="I379" i="29"/>
  <c r="I377" i="29"/>
  <c r="J494" i="29"/>
  <c r="I474" i="29"/>
  <c r="I501" i="29"/>
  <c r="J523" i="29"/>
  <c r="I556" i="29"/>
  <c r="J591" i="29"/>
  <c r="R54" i="29"/>
  <c r="R128" i="29"/>
  <c r="R224" i="29"/>
  <c r="R207" i="29"/>
  <c r="Q298" i="29"/>
  <c r="Q359" i="29"/>
  <c r="Q324" i="29"/>
  <c r="R372" i="29"/>
  <c r="R428" i="29"/>
  <c r="R465" i="29"/>
  <c r="Q531" i="29"/>
  <c r="Q604" i="29"/>
  <c r="R39" i="29"/>
  <c r="I62" i="29"/>
  <c r="I46" i="29"/>
  <c r="Q112" i="29"/>
  <c r="Q62" i="29"/>
  <c r="AD62" i="29" s="1"/>
  <c r="R17" i="29"/>
  <c r="I161" i="29"/>
  <c r="J81" i="29"/>
  <c r="J118" i="29"/>
  <c r="J110" i="29"/>
  <c r="I125" i="29"/>
  <c r="J177" i="29"/>
  <c r="J144" i="29"/>
  <c r="I126" i="29"/>
  <c r="I180" i="29"/>
  <c r="J204" i="29"/>
  <c r="J205" i="29"/>
  <c r="J190" i="29"/>
  <c r="J211" i="29"/>
  <c r="I260" i="29"/>
  <c r="I355" i="29"/>
  <c r="I250" i="29"/>
  <c r="I267" i="29"/>
  <c r="J333" i="29"/>
  <c r="I305" i="29"/>
  <c r="J315" i="29"/>
  <c r="J340" i="29"/>
  <c r="I399" i="29"/>
  <c r="I443" i="29"/>
  <c r="J420" i="29"/>
  <c r="J462" i="29"/>
  <c r="J487" i="29"/>
  <c r="J511" i="29"/>
  <c r="I549" i="29"/>
  <c r="J599" i="29"/>
  <c r="R51" i="29"/>
  <c r="I63" i="29"/>
  <c r="R28" i="29"/>
  <c r="R60" i="29"/>
  <c r="R78" i="29"/>
  <c r="R164" i="29"/>
  <c r="Q205" i="29"/>
  <c r="R247" i="29"/>
  <c r="Q258" i="29"/>
  <c r="Q350" i="29"/>
  <c r="Q356" i="29"/>
  <c r="R400" i="29"/>
  <c r="Q461" i="29"/>
  <c r="R482" i="29"/>
  <c r="R524" i="29"/>
  <c r="I22" i="29"/>
  <c r="J171" i="29"/>
  <c r="J93" i="29"/>
  <c r="J121" i="29"/>
  <c r="J114" i="29"/>
  <c r="J134" i="29"/>
  <c r="J193" i="29"/>
  <c r="J148" i="29"/>
  <c r="I138" i="29"/>
  <c r="I184" i="29"/>
  <c r="J208" i="29"/>
  <c r="J213" i="29"/>
  <c r="J214" i="29"/>
  <c r="J219" i="29"/>
  <c r="I268" i="29"/>
  <c r="I269" i="29"/>
  <c r="I258" i="29"/>
  <c r="I296" i="29"/>
  <c r="J303" i="29"/>
  <c r="I343" i="29"/>
  <c r="J323" i="29"/>
  <c r="J373" i="29"/>
  <c r="J383" i="29"/>
  <c r="J393" i="29"/>
  <c r="J475" i="29"/>
  <c r="J486" i="29"/>
  <c r="J504" i="29"/>
  <c r="J539" i="29"/>
  <c r="I574" i="29"/>
  <c r="I596" i="29"/>
  <c r="I88"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AD510" i="29" s="1"/>
  <c r="R533" i="29"/>
  <c r="R481" i="29"/>
  <c r="R484" i="29"/>
  <c r="Q484" i="29"/>
  <c r="R525" i="29"/>
  <c r="R490" i="29"/>
  <c r="Q490" i="29"/>
  <c r="AD490" i="29" s="1"/>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AD527" i="29" s="1"/>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AE353" i="29" s="1"/>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AD278" i="29" s="1"/>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AD478" i="29" s="1"/>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AE361" i="29" s="1"/>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AE190" i="29" s="1"/>
  <c r="Q222" i="29"/>
  <c r="Q174" i="29"/>
  <c r="Q229" i="29"/>
  <c r="Q189" i="29"/>
  <c r="R204" i="29"/>
  <c r="Q232" i="29"/>
  <c r="Q192" i="29"/>
  <c r="R195" i="29"/>
  <c r="Q142" i="29"/>
  <c r="R165" i="29"/>
  <c r="R144" i="29"/>
  <c r="Q168" i="29"/>
  <c r="Q128" i="29"/>
  <c r="R135" i="29"/>
  <c r="R99" i="29"/>
  <c r="Q139" i="29"/>
  <c r="R126" i="29"/>
  <c r="AE126" i="29" s="1"/>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AD249" i="29" s="1"/>
  <c r="R260" i="29"/>
  <c r="R284" i="29"/>
  <c r="AE284" i="29" s="1"/>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L625" i="29" s="1"/>
  <c r="R546" i="29"/>
  <c r="R536" i="29"/>
  <c r="Q535" i="29"/>
  <c r="Q504" i="29"/>
  <c r="AD504" i="29" s="1"/>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AD534" i="29" s="1"/>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AD347" i="29" s="1"/>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AE539" i="29" s="1"/>
  <c r="R499" i="29"/>
  <c r="R508" i="29"/>
  <c r="R450" i="29"/>
  <c r="Q433" i="29"/>
  <c r="Q412" i="29"/>
  <c r="Q459" i="29"/>
  <c r="Q384" i="29"/>
  <c r="Q375" i="29"/>
  <c r="R368" i="29"/>
  <c r="R331" i="29"/>
  <c r="R285" i="29"/>
  <c r="Q308" i="29"/>
  <c r="R310" i="29"/>
  <c r="AE310" i="29" s="1"/>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AD502" i="29" s="1"/>
  <c r="Q499" i="29"/>
  <c r="Q476" i="29"/>
  <c r="Q442" i="29"/>
  <c r="R452" i="29"/>
  <c r="Q398" i="29"/>
  <c r="Q397" i="29"/>
  <c r="R433" i="29"/>
  <c r="R386" i="29"/>
  <c r="R336" i="29"/>
  <c r="R366" i="29"/>
  <c r="R312" i="29"/>
  <c r="R321" i="29"/>
  <c r="R286" i="29"/>
  <c r="Q300" i="29"/>
  <c r="AD300" i="29" s="1"/>
  <c r="R245" i="29"/>
  <c r="AE245" i="29" s="1"/>
  <c r="R248" i="29"/>
  <c r="R251" i="29"/>
  <c r="R226" i="29"/>
  <c r="Q194" i="29"/>
  <c r="R228" i="29"/>
  <c r="Q188" i="29"/>
  <c r="R183" i="29"/>
  <c r="Q144" i="29"/>
  <c r="R95" i="29"/>
  <c r="R102" i="29"/>
  <c r="R89" i="29"/>
  <c r="R122" i="29"/>
  <c r="Q21" i="29"/>
  <c r="Q107" i="29"/>
  <c r="R43" i="29"/>
  <c r="Q137" i="29"/>
  <c r="AD137" i="29" s="1"/>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AE221" i="29" s="1"/>
  <c r="R200" i="29"/>
  <c r="R175" i="29"/>
  <c r="R168" i="29"/>
  <c r="Q124" i="29"/>
  <c r="R166" i="29"/>
  <c r="R58" i="29"/>
  <c r="Q127" i="29"/>
  <c r="R108" i="29"/>
  <c r="Q69" i="29"/>
  <c r="R69" i="29"/>
  <c r="Q38" i="29"/>
  <c r="Q46" i="29"/>
  <c r="Q57" i="29"/>
  <c r="Q129" i="29"/>
  <c r="Q73" i="29"/>
  <c r="I60" i="29"/>
  <c r="J60" i="29"/>
  <c r="I81" i="29"/>
  <c r="J105" i="29"/>
  <c r="J162" i="29"/>
  <c r="I127" i="29"/>
  <c r="I149" i="29"/>
  <c r="I136" i="29"/>
  <c r="J160" i="29"/>
  <c r="I150" i="29"/>
  <c r="I204" i="29"/>
  <c r="J220" i="29"/>
  <c r="J229" i="29"/>
  <c r="J222" i="29"/>
  <c r="J235" i="29"/>
  <c r="I278" i="29"/>
  <c r="I276" i="29"/>
  <c r="I290" i="29"/>
  <c r="J274" i="29"/>
  <c r="I313" i="29"/>
  <c r="J293" i="29"/>
  <c r="J343" i="29"/>
  <c r="I341" i="29"/>
  <c r="J429" i="29"/>
  <c r="J433" i="29"/>
  <c r="I433" i="29"/>
  <c r="J529" i="29"/>
  <c r="I492" i="29"/>
  <c r="J538" i="29"/>
  <c r="I586" i="29"/>
  <c r="J593" i="29"/>
  <c r="R40" i="29"/>
  <c r="R112" i="29"/>
  <c r="Q131" i="29"/>
  <c r="Q162" i="29"/>
  <c r="Q238" i="29"/>
  <c r="Q272" i="29"/>
  <c r="R295" i="29"/>
  <c r="Q309" i="29"/>
  <c r="Q365" i="29"/>
  <c r="R389" i="29"/>
  <c r="Q422" i="29"/>
  <c r="R488" i="29"/>
  <c r="R572" i="29"/>
  <c r="I70" i="29"/>
  <c r="K166" i="29"/>
  <c r="K603" i="29"/>
  <c r="L146" i="29"/>
  <c r="K345" i="29"/>
  <c r="K243" i="29"/>
  <c r="K189" i="29"/>
  <c r="K446" i="29"/>
  <c r="K60" i="29"/>
  <c r="L345" i="29"/>
  <c r="K13" i="29"/>
  <c r="K283" i="29"/>
  <c r="S49" i="29"/>
  <c r="S72" i="29"/>
  <c r="O113" i="29"/>
  <c r="O74" i="29"/>
  <c r="S85" i="29"/>
  <c r="T39" i="29"/>
  <c r="T31" i="29"/>
  <c r="T23" i="29"/>
  <c r="T15" i="29"/>
  <c r="O76" i="29"/>
  <c r="U442" i="29"/>
  <c r="V442" i="29"/>
  <c r="V45" i="29"/>
  <c r="V302" i="29"/>
  <c r="U302" i="29"/>
  <c r="V587" i="29"/>
  <c r="S43" i="29"/>
  <c r="T66" i="29"/>
  <c r="P54" i="29"/>
  <c r="O100" i="29"/>
  <c r="O28" i="29"/>
  <c r="P70" i="29"/>
  <c r="S19" i="29"/>
  <c r="S59" i="29"/>
  <c r="T14" i="29"/>
  <c r="S50" i="29"/>
  <c r="S46" i="29"/>
  <c r="T30" i="29"/>
  <c r="S35" i="29"/>
  <c r="T157" i="29"/>
  <c r="J73" i="29"/>
  <c r="J47" i="29"/>
  <c r="T26" i="29"/>
  <c r="S38" i="29"/>
  <c r="S54" i="29"/>
  <c r="T46" i="29"/>
  <c r="S34" i="29"/>
  <c r="S14" i="29"/>
  <c r="P58" i="29"/>
  <c r="O21" i="29"/>
  <c r="I19" i="29"/>
  <c r="O33" i="29"/>
  <c r="O45" i="29"/>
  <c r="O13" i="29"/>
  <c r="O81" i="29"/>
  <c r="O41" i="29"/>
  <c r="I80" i="29"/>
  <c r="J15" i="29"/>
  <c r="J55" i="29"/>
  <c r="I43" i="29"/>
  <c r="O16" i="29"/>
  <c r="I99" i="29"/>
  <c r="I110" i="29"/>
  <c r="O56" i="29"/>
  <c r="O87" i="29"/>
  <c r="O117" i="29"/>
  <c r="P138" i="29"/>
  <c r="I13" i="29"/>
  <c r="I86" i="29"/>
  <c r="O29" i="29"/>
  <c r="O17" i="29"/>
  <c r="O58" i="29"/>
  <c r="J35"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S111" i="29"/>
  <c r="S81" i="29"/>
  <c r="I54" i="29"/>
  <c r="J57" i="29"/>
  <c r="T34" i="29"/>
  <c r="J23" i="29"/>
  <c r="S105" i="29"/>
  <c r="S103" i="29"/>
  <c r="S73" i="29"/>
  <c r="J18" i="29"/>
  <c r="I103" i="29"/>
  <c r="S78" i="29"/>
  <c r="T52" i="29"/>
  <c r="I40" i="29"/>
  <c r="I32" i="29"/>
  <c r="I24" i="29"/>
  <c r="I16" i="29"/>
  <c r="I112" i="29"/>
  <c r="S94" i="29"/>
  <c r="S68" i="29"/>
  <c r="J43" i="29"/>
  <c r="T22" i="29"/>
  <c r="S30" i="29"/>
  <c r="J14" i="29"/>
  <c r="S66" i="29"/>
  <c r="T64" i="29"/>
  <c r="I47" i="29"/>
  <c r="S61" i="29"/>
  <c r="S39" i="29"/>
  <c r="S31" i="29"/>
  <c r="S23" i="29"/>
  <c r="S15" i="29"/>
  <c r="I68" i="29"/>
  <c r="S52" i="29"/>
  <c r="T42" i="29"/>
  <c r="J31" i="29"/>
  <c r="S57" i="29"/>
  <c r="S90" i="29"/>
  <c r="AD90" i="29" s="1"/>
  <c r="I95" i="29"/>
  <c r="T48" i="29"/>
  <c r="J149" i="29"/>
  <c r="S98" i="29"/>
  <c r="J59" i="29"/>
  <c r="S107" i="29"/>
  <c r="S79" i="29"/>
  <c r="T50" i="29"/>
  <c r="J39" i="29"/>
  <c r="T18" i="29"/>
  <c r="AE18" i="29" s="1"/>
  <c r="S42" i="29"/>
  <c r="I57" i="29"/>
  <c r="S26" i="29"/>
  <c r="S18" i="29"/>
  <c r="S70" i="29"/>
  <c r="I44" i="29"/>
  <c r="I36" i="29"/>
  <c r="I28" i="29"/>
  <c r="I20" i="29"/>
  <c r="S47" i="29"/>
  <c r="T38" i="29"/>
  <c r="J27" i="29"/>
  <c r="I39" i="29"/>
  <c r="I50" i="29"/>
  <c r="S22" i="29"/>
  <c r="I66" i="29"/>
  <c r="I27" i="29"/>
  <c r="O40" i="29"/>
  <c r="O104" i="29"/>
  <c r="I84" i="29"/>
  <c r="O60" i="29"/>
  <c r="O65" i="29"/>
  <c r="P44" i="29"/>
  <c r="P36" i="29"/>
  <c r="P28" i="29"/>
  <c r="P20" i="29"/>
  <c r="P78" i="29"/>
  <c r="J71" i="29"/>
  <c r="I108" i="29"/>
  <c r="I31" i="29"/>
  <c r="O67" i="29"/>
  <c r="O72" i="29"/>
  <c r="O83" i="29"/>
  <c r="P72" i="29"/>
  <c r="O32" i="29"/>
  <c r="J133" i="29"/>
  <c r="O77" i="29"/>
  <c r="O63" i="29"/>
  <c r="I82" i="29"/>
  <c r="I59" i="29"/>
  <c r="O49" i="29"/>
  <c r="P40" i="29"/>
  <c r="P32" i="29"/>
  <c r="P24" i="29"/>
  <c r="P16" i="29"/>
  <c r="P154" i="29"/>
  <c r="I35" i="29"/>
  <c r="I23"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AE114" i="29"/>
  <c r="J622" i="29"/>
  <c r="AE436" i="29"/>
  <c r="P626" i="29"/>
  <c r="O626" i="29"/>
  <c r="V626" i="29"/>
  <c r="U626" i="29"/>
  <c r="R626" i="29"/>
  <c r="J626" i="29"/>
  <c r="L626" i="29"/>
  <c r="K626" i="29"/>
  <c r="I626" i="29"/>
  <c r="T626" i="29"/>
  <c r="S626" i="29"/>
  <c r="Q626" i="29"/>
  <c r="AD595" i="29"/>
  <c r="AD578" i="29"/>
  <c r="V624" i="29"/>
  <c r="L624" i="29"/>
  <c r="S624" i="29"/>
  <c r="K624" i="29"/>
  <c r="P624" i="29"/>
  <c r="I624" i="29"/>
  <c r="R624" i="29"/>
  <c r="AD260" i="29"/>
  <c r="I622" i="29"/>
  <c r="U471" i="29"/>
  <c r="U427" i="29"/>
  <c r="U338" i="29"/>
  <c r="V338" i="29"/>
  <c r="U425" i="29"/>
  <c r="V425" i="29"/>
  <c r="U180" i="29"/>
  <c r="V180" i="29"/>
  <c r="U281" i="29"/>
  <c r="V281" i="29"/>
  <c r="U21" i="29"/>
  <c r="V21" i="29"/>
  <c r="U119" i="29"/>
  <c r="V119" i="29"/>
  <c r="U227" i="29"/>
  <c r="U211" i="29"/>
  <c r="V434" i="29"/>
  <c r="U231" i="29"/>
  <c r="U41" i="29"/>
  <c r="V41" i="29"/>
  <c r="V257" i="29"/>
  <c r="U574" i="29"/>
  <c r="V574" i="29"/>
  <c r="U81" i="29"/>
  <c r="V81" i="29"/>
  <c r="V66" i="29"/>
  <c r="U39" i="29"/>
  <c r="V39" i="29"/>
  <c r="D37" i="19"/>
  <c r="N108" i="24"/>
  <c r="R37" i="2"/>
  <c r="B54" i="19"/>
  <c r="D54" i="19" s="1"/>
  <c r="D42" i="19"/>
  <c r="B180" i="2"/>
  <c r="B80" i="2"/>
  <c r="M10" i="1"/>
  <c r="K10" i="1"/>
  <c r="B18" i="2"/>
  <c r="G10" i="25" s="1"/>
  <c r="B28" i="19"/>
  <c r="D28" i="19" s="1"/>
  <c r="B49" i="19"/>
  <c r="D49" i="19" s="1"/>
  <c r="R33" i="2"/>
  <c r="K39" i="16"/>
  <c r="K38" i="16"/>
  <c r="K37" i="16"/>
  <c r="K36" i="16"/>
  <c r="K45" i="16"/>
  <c r="J45" i="16"/>
  <c r="K33" i="16"/>
  <c r="J33" i="16"/>
  <c r="I33" i="16"/>
  <c r="H33" i="16"/>
  <c r="I34" i="16"/>
  <c r="H34" i="16"/>
  <c r="C37" i="16"/>
  <c r="D36" i="16"/>
  <c r="D35" i="16"/>
  <c r="J36" i="16"/>
  <c r="J37" i="16"/>
  <c r="H36" i="16"/>
  <c r="J44" i="16"/>
  <c r="I44" i="16"/>
  <c r="H44" i="16"/>
  <c r="A44" i="16"/>
  <c r="D37" i="16"/>
  <c r="F219" i="2"/>
  <c r="K41" i="16"/>
  <c r="J41" i="16"/>
  <c r="I36" i="16"/>
  <c r="C36" i="16"/>
  <c r="B34" i="16"/>
  <c r="A36" i="16"/>
  <c r="B225" i="2"/>
  <c r="A33" i="16"/>
  <c r="K44" i="16"/>
  <c r="M13" i="1"/>
  <c r="A2" i="28"/>
  <c r="A2" i="22"/>
  <c r="B17" i="2"/>
  <c r="B57" i="2" s="1"/>
  <c r="F218"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BL105" i="25" s="1"/>
  <c r="J104" i="25"/>
  <c r="J103" i="25"/>
  <c r="BL103" i="25" s="1"/>
  <c r="J102" i="25"/>
  <c r="BL102" i="25" s="1"/>
  <c r="J101" i="25"/>
  <c r="BL101" i="25" s="1"/>
  <c r="J100" i="25"/>
  <c r="J99" i="25"/>
  <c r="BL99" i="25" s="1"/>
  <c r="J98" i="25"/>
  <c r="J97" i="25"/>
  <c r="BL97" i="25" s="1"/>
  <c r="J96" i="25"/>
  <c r="J95" i="25"/>
  <c r="BL95" i="25" s="1"/>
  <c r="J94" i="25"/>
  <c r="BL94" i="25" s="1"/>
  <c r="J93" i="25"/>
  <c r="BL93" i="25" s="1"/>
  <c r="J92" i="25"/>
  <c r="BL92" i="25" s="1"/>
  <c r="J91" i="25"/>
  <c r="BL91" i="25" s="1"/>
  <c r="J90" i="25"/>
  <c r="J89" i="25"/>
  <c r="J88" i="25"/>
  <c r="BL88" i="25" s="1"/>
  <c r="J87" i="25"/>
  <c r="BL87" i="25" s="1"/>
  <c r="J86" i="25"/>
  <c r="BL86" i="25" s="1"/>
  <c r="J85" i="25"/>
  <c r="BL85" i="25" s="1"/>
  <c r="J84" i="25"/>
  <c r="BL84" i="25" s="1"/>
  <c r="J83" i="25"/>
  <c r="J82" i="25"/>
  <c r="J81" i="25"/>
  <c r="J80" i="25"/>
  <c r="BL80" i="25" s="1"/>
  <c r="J79" i="25"/>
  <c r="BL79" i="25" s="1"/>
  <c r="J78" i="25"/>
  <c r="J77" i="25"/>
  <c r="BL77" i="25" s="1"/>
  <c r="J76" i="25"/>
  <c r="BL76" i="25" s="1"/>
  <c r="J75" i="25"/>
  <c r="J74" i="25"/>
  <c r="BL74" i="25" s="1"/>
  <c r="J73" i="25"/>
  <c r="BL73" i="25" s="1"/>
  <c r="J72" i="25"/>
  <c r="BL72" i="25" s="1"/>
  <c r="J71" i="25"/>
  <c r="BL71" i="25" s="1"/>
  <c r="J70" i="25"/>
  <c r="BL70" i="25" s="1"/>
  <c r="J69" i="25"/>
  <c r="BL69" i="25" s="1"/>
  <c r="J68" i="25"/>
  <c r="BL68" i="25" s="1"/>
  <c r="J67" i="25"/>
  <c r="BL67" i="25" s="1"/>
  <c r="J66" i="25"/>
  <c r="J65" i="25"/>
  <c r="J64" i="25"/>
  <c r="BL64" i="25" s="1"/>
  <c r="J63" i="25"/>
  <c r="BL63" i="25" s="1"/>
  <c r="J62" i="25"/>
  <c r="BL62" i="25" s="1"/>
  <c r="J61" i="25"/>
  <c r="J60" i="25"/>
  <c r="BL60" i="25" s="1"/>
  <c r="J59" i="25"/>
  <c r="BL59" i="25" s="1"/>
  <c r="J58" i="25"/>
  <c r="BL58" i="25" s="1"/>
  <c r="J57" i="25"/>
  <c r="BL57" i="25" s="1"/>
  <c r="J56" i="25"/>
  <c r="BL56" i="25" s="1"/>
  <c r="J55" i="25"/>
  <c r="BL55" i="25" s="1"/>
  <c r="J54" i="25"/>
  <c r="J53" i="25"/>
  <c r="J52" i="25"/>
  <c r="J51" i="25"/>
  <c r="BL51" i="25" s="1"/>
  <c r="J50" i="25"/>
  <c r="J49" i="25"/>
  <c r="J48" i="25"/>
  <c r="BL48" i="25" s="1"/>
  <c r="J47" i="25"/>
  <c r="BL47" i="25" s="1"/>
  <c r="J46" i="25"/>
  <c r="BL46" i="25" s="1"/>
  <c r="J45" i="25"/>
  <c r="J44" i="25"/>
  <c r="BL44" i="25" s="1"/>
  <c r="J43" i="25"/>
  <c r="J42" i="25"/>
  <c r="J41" i="25"/>
  <c r="BL41" i="25" s="1"/>
  <c r="J40" i="25"/>
  <c r="BL40" i="25" s="1"/>
  <c r="J39" i="25"/>
  <c r="BL39" i="25" s="1"/>
  <c r="J38" i="25"/>
  <c r="J37" i="25"/>
  <c r="J36" i="25"/>
  <c r="BL36" i="25" s="1"/>
  <c r="J35" i="25"/>
  <c r="BL35" i="25" s="1"/>
  <c r="J34" i="25"/>
  <c r="BL34" i="25" s="1"/>
  <c r="J33" i="25"/>
  <c r="J32" i="25"/>
  <c r="BL32" i="25" s="1"/>
  <c r="J31" i="25"/>
  <c r="J30" i="25"/>
  <c r="J29" i="25"/>
  <c r="J28" i="25"/>
  <c r="BL28" i="25" s="1"/>
  <c r="J27" i="25"/>
  <c r="BL27" i="25" s="1"/>
  <c r="J26" i="25"/>
  <c r="J25" i="25"/>
  <c r="J24" i="25"/>
  <c r="BL24" i="25" s="1"/>
  <c r="J23" i="25"/>
  <c r="BL23" i="25" s="1"/>
  <c r="J22" i="25"/>
  <c r="BL22" i="25" s="1"/>
  <c r="J21" i="25"/>
  <c r="BL21" i="25" s="1"/>
  <c r="J20" i="25"/>
  <c r="BL20" i="25" s="1"/>
  <c r="J19" i="25"/>
  <c r="BL19" i="25" s="1"/>
  <c r="J18" i="25"/>
  <c r="J17" i="25"/>
  <c r="BL17" i="25" s="1"/>
  <c r="J16" i="25"/>
  <c r="BL16" i="25" s="1"/>
  <c r="J15" i="25"/>
  <c r="BL15" i="25" s="1"/>
  <c r="J14" i="25"/>
  <c r="BL14" i="25" s="1"/>
  <c r="J13" i="25"/>
  <c r="BL13" i="25" s="1"/>
  <c r="J12" i="25"/>
  <c r="J11" i="25"/>
  <c r="BL11" i="25" s="1"/>
  <c r="J10" i="25"/>
  <c r="J9" i="25"/>
  <c r="J8" i="25"/>
  <c r="J7" i="25"/>
  <c r="BL7" i="25" s="1"/>
  <c r="J6" i="25"/>
  <c r="BL6" i="25" s="1"/>
  <c r="AL5" i="25"/>
  <c r="J5" i="25"/>
  <c r="BL5" i="25" s="1"/>
  <c r="K12" i="1"/>
  <c r="K9" i="1"/>
  <c r="R41" i="2"/>
  <c r="R40" i="2"/>
  <c r="R38" i="2"/>
  <c r="R35" i="2"/>
  <c r="R32" i="2"/>
  <c r="R30" i="2"/>
  <c r="R29" i="2"/>
  <c r="R28" i="2"/>
  <c r="B113" i="2"/>
  <c r="B111" i="2"/>
  <c r="B83" i="2"/>
  <c r="B88" i="2" s="1"/>
  <c r="K24" i="1"/>
  <c r="D10" i="1"/>
  <c r="D11" i="1"/>
  <c r="D36" i="1"/>
  <c r="D12" i="1"/>
  <c r="D24" i="1"/>
  <c r="D21" i="1"/>
  <c r="D37" i="1"/>
  <c r="B171" i="2"/>
  <c r="I62" i="2"/>
  <c r="B269" i="2"/>
  <c r="B12" i="2"/>
  <c r="B218" i="2"/>
  <c r="A216" i="2"/>
  <c r="B58" i="2"/>
  <c r="D215" i="2"/>
  <c r="A215" i="2"/>
  <c r="D214" i="2"/>
  <c r="D270" i="2"/>
  <c r="F12" i="1"/>
  <c r="C233" i="2"/>
  <c r="C242" i="2"/>
  <c r="D242" i="2"/>
  <c r="B48" i="19"/>
  <c r="D48" i="19" s="1"/>
  <c r="M2" i="24" s="1"/>
  <c r="B82" i="2"/>
  <c r="B87" i="2" s="1"/>
  <c r="B130" i="2"/>
  <c r="B126" i="2"/>
  <c r="D3" i="8" s="1"/>
  <c r="D159" i="8" s="1"/>
  <c r="B103" i="2"/>
  <c r="B101" i="2"/>
  <c r="D33" i="1"/>
  <c r="AM5" i="24"/>
  <c r="AM216" i="24"/>
  <c r="AM110" i="24"/>
  <c r="I6" i="24"/>
  <c r="BM6" i="24" s="1"/>
  <c r="I7" i="24"/>
  <c r="BM7" i="24" s="1"/>
  <c r="I8" i="24"/>
  <c r="BM8" i="24" s="1"/>
  <c r="I9" i="24"/>
  <c r="BM9" i="24" s="1"/>
  <c r="I10" i="24"/>
  <c r="BM10" i="24" s="1"/>
  <c r="I11" i="24"/>
  <c r="BM11" i="24" s="1"/>
  <c r="I12" i="24"/>
  <c r="BM12" i="24" s="1"/>
  <c r="I13" i="24"/>
  <c r="BM13" i="24" s="1"/>
  <c r="I14" i="24"/>
  <c r="BM14" i="24" s="1"/>
  <c r="I15" i="24"/>
  <c r="BM15" i="24" s="1"/>
  <c r="I16" i="24"/>
  <c r="BM16" i="24" s="1"/>
  <c r="I17" i="24"/>
  <c r="BM17" i="24" s="1"/>
  <c r="I18" i="24"/>
  <c r="BM18" i="24" s="1"/>
  <c r="I19" i="24"/>
  <c r="BM19" i="24" s="1"/>
  <c r="I20" i="24"/>
  <c r="BM20" i="24" s="1"/>
  <c r="I21" i="24"/>
  <c r="BM21" i="24" s="1"/>
  <c r="I22" i="24"/>
  <c r="BM22" i="24" s="1"/>
  <c r="I23" i="24"/>
  <c r="BM23" i="24" s="1"/>
  <c r="I24" i="24"/>
  <c r="BM24" i="24" s="1"/>
  <c r="I25" i="24"/>
  <c r="BM25" i="24" s="1"/>
  <c r="I26" i="24"/>
  <c r="BM26" i="24" s="1"/>
  <c r="I27" i="24"/>
  <c r="BM27" i="24" s="1"/>
  <c r="I28" i="24"/>
  <c r="BM28" i="24" s="1"/>
  <c r="I29" i="24"/>
  <c r="BM29" i="24" s="1"/>
  <c r="I30" i="24"/>
  <c r="BM30" i="24" s="1"/>
  <c r="I31" i="24"/>
  <c r="BM31" i="24" s="1"/>
  <c r="I32" i="24"/>
  <c r="BM32" i="24" s="1"/>
  <c r="I33" i="24"/>
  <c r="BM33" i="24" s="1"/>
  <c r="I34" i="24"/>
  <c r="BM34" i="24" s="1"/>
  <c r="I35" i="24"/>
  <c r="BM35" i="24" s="1"/>
  <c r="I36" i="24"/>
  <c r="BM36" i="24" s="1"/>
  <c r="I37" i="24"/>
  <c r="BM37" i="24" s="1"/>
  <c r="I38" i="24"/>
  <c r="BM38" i="24" s="1"/>
  <c r="I39" i="24"/>
  <c r="BM39" i="24" s="1"/>
  <c r="I40" i="24"/>
  <c r="BM40" i="24" s="1"/>
  <c r="I41" i="24"/>
  <c r="BM41" i="24" s="1"/>
  <c r="I42" i="24"/>
  <c r="BM42" i="24" s="1"/>
  <c r="I43" i="24"/>
  <c r="BM43" i="24" s="1"/>
  <c r="I44" i="24"/>
  <c r="BM44" i="24" s="1"/>
  <c r="I45" i="24"/>
  <c r="I46" i="24"/>
  <c r="BM46" i="24" s="1"/>
  <c r="I47" i="24"/>
  <c r="BM47" i="24" s="1"/>
  <c r="I48" i="24"/>
  <c r="BM48" i="24" s="1"/>
  <c r="I49" i="24"/>
  <c r="BM49" i="24" s="1"/>
  <c r="I50" i="24"/>
  <c r="BM50" i="24" s="1"/>
  <c r="I51" i="24"/>
  <c r="BM51" i="24" s="1"/>
  <c r="I52" i="24"/>
  <c r="BM52" i="24" s="1"/>
  <c r="I53" i="24"/>
  <c r="BM53" i="24" s="1"/>
  <c r="I54" i="24"/>
  <c r="I55" i="24"/>
  <c r="BM55" i="24" s="1"/>
  <c r="I56" i="24"/>
  <c r="BM56" i="24" s="1"/>
  <c r="I57" i="24"/>
  <c r="BM57" i="24" s="1"/>
  <c r="I58" i="24"/>
  <c r="BM58" i="24" s="1"/>
  <c r="I59" i="24"/>
  <c r="BM59" i="24" s="1"/>
  <c r="I60" i="24"/>
  <c r="BM60" i="24" s="1"/>
  <c r="I61" i="24"/>
  <c r="BM61" i="24" s="1"/>
  <c r="I62" i="24"/>
  <c r="BM62" i="24" s="1"/>
  <c r="I63" i="24"/>
  <c r="BM63" i="24" s="1"/>
  <c r="I64" i="24"/>
  <c r="BM64" i="24" s="1"/>
  <c r="I65" i="24"/>
  <c r="BM65" i="24" s="1"/>
  <c r="I66" i="24"/>
  <c r="BM66" i="24" s="1"/>
  <c r="I67" i="24"/>
  <c r="BM67" i="24" s="1"/>
  <c r="I68" i="24"/>
  <c r="BM68" i="24" s="1"/>
  <c r="I69" i="24"/>
  <c r="BM69" i="24" s="1"/>
  <c r="I70" i="24"/>
  <c r="BM70" i="24" s="1"/>
  <c r="I71" i="24"/>
  <c r="BM71" i="24" s="1"/>
  <c r="I72" i="24"/>
  <c r="BM72" i="24" s="1"/>
  <c r="I73" i="24"/>
  <c r="BM73" i="24" s="1"/>
  <c r="I74" i="24"/>
  <c r="BM74" i="24" s="1"/>
  <c r="I75" i="24"/>
  <c r="BM75" i="24" s="1"/>
  <c r="I76" i="24"/>
  <c r="BM76" i="24" s="1"/>
  <c r="I77" i="24"/>
  <c r="BM77" i="24" s="1"/>
  <c r="I78" i="24"/>
  <c r="BM78" i="24" s="1"/>
  <c r="I79" i="24"/>
  <c r="BM79" i="24" s="1"/>
  <c r="I80" i="24"/>
  <c r="BM80" i="24" s="1"/>
  <c r="I81" i="24"/>
  <c r="BM81" i="24" s="1"/>
  <c r="I82" i="24"/>
  <c r="BM82" i="24" s="1"/>
  <c r="I83" i="24"/>
  <c r="BM83" i="24" s="1"/>
  <c r="I84" i="24"/>
  <c r="BM84" i="24" s="1"/>
  <c r="I85" i="24"/>
  <c r="BM85" i="24" s="1"/>
  <c r="I86" i="24"/>
  <c r="BM86" i="24" s="1"/>
  <c r="I87" i="24"/>
  <c r="BM87" i="24" s="1"/>
  <c r="I88" i="24"/>
  <c r="BM88" i="24" s="1"/>
  <c r="I89" i="24"/>
  <c r="BM89" i="24" s="1"/>
  <c r="I90" i="24"/>
  <c r="BM90" i="24" s="1"/>
  <c r="I91" i="24"/>
  <c r="BM91" i="24" s="1"/>
  <c r="I92" i="24"/>
  <c r="BM92" i="24" s="1"/>
  <c r="I93" i="24"/>
  <c r="I94" i="24"/>
  <c r="BM94" i="24" s="1"/>
  <c r="I95" i="24"/>
  <c r="BM95" i="24" s="1"/>
  <c r="I96" i="24"/>
  <c r="BM96" i="24" s="1"/>
  <c r="I97" i="24"/>
  <c r="BM97" i="24" s="1"/>
  <c r="I98" i="24"/>
  <c r="BM98" i="24" s="1"/>
  <c r="I99" i="24"/>
  <c r="BM99" i="24" s="1"/>
  <c r="I100" i="24"/>
  <c r="BM100" i="24" s="1"/>
  <c r="I101" i="24"/>
  <c r="BM101" i="24" s="1"/>
  <c r="I102" i="24"/>
  <c r="BM102" i="24" s="1"/>
  <c r="I103" i="24"/>
  <c r="BM103" i="24" s="1"/>
  <c r="I104" i="24"/>
  <c r="BM104" i="24" s="1"/>
  <c r="I105" i="24"/>
  <c r="BM105" i="24" s="1"/>
  <c r="I5" i="24"/>
  <c r="D21" i="19"/>
  <c r="D36" i="19"/>
  <c r="F12" i="19"/>
  <c r="D38" i="19"/>
  <c r="D35" i="19"/>
  <c r="B47" i="2"/>
  <c r="B168" i="2" s="1"/>
  <c r="B33" i="19"/>
  <c r="D33" i="19" s="1"/>
  <c r="F62" i="2"/>
  <c r="F56" i="2"/>
  <c r="D30" i="1"/>
  <c r="G243" i="2"/>
  <c r="C238" i="2"/>
  <c r="C239" i="2"/>
  <c r="A247" i="2"/>
  <c r="G57" i="2"/>
  <c r="A205" i="2"/>
  <c r="C251" i="2"/>
  <c r="C252" i="2" s="1"/>
  <c r="B153" i="2"/>
  <c r="B150" i="2"/>
  <c r="B62" i="2"/>
  <c r="K34" i="16"/>
  <c r="J34" i="16"/>
  <c r="K43" i="16"/>
  <c r="K42" i="16"/>
  <c r="J43" i="16"/>
  <c r="J42" i="16"/>
  <c r="I43" i="16"/>
  <c r="I42" i="16"/>
  <c r="H43" i="16"/>
  <c r="H42" i="16"/>
  <c r="J40" i="16"/>
  <c r="K40" i="16"/>
  <c r="K32" i="16"/>
  <c r="J32" i="16"/>
  <c r="K31" i="16"/>
  <c r="J31" i="16"/>
  <c r="T67" i="2"/>
  <c r="R67" i="2"/>
  <c r="B11" i="2"/>
  <c r="E52" i="1" s="1"/>
  <c r="E54" i="1" s="1"/>
  <c r="B26" i="19"/>
  <c r="D26" i="19" s="1"/>
  <c r="P325" i="25" s="1"/>
  <c r="N327" i="25" s="1"/>
  <c r="B20" i="19"/>
  <c r="D20" i="19" s="1"/>
  <c r="B27" i="19"/>
  <c r="D27" i="19" s="1"/>
  <c r="B8" i="2"/>
  <c r="B81" i="2"/>
  <c r="B86" i="2" s="1"/>
  <c r="B79" i="2"/>
  <c r="B129" i="2"/>
  <c r="B184" i="2" s="1"/>
  <c r="BP106" i="19"/>
  <c r="D46" i="19"/>
  <c r="A34" i="16"/>
  <c r="A43" i="16"/>
  <c r="A42" i="16"/>
  <c r="B267" i="2"/>
  <c r="B242" i="2"/>
  <c r="B238" i="2"/>
  <c r="J56" i="2"/>
  <c r="C235" i="2"/>
  <c r="B235" i="2"/>
  <c r="B32" i="19"/>
  <c r="D32" i="19" s="1"/>
  <c r="B31" i="19"/>
  <c r="D31" i="19" s="1"/>
  <c r="B30" i="19"/>
  <c r="D30" i="19" s="1"/>
  <c r="B8" i="19"/>
  <c r="D8" i="19" s="1"/>
  <c r="F91" i="19"/>
  <c r="F90" i="19"/>
  <c r="F89" i="19"/>
  <c r="D53" i="19"/>
  <c r="D52" i="19"/>
  <c r="D51" i="19"/>
  <c r="D45" i="19"/>
  <c r="D44" i="19"/>
  <c r="D41" i="19"/>
  <c r="D39" i="19"/>
  <c r="D29" i="19"/>
  <c r="D23" i="19"/>
  <c r="D22" i="19"/>
  <c r="D13" i="19"/>
  <c r="B187" i="2" s="1"/>
  <c r="D12" i="19"/>
  <c r="A31" i="16"/>
  <c r="B220" i="2"/>
  <c r="A219" i="2"/>
  <c r="J309" i="25"/>
  <c r="I6" i="8"/>
  <c r="J6" i="8" s="1"/>
  <c r="D40" i="16"/>
  <c r="C45" i="16"/>
  <c r="B152" i="2"/>
  <c r="B147" i="2"/>
  <c r="B205" i="2"/>
  <c r="B219" i="2"/>
  <c r="B138" i="2"/>
  <c r="B140" i="2" s="1"/>
  <c r="B3" i="8" s="1"/>
  <c r="B182" i="2"/>
  <c r="BC1" i="24" s="1"/>
  <c r="A34" i="8"/>
  <c r="A46" i="8" s="1"/>
  <c r="A35" i="8"/>
  <c r="A47" i="8" s="1"/>
  <c r="A36" i="8"/>
  <c r="A48" i="8" s="1"/>
  <c r="A60" i="8" s="1"/>
  <c r="A72" i="8" s="1"/>
  <c r="A84" i="8" s="1"/>
  <c r="A96" i="8" s="1"/>
  <c r="A37" i="8"/>
  <c r="A38" i="8"/>
  <c r="A39" i="8"/>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49" i="8"/>
  <c r="A61" i="8" s="1"/>
  <c r="A50" i="8"/>
  <c r="A62" i="8" s="1"/>
  <c r="A74" i="8" s="1"/>
  <c r="A86" i="8" s="1"/>
  <c r="A98" i="8" s="1"/>
  <c r="A110" i="8" s="1"/>
  <c r="A51" i="8"/>
  <c r="A53" i="8"/>
  <c r="A65" i="8" s="1"/>
  <c r="A55" i="8"/>
  <c r="A67" i="8" s="1"/>
  <c r="A79" i="8" s="1"/>
  <c r="A91" i="8" s="1"/>
  <c r="A58" i="8"/>
  <c r="A70" i="8" s="1"/>
  <c r="A59" i="8"/>
  <c r="A71" i="8" s="1"/>
  <c r="A83" i="8" s="1"/>
  <c r="A95" i="8" s="1"/>
  <c r="A107" i="8" s="1"/>
  <c r="A119" i="8" s="1"/>
  <c r="A131" i="8" s="1"/>
  <c r="A143" i="8" s="1"/>
  <c r="A155" i="8" s="1"/>
  <c r="A63" i="8"/>
  <c r="A75" i="8" s="1"/>
  <c r="A73" i="8"/>
  <c r="A85" i="8" s="1"/>
  <c r="A97" i="8" s="1"/>
  <c r="A77" i="8"/>
  <c r="A89" i="8" s="1"/>
  <c r="A101" i="8" s="1"/>
  <c r="A113" i="8" s="1"/>
  <c r="A125" i="8" s="1"/>
  <c r="A137" i="8" s="1"/>
  <c r="A149" i="8" s="1"/>
  <c r="A81" i="8"/>
  <c r="A93" i="8" s="1"/>
  <c r="A82" i="8"/>
  <c r="A94" i="8" s="1"/>
  <c r="A106" i="8" s="1"/>
  <c r="A118" i="8" s="1"/>
  <c r="A130" i="8" s="1"/>
  <c r="A142" i="8" s="1"/>
  <c r="A154" i="8" s="1"/>
  <c r="A87" i="8"/>
  <c r="A99" i="8" s="1"/>
  <c r="A111" i="8" s="1"/>
  <c r="A105" i="8"/>
  <c r="A117" i="8" s="1"/>
  <c r="A129" i="8" s="1"/>
  <c r="A109" i="8"/>
  <c r="A121" i="8" s="1"/>
  <c r="A133" i="8" s="1"/>
  <c r="A145" i="8" s="1"/>
  <c r="A157" i="8" s="1"/>
  <c r="A122" i="8"/>
  <c r="A134" i="8" s="1"/>
  <c r="A123" i="8"/>
  <c r="A135" i="8" s="1"/>
  <c r="A147" i="8" s="1"/>
  <c r="A159" i="8" s="1"/>
  <c r="A141" i="8"/>
  <c r="A153" i="8" s="1"/>
  <c r="A146" i="8"/>
  <c r="A158" i="8" s="1"/>
  <c r="E3" i="8"/>
  <c r="E159" i="8" s="1"/>
  <c r="A214" i="2"/>
  <c r="B214" i="2"/>
  <c r="I14" i="8"/>
  <c r="J13" i="8"/>
  <c r="J7" i="8"/>
  <c r="J14" i="8"/>
  <c r="L4" i="29"/>
  <c r="J210" i="25"/>
  <c r="BL210" i="25" s="1"/>
  <c r="J206" i="25"/>
  <c r="BL206" i="25" s="1"/>
  <c r="J202" i="25"/>
  <c r="J198" i="25"/>
  <c r="J194" i="25"/>
  <c r="BL194" i="25" s="1"/>
  <c r="J190" i="25"/>
  <c r="J182" i="25"/>
  <c r="J178" i="25"/>
  <c r="BL178" i="25" s="1"/>
  <c r="J174" i="25"/>
  <c r="J170" i="25"/>
  <c r="J166" i="25"/>
  <c r="J162" i="25"/>
  <c r="J158" i="25"/>
  <c r="J150" i="25"/>
  <c r="J146" i="25"/>
  <c r="BL146" i="25" s="1"/>
  <c r="J142" i="25"/>
  <c r="BL142" i="25" s="1"/>
  <c r="J138" i="25"/>
  <c r="BL138" i="25" s="1"/>
  <c r="J134" i="25"/>
  <c r="J130" i="25"/>
  <c r="J126" i="25"/>
  <c r="J118" i="25"/>
  <c r="BL118" i="25" s="1"/>
  <c r="J114" i="25"/>
  <c r="BL114" i="25" s="1"/>
  <c r="J207" i="25"/>
  <c r="BL207" i="25" s="1"/>
  <c r="J179" i="25"/>
  <c r="J167" i="25"/>
  <c r="BL167" i="25" s="1"/>
  <c r="J155" i="25"/>
  <c r="BL155" i="25" s="1"/>
  <c r="J147" i="25"/>
  <c r="BL147" i="25" s="1"/>
  <c r="J119" i="25"/>
  <c r="J111" i="25"/>
  <c r="J209" i="25"/>
  <c r="BL209" i="25" s="1"/>
  <c r="J205" i="25"/>
  <c r="J201" i="25"/>
  <c r="BL201" i="25" s="1"/>
  <c r="J197" i="25"/>
  <c r="BL197" i="25" s="1"/>
  <c r="J193" i="25"/>
  <c r="J185" i="25"/>
  <c r="BL185" i="25" s="1"/>
  <c r="J181" i="25"/>
  <c r="J177" i="25"/>
  <c r="J173" i="25"/>
  <c r="BL173" i="25" s="1"/>
  <c r="J169" i="25"/>
  <c r="BL169" i="25" s="1"/>
  <c r="J165" i="25"/>
  <c r="BL165" i="25" s="1"/>
  <c r="J161" i="25"/>
  <c r="BL161" i="25" s="1"/>
  <c r="J157" i="25"/>
  <c r="BL157" i="25" s="1"/>
  <c r="J153" i="25"/>
  <c r="J149" i="25"/>
  <c r="J145" i="25"/>
  <c r="BL145" i="25" s="1"/>
  <c r="J141" i="25"/>
  <c r="BL141" i="25" s="1"/>
  <c r="J137" i="25"/>
  <c r="J133" i="25"/>
  <c r="BL133" i="25" s="1"/>
  <c r="J129" i="25"/>
  <c r="BL129" i="25" s="1"/>
  <c r="J125" i="25"/>
  <c r="J121" i="25"/>
  <c r="J117" i="25"/>
  <c r="J113" i="25"/>
  <c r="J110" i="25"/>
  <c r="BL110" i="25" s="1"/>
  <c r="J203" i="25"/>
  <c r="BL203" i="25" s="1"/>
  <c r="J195" i="25"/>
  <c r="J191" i="25"/>
  <c r="BL191" i="25" s="1"/>
  <c r="J187" i="25"/>
  <c r="J175" i="25"/>
  <c r="J159" i="25"/>
  <c r="J139" i="25"/>
  <c r="J127" i="25"/>
  <c r="BL127" i="25" s="1"/>
  <c r="J208" i="25"/>
  <c r="BL208" i="25" s="1"/>
  <c r="J204" i="25"/>
  <c r="BL204" i="25" s="1"/>
  <c r="J200" i="25"/>
  <c r="J196" i="25"/>
  <c r="J192" i="25"/>
  <c r="J188" i="25"/>
  <c r="J184" i="25"/>
  <c r="J180" i="25"/>
  <c r="J176" i="25"/>
  <c r="J172" i="25"/>
  <c r="BL172" i="25" s="1"/>
  <c r="J168" i="25"/>
  <c r="J164" i="25"/>
  <c r="BL164" i="25" s="1"/>
  <c r="J160" i="25"/>
  <c r="BL160" i="25" s="1"/>
  <c r="J156" i="25"/>
  <c r="J152" i="25"/>
  <c r="BL152" i="25" s="1"/>
  <c r="J148" i="25"/>
  <c r="J144" i="25"/>
  <c r="BL144" i="25" s="1"/>
  <c r="J140" i="25"/>
  <c r="BL140" i="25" s="1"/>
  <c r="J136" i="25"/>
  <c r="BL136" i="25" s="1"/>
  <c r="J132" i="25"/>
  <c r="BL132" i="25" s="1"/>
  <c r="J128" i="25"/>
  <c r="J124" i="25"/>
  <c r="J120" i="25"/>
  <c r="BL120" i="25" s="1"/>
  <c r="J116" i="25"/>
  <c r="BL116" i="25" s="1"/>
  <c r="J112" i="25"/>
  <c r="BL112" i="25" s="1"/>
  <c r="J199" i="25"/>
  <c r="J183" i="25"/>
  <c r="J171" i="25"/>
  <c r="BL171" i="25" s="1"/>
  <c r="J163" i="25"/>
  <c r="BL163" i="25" s="1"/>
  <c r="J151" i="25"/>
  <c r="J143" i="25"/>
  <c r="J131" i="25"/>
  <c r="BL131" i="25" s="1"/>
  <c r="J123" i="25"/>
  <c r="BL123" i="25" s="1"/>
  <c r="J115" i="25"/>
  <c r="BL115" i="25" s="1"/>
  <c r="J313" i="25"/>
  <c r="J277" i="25"/>
  <c r="J249" i="25"/>
  <c r="J245" i="25"/>
  <c r="J229" i="25"/>
  <c r="J288" i="25"/>
  <c r="J268" i="25"/>
  <c r="J256" i="25"/>
  <c r="J252" i="25"/>
  <c r="J303" i="25"/>
  <c r="J287" i="25"/>
  <c r="J271" i="25"/>
  <c r="J259" i="25"/>
  <c r="J223" i="25"/>
  <c r="J298" i="25"/>
  <c r="J294" i="25"/>
  <c r="J266" i="25"/>
  <c r="J226" i="25"/>
  <c r="B188" i="2"/>
  <c r="I113" i="24"/>
  <c r="BM113" i="24" s="1"/>
  <c r="I117" i="24"/>
  <c r="BM117" i="24" s="1"/>
  <c r="I121" i="24"/>
  <c r="I125" i="24"/>
  <c r="BM125" i="24" s="1"/>
  <c r="I129" i="24"/>
  <c r="BM129" i="24" s="1"/>
  <c r="I133" i="24"/>
  <c r="I137" i="24"/>
  <c r="BM137" i="24" s="1"/>
  <c r="I141" i="24"/>
  <c r="I145" i="24"/>
  <c r="BM145" i="24" s="1"/>
  <c r="I149" i="24"/>
  <c r="BM149" i="24" s="1"/>
  <c r="I153" i="24"/>
  <c r="BM153" i="24" s="1"/>
  <c r="I157" i="24"/>
  <c r="BM157" i="24" s="1"/>
  <c r="I161" i="24"/>
  <c r="BM161" i="24" s="1"/>
  <c r="I165" i="24"/>
  <c r="BM165" i="24" s="1"/>
  <c r="I169" i="24"/>
  <c r="I173" i="24"/>
  <c r="I177" i="24"/>
  <c r="BM177" i="24" s="1"/>
  <c r="I181" i="24"/>
  <c r="BM181" i="24" s="1"/>
  <c r="I185" i="24"/>
  <c r="BM185" i="24" s="1"/>
  <c r="I189" i="24"/>
  <c r="I193" i="24"/>
  <c r="BM193" i="24" s="1"/>
  <c r="I197" i="24"/>
  <c r="I201" i="24"/>
  <c r="I205" i="24"/>
  <c r="I209" i="24"/>
  <c r="I114" i="24"/>
  <c r="BM114" i="24" s="1"/>
  <c r="I118" i="24"/>
  <c r="I122" i="24"/>
  <c r="I126" i="24"/>
  <c r="BM126" i="24" s="1"/>
  <c r="I130" i="24"/>
  <c r="BM130" i="24" s="1"/>
  <c r="I134" i="24"/>
  <c r="I138" i="24"/>
  <c r="I116" i="24"/>
  <c r="BM116" i="24" s="1"/>
  <c r="I124" i="24"/>
  <c r="I132" i="24"/>
  <c r="BM132" i="24" s="1"/>
  <c r="I140" i="24"/>
  <c r="BM140" i="24" s="1"/>
  <c r="I146" i="24"/>
  <c r="I151" i="24"/>
  <c r="BM151" i="24" s="1"/>
  <c r="I156" i="24"/>
  <c r="BM156" i="24" s="1"/>
  <c r="I162" i="24"/>
  <c r="I167" i="24"/>
  <c r="I172" i="24"/>
  <c r="BM172" i="24" s="1"/>
  <c r="I178" i="24"/>
  <c r="I183" i="24"/>
  <c r="BM183" i="24" s="1"/>
  <c r="I188" i="24"/>
  <c r="BM188" i="24" s="1"/>
  <c r="I194" i="24"/>
  <c r="BM194" i="24" s="1"/>
  <c r="I199" i="24"/>
  <c r="I204" i="24"/>
  <c r="I210" i="24"/>
  <c r="BM210" i="24" s="1"/>
  <c r="I111" i="24"/>
  <c r="I119" i="24"/>
  <c r="I127" i="24"/>
  <c r="BM127" i="24" s="1"/>
  <c r="I135" i="24"/>
  <c r="BM135" i="24" s="1"/>
  <c r="I142" i="24"/>
  <c r="BM142" i="24" s="1"/>
  <c r="I147" i="24"/>
  <c r="I152" i="24"/>
  <c r="I158" i="24"/>
  <c r="BM158" i="24" s="1"/>
  <c r="I163" i="24"/>
  <c r="BM163" i="24" s="1"/>
  <c r="I168" i="24"/>
  <c r="BM168" i="24" s="1"/>
  <c r="I174" i="24"/>
  <c r="BM174" i="24" s="1"/>
  <c r="I179" i="24"/>
  <c r="BM179" i="24" s="1"/>
  <c r="I184" i="24"/>
  <c r="BM184" i="24" s="1"/>
  <c r="I190" i="24"/>
  <c r="I195" i="24"/>
  <c r="I200" i="24"/>
  <c r="BM200" i="24" s="1"/>
  <c r="I206" i="24"/>
  <c r="BM206" i="24" s="1"/>
  <c r="I110" i="24"/>
  <c r="I112" i="24"/>
  <c r="I120" i="24"/>
  <c r="BM120" i="24" s="1"/>
  <c r="I128" i="24"/>
  <c r="I136" i="24"/>
  <c r="BM136" i="24" s="1"/>
  <c r="I143" i="24"/>
  <c r="I148" i="24"/>
  <c r="I154" i="24"/>
  <c r="BM154" i="24" s="1"/>
  <c r="I159" i="24"/>
  <c r="BM159" i="24" s="1"/>
  <c r="I164" i="24"/>
  <c r="BM164" i="24" s="1"/>
  <c r="I170" i="24"/>
  <c r="I175" i="24"/>
  <c r="BM175" i="24" s="1"/>
  <c r="I180" i="24"/>
  <c r="I186" i="24"/>
  <c r="I191" i="24"/>
  <c r="BM191" i="24" s="1"/>
  <c r="I196" i="24"/>
  <c r="BM196" i="24" s="1"/>
  <c r="I202" i="24"/>
  <c r="BM202" i="24" s="1"/>
  <c r="I207" i="24"/>
  <c r="BM207" i="24" s="1"/>
  <c r="I115" i="24"/>
  <c r="BM115" i="24" s="1"/>
  <c r="I123" i="24"/>
  <c r="BM123" i="24" s="1"/>
  <c r="I131" i="24"/>
  <c r="BM131" i="24" s="1"/>
  <c r="I139" i="24"/>
  <c r="I144" i="24"/>
  <c r="I150" i="24"/>
  <c r="I155" i="24"/>
  <c r="I160" i="24"/>
  <c r="I166" i="24"/>
  <c r="BM166" i="24" s="1"/>
  <c r="I171" i="24"/>
  <c r="BM171" i="24" s="1"/>
  <c r="I176" i="24"/>
  <c r="BM176" i="24" s="1"/>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6" i="2"/>
  <c r="G35" i="16"/>
  <c r="B195" i="2"/>
  <c r="B196" i="2"/>
  <c r="I18" i="8"/>
  <c r="J18" i="8"/>
  <c r="G247" i="2"/>
  <c r="B231" i="2"/>
  <c r="K55" i="2"/>
  <c r="K56" i="2"/>
  <c r="D231" i="2"/>
  <c r="B230" i="2"/>
  <c r="C231" i="2"/>
  <c r="B236" i="2"/>
  <c r="D18" i="19"/>
  <c r="AO2" i="19"/>
  <c r="H247" i="2"/>
  <c r="F247" i="2"/>
  <c r="BQ106" i="19"/>
  <c r="BV106" i="19"/>
  <c r="CB106" i="19"/>
  <c r="BW106" i="19"/>
  <c r="CC106" i="19"/>
  <c r="F64" i="19"/>
  <c r="F65" i="19"/>
  <c r="B263" i="2"/>
  <c r="BU106" i="19"/>
  <c r="CA106" i="19"/>
  <c r="U405" i="29" l="1"/>
  <c r="AO598" i="29"/>
  <c r="V154" i="29"/>
  <c r="AO242" i="29"/>
  <c r="AO24" i="29"/>
  <c r="V148" i="29"/>
  <c r="U288" i="29"/>
  <c r="AO510" i="29"/>
  <c r="V510" i="29" s="1"/>
  <c r="AO548" i="29"/>
  <c r="U548" i="29" s="1"/>
  <c r="AO322" i="29"/>
  <c r="U322" i="29" s="1"/>
  <c r="AO299" i="29"/>
  <c r="V299" i="29" s="1"/>
  <c r="AO347" i="29"/>
  <c r="V347" i="29" s="1"/>
  <c r="V388" i="29"/>
  <c r="U70" i="29"/>
  <c r="AO55" i="29"/>
  <c r="AO213" i="29"/>
  <c r="AO498" i="29"/>
  <c r="AE473" i="29"/>
  <c r="AD145" i="29"/>
  <c r="AO306" i="29"/>
  <c r="AE374" i="29"/>
  <c r="U610" i="29"/>
  <c r="AO279" i="29"/>
  <c r="AO311" i="29"/>
  <c r="U311" i="29" s="1"/>
  <c r="AO396" i="29"/>
  <c r="AO487" i="29"/>
  <c r="AO387" i="29"/>
  <c r="U387" i="29" s="1"/>
  <c r="AD248" i="29"/>
  <c r="AD27" i="29"/>
  <c r="V168" i="29"/>
  <c r="C38" i="16"/>
  <c r="D38" i="16"/>
  <c r="Q5" i="29"/>
  <c r="M268" i="29" s="1"/>
  <c r="AG268" i="29" s="1"/>
  <c r="N322" i="25"/>
  <c r="O329" i="25" s="1"/>
  <c r="A206" i="2"/>
  <c r="I325" i="24"/>
  <c r="G327" i="24" s="1"/>
  <c r="H329" i="24" s="1"/>
  <c r="I23" i="8" s="1"/>
  <c r="J23" i="8" s="1"/>
  <c r="I325" i="25"/>
  <c r="G327" i="25" s="1"/>
  <c r="C39" i="16"/>
  <c r="D39" i="16"/>
  <c r="G322" i="25"/>
  <c r="G322" i="24"/>
  <c r="H110" i="25"/>
  <c r="BB322" i="24"/>
  <c r="C41" i="16"/>
  <c r="D41" i="16" s="1"/>
  <c r="I10" i="8"/>
  <c r="J10" i="8" s="1"/>
  <c r="B169" i="2" s="1"/>
  <c r="B233" i="2" s="1"/>
  <c r="B50" i="19"/>
  <c r="D50" i="19" s="1"/>
  <c r="AE37" i="29"/>
  <c r="AD170" i="29"/>
  <c r="AE55" i="29"/>
  <c r="AD120" i="29"/>
  <c r="AE110" i="29"/>
  <c r="AE139" i="29"/>
  <c r="AD274" i="29"/>
  <c r="AD310" i="29"/>
  <c r="AE396" i="29"/>
  <c r="AE414" i="29"/>
  <c r="AE144" i="29"/>
  <c r="AD443" i="29"/>
  <c r="AE556" i="29"/>
  <c r="AD112" i="29"/>
  <c r="V486" i="29"/>
  <c r="AO314" i="29"/>
  <c r="AO232" i="29"/>
  <c r="V232" i="29" s="1"/>
  <c r="AO401" i="29"/>
  <c r="U401" i="29" s="1"/>
  <c r="AO143" i="29"/>
  <c r="AD503" i="29"/>
  <c r="AD246" i="29"/>
  <c r="AE231" i="29"/>
  <c r="AE579" i="29"/>
  <c r="AO528" i="29"/>
  <c r="U528" i="29" s="1"/>
  <c r="AO258" i="29"/>
  <c r="AO346" i="29"/>
  <c r="V346" i="29" s="1"/>
  <c r="AO192" i="29"/>
  <c r="AO130" i="29"/>
  <c r="U31" i="29"/>
  <c r="AO155" i="29"/>
  <c r="AE77" i="29"/>
  <c r="AE511" i="29"/>
  <c r="AE603" i="29"/>
  <c r="AO280" i="29"/>
  <c r="U280" i="29" s="1"/>
  <c r="AE287" i="29"/>
  <c r="AD259" i="29"/>
  <c r="V271" i="29"/>
  <c r="AD23" i="29"/>
  <c r="AE106" i="29"/>
  <c r="AD208" i="29"/>
  <c r="M1" i="24"/>
  <c r="BP110" i="25"/>
  <c r="U2" i="24"/>
  <c r="U291" i="29"/>
  <c r="V329" i="29"/>
  <c r="AO354" i="29"/>
  <c r="U354" i="29" s="1"/>
  <c r="U96" i="29"/>
  <c r="AO150" i="29"/>
  <c r="U150" i="29" s="1"/>
  <c r="V72" i="29"/>
  <c r="AO225" i="29"/>
  <c r="V225" i="29" s="1"/>
  <c r="AO163" i="29"/>
  <c r="AO183" i="29"/>
  <c r="U183" i="29" s="1"/>
  <c r="AO160" i="29"/>
  <c r="AO40" i="29"/>
  <c r="V40" i="29" s="1"/>
  <c r="AD487" i="29"/>
  <c r="A233" i="2"/>
  <c r="B224" i="2"/>
  <c r="D31" i="16" s="1"/>
  <c r="AD169" i="29"/>
  <c r="AD348" i="29"/>
  <c r="V112" i="29"/>
  <c r="AO23" i="29"/>
  <c r="V23" i="29" s="1"/>
  <c r="AD185" i="29"/>
  <c r="AD375" i="29"/>
  <c r="AE29" i="29"/>
  <c r="AE93" i="29"/>
  <c r="AE246" i="29"/>
  <c r="AE136" i="29"/>
  <c r="AD342" i="29"/>
  <c r="AE305" i="29"/>
  <c r="AD399" i="29"/>
  <c r="AD303" i="29"/>
  <c r="AD108" i="29"/>
  <c r="AE100" i="29"/>
  <c r="AE308" i="29"/>
  <c r="AE430" i="29"/>
  <c r="E31" i="23"/>
  <c r="R31" i="23" s="1"/>
  <c r="S625" i="29"/>
  <c r="V322" i="29"/>
  <c r="P625" i="29"/>
  <c r="AD573" i="29"/>
  <c r="AE232" i="29"/>
  <c r="AO542" i="29"/>
  <c r="V542" i="29" s="1"/>
  <c r="AO523" i="29"/>
  <c r="AD517" i="29"/>
  <c r="AD130" i="29"/>
  <c r="AE189" i="29"/>
  <c r="AD471" i="29"/>
  <c r="AE500" i="29"/>
  <c r="AE198" i="29"/>
  <c r="K203" i="24"/>
  <c r="M160" i="24"/>
  <c r="N160" i="24" s="1"/>
  <c r="P160" i="24" s="1"/>
  <c r="K112" i="24"/>
  <c r="K122" i="24"/>
  <c r="V145" i="29"/>
  <c r="V140" i="29"/>
  <c r="O625" i="29"/>
  <c r="AD70" i="29"/>
  <c r="AD285" i="29"/>
  <c r="AE172" i="29"/>
  <c r="AE171" i="29"/>
  <c r="V288" i="29"/>
  <c r="AO540" i="29"/>
  <c r="R625" i="29"/>
  <c r="AD337" i="29"/>
  <c r="AD363" i="29"/>
  <c r="AD212" i="29"/>
  <c r="AE204" i="29"/>
  <c r="AD334" i="29"/>
  <c r="AE605" i="29"/>
  <c r="AD202" i="29"/>
  <c r="AD317" i="29"/>
  <c r="AE602" i="29"/>
  <c r="AO501" i="29"/>
  <c r="U611" i="29"/>
  <c r="V512" i="29"/>
  <c r="AO575" i="29"/>
  <c r="V575" i="29" s="1"/>
  <c r="AO554" i="29"/>
  <c r="V554" i="29" s="1"/>
  <c r="AO533" i="29"/>
  <c r="V487" i="29"/>
  <c r="AO467" i="29"/>
  <c r="U467" i="29" s="1"/>
  <c r="AO447" i="29"/>
  <c r="V447" i="29" s="1"/>
  <c r="M111" i="24"/>
  <c r="N111" i="24" s="1"/>
  <c r="P111" i="24" s="1"/>
  <c r="V625" i="29"/>
  <c r="AE388" i="29"/>
  <c r="U62" i="29"/>
  <c r="AO204" i="29"/>
  <c r="B206" i="2"/>
  <c r="AE67" i="29"/>
  <c r="AE186" i="29"/>
  <c r="K309" i="24"/>
  <c r="L199" i="25"/>
  <c r="N195" i="25"/>
  <c r="L179" i="25"/>
  <c r="V198" i="29"/>
  <c r="U486" i="29"/>
  <c r="T625" i="29"/>
  <c r="AD593" i="29"/>
  <c r="AO402" i="29"/>
  <c r="V402" i="29" s="1"/>
  <c r="K625" i="29"/>
  <c r="AD256" i="29"/>
  <c r="AD151" i="29"/>
  <c r="AD203" i="29"/>
  <c r="AE345" i="29"/>
  <c r="AE165" i="29"/>
  <c r="AD373" i="29"/>
  <c r="AE404" i="29"/>
  <c r="AD374" i="29"/>
  <c r="AE528" i="29"/>
  <c r="AD597" i="29"/>
  <c r="M150" i="24"/>
  <c r="N150" i="24" s="1"/>
  <c r="P150" i="24" s="1"/>
  <c r="U223" i="29"/>
  <c r="AD325" i="29"/>
  <c r="AD564" i="29"/>
  <c r="AE196" i="29"/>
  <c r="AE498" i="29"/>
  <c r="AD174" i="29"/>
  <c r="AE274" i="29"/>
  <c r="AD271" i="29"/>
  <c r="F15" i="23"/>
  <c r="G15" i="23" s="1"/>
  <c r="H15" i="23" s="1"/>
  <c r="F6" i="23"/>
  <c r="G6" i="23" s="1"/>
  <c r="H6" i="23" s="1"/>
  <c r="F27" i="23"/>
  <c r="G27" i="23" s="1"/>
  <c r="H27" i="23" s="1"/>
  <c r="I71" i="23"/>
  <c r="I45" i="23"/>
  <c r="N180" i="25"/>
  <c r="AD292" i="29"/>
  <c r="AD545" i="29"/>
  <c r="AO494" i="29"/>
  <c r="U494" i="29" s="1"/>
  <c r="V467" i="29"/>
  <c r="AO429" i="29"/>
  <c r="V429" i="29" s="1"/>
  <c r="V394" i="29"/>
  <c r="U329" i="29"/>
  <c r="U293" i="29"/>
  <c r="AO334" i="29"/>
  <c r="U334" i="29" s="1"/>
  <c r="AO290" i="29"/>
  <c r="U290" i="29" s="1"/>
  <c r="M155" i="24"/>
  <c r="N155" i="24" s="1"/>
  <c r="P155" i="24" s="1"/>
  <c r="K178" i="24"/>
  <c r="N271" i="25"/>
  <c r="N176" i="25"/>
  <c r="L137" i="25"/>
  <c r="N205" i="25"/>
  <c r="N182" i="25"/>
  <c r="C31" i="16"/>
  <c r="B226" i="2"/>
  <c r="AE281" i="29"/>
  <c r="AE268" i="29"/>
  <c r="AD532" i="29"/>
  <c r="AD126" i="29"/>
  <c r="AE57" i="29"/>
  <c r="AO466" i="29"/>
  <c r="U466" i="29" s="1"/>
  <c r="AO530" i="29"/>
  <c r="AO568" i="29"/>
  <c r="V568" i="29" s="1"/>
  <c r="AO305" i="29"/>
  <c r="V305" i="29" s="1"/>
  <c r="S59" i="2"/>
  <c r="R59" i="2" s="1"/>
  <c r="M144" i="24"/>
  <c r="N144" i="24" s="1"/>
  <c r="P144" i="24" s="1"/>
  <c r="M148" i="24"/>
  <c r="N148" i="24" s="1"/>
  <c r="P148" i="24" s="1"/>
  <c r="K167" i="24"/>
  <c r="M209" i="24"/>
  <c r="N209" i="24" s="1"/>
  <c r="P209" i="24" s="1"/>
  <c r="N177" i="25"/>
  <c r="K54" i="2"/>
  <c r="V370" i="29"/>
  <c r="AD72" i="29"/>
  <c r="AE108" i="29"/>
  <c r="AD418" i="29"/>
  <c r="AE433" i="29"/>
  <c r="AE146" i="29"/>
  <c r="AD372" i="29"/>
  <c r="AD280" i="29"/>
  <c r="AD166" i="29"/>
  <c r="AE201" i="29"/>
  <c r="AD264" i="29"/>
  <c r="AE236" i="29"/>
  <c r="AD125" i="29"/>
  <c r="AD217" i="29"/>
  <c r="AE99" i="29"/>
  <c r="AE584" i="29"/>
  <c r="AE130" i="29"/>
  <c r="AD293" i="29"/>
  <c r="U512" i="29"/>
  <c r="AD437" i="29"/>
  <c r="AD526" i="29"/>
  <c r="AO609" i="29"/>
  <c r="U609" i="29" s="1"/>
  <c r="AO282" i="29"/>
  <c r="V282" i="29" s="1"/>
  <c r="AO156" i="29"/>
  <c r="AO135" i="29"/>
  <c r="M315" i="24"/>
  <c r="N315" i="24" s="1"/>
  <c r="P315" i="24" s="1"/>
  <c r="AD14" i="29"/>
  <c r="V409" i="29"/>
  <c r="AD127" i="29"/>
  <c r="AD138" i="29"/>
  <c r="AE169" i="29"/>
  <c r="AD537" i="29"/>
  <c r="AE53" i="29"/>
  <c r="AD488" i="29"/>
  <c r="AE225" i="29"/>
  <c r="AE416" i="29"/>
  <c r="AD134" i="29"/>
  <c r="AE457" i="29"/>
  <c r="AD149" i="29"/>
  <c r="AD214" i="29"/>
  <c r="AE311" i="29"/>
  <c r="AD586"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U487" i="29"/>
  <c r="V548" i="29"/>
  <c r="AD31" i="29"/>
  <c r="U271" i="29"/>
  <c r="U234" i="29"/>
  <c r="AD309" i="29"/>
  <c r="AD188" i="29"/>
  <c r="AE286" i="29"/>
  <c r="AE263" i="29"/>
  <c r="AD225" i="29"/>
  <c r="AE141" i="29"/>
  <c r="AD226" i="29"/>
  <c r="AD122" i="29"/>
  <c r="AE294" i="29"/>
  <c r="AE293" i="29"/>
  <c r="AD613" i="29"/>
  <c r="AD603" i="29"/>
  <c r="AO613" i="29"/>
  <c r="AO238" i="29"/>
  <c r="I53" i="23"/>
  <c r="B30" i="2"/>
  <c r="AW2" i="25" s="1"/>
  <c r="F28" i="1"/>
  <c r="E9" i="23"/>
  <c r="R9" i="23" s="1"/>
  <c r="H216" i="24"/>
  <c r="M128" i="24"/>
  <c r="N128" i="24" s="1"/>
  <c r="P128" i="24" s="1"/>
  <c r="K197" i="24"/>
  <c r="H5" i="25"/>
  <c r="L196" i="25"/>
  <c r="N187" i="25"/>
  <c r="AE241" i="29"/>
  <c r="AD425" i="29"/>
  <c r="AO504" i="29"/>
  <c r="U504" i="29" s="1"/>
  <c r="U72" i="29"/>
  <c r="F63" i="23"/>
  <c r="G63" i="23" s="1"/>
  <c r="H63" i="23" s="1"/>
  <c r="E52" i="23"/>
  <c r="R52" i="23" s="1"/>
  <c r="K302" i="24"/>
  <c r="K170" i="24"/>
  <c r="M146" i="24"/>
  <c r="N146" i="24" s="1"/>
  <c r="P146" i="24" s="1"/>
  <c r="AD194" i="29"/>
  <c r="AD86" i="29"/>
  <c r="AE253" i="29"/>
  <c r="AE218" i="29"/>
  <c r="AE317" i="29"/>
  <c r="AD466" i="29"/>
  <c r="AE491" i="29"/>
  <c r="AD239" i="29"/>
  <c r="AE576" i="29"/>
  <c r="AD88" i="29"/>
  <c r="AE85" i="29"/>
  <c r="AO88" i="29"/>
  <c r="U88" i="29" s="1"/>
  <c r="D76" i="2"/>
  <c r="B90" i="2"/>
  <c r="L6" i="1" s="1"/>
  <c r="U598" i="29"/>
  <c r="V598" i="29"/>
  <c r="V396" i="29"/>
  <c r="U396" i="29"/>
  <c r="V255" i="29"/>
  <c r="V178" i="29"/>
  <c r="AE181" i="29"/>
  <c r="AE185" i="29"/>
  <c r="AO503" i="29"/>
  <c r="AO500" i="29"/>
  <c r="AO433" i="29"/>
  <c r="AO515" i="29"/>
  <c r="AO495" i="29"/>
  <c r="U495" i="29" s="1"/>
  <c r="U426" i="29"/>
  <c r="AO292" i="29"/>
  <c r="V386" i="29"/>
  <c r="AD131" i="29"/>
  <c r="AO518" i="29"/>
  <c r="U518" i="29" s="1"/>
  <c r="AO415" i="29"/>
  <c r="V291" i="29"/>
  <c r="AE531" i="29"/>
  <c r="AE124" i="29"/>
  <c r="AE156" i="29"/>
  <c r="AD448" i="29"/>
  <c r="U394" i="29"/>
  <c r="AO243" i="29"/>
  <c r="AO368" i="29"/>
  <c r="U368" i="29" s="1"/>
  <c r="AO348" i="29"/>
  <c r="V348" i="29" s="1"/>
  <c r="U304" i="29"/>
  <c r="AO151" i="29"/>
  <c r="U114" i="29"/>
  <c r="U163" i="29"/>
  <c r="AO57" i="29"/>
  <c r="V57" i="29" s="1"/>
  <c r="AO124" i="29"/>
  <c r="V124" i="29" s="1"/>
  <c r="AO93" i="29"/>
  <c r="U195" i="29"/>
  <c r="AO193" i="29"/>
  <c r="U193" i="29" s="1"/>
  <c r="AO144" i="29"/>
  <c r="U144" i="29" s="1"/>
  <c r="AO92" i="29"/>
  <c r="AO44" i="29"/>
  <c r="V44" i="29" s="1"/>
  <c r="AD559" i="29"/>
  <c r="AD394" i="29"/>
  <c r="AO602" i="29"/>
  <c r="AO452" i="29"/>
  <c r="U452" i="29" s="1"/>
  <c r="U588" i="29"/>
  <c r="V411" i="29"/>
  <c r="BL187" i="25"/>
  <c r="V223" i="29"/>
  <c r="B250" i="2"/>
  <c r="AD49" i="29"/>
  <c r="AD83" i="29"/>
  <c r="AD42" i="29"/>
  <c r="V389" i="29"/>
  <c r="U308" i="29"/>
  <c r="AE31" i="29"/>
  <c r="AD99" i="29"/>
  <c r="AD216" i="29"/>
  <c r="AO519" i="29"/>
  <c r="AO472" i="29"/>
  <c r="V501" i="29"/>
  <c r="V354" i="29"/>
  <c r="V279" i="29"/>
  <c r="V314" i="29"/>
  <c r="AO362" i="29"/>
  <c r="U362" i="29" s="1"/>
  <c r="AO342" i="29"/>
  <c r="U342" i="29" s="1"/>
  <c r="V321" i="29"/>
  <c r="AO408" i="29"/>
  <c r="AO253" i="29"/>
  <c r="U253" i="29" s="1"/>
  <c r="V231" i="29"/>
  <c r="U383" i="29"/>
  <c r="AO364" i="29"/>
  <c r="U364" i="29" s="1"/>
  <c r="AO298" i="29"/>
  <c r="U298" i="29" s="1"/>
  <c r="AO278" i="29"/>
  <c r="U278" i="29" s="1"/>
  <c r="AO201" i="29"/>
  <c r="AE200" i="29"/>
  <c r="AD257" i="29"/>
  <c r="AE400" i="29"/>
  <c r="AD470" i="29"/>
  <c r="AD132" i="29"/>
  <c r="AD154" i="29"/>
  <c r="AE153" i="29"/>
  <c r="AD123" i="29"/>
  <c r="AD230" i="29"/>
  <c r="AD279" i="29"/>
  <c r="AD320" i="29"/>
  <c r="AE344" i="29"/>
  <c r="AD460" i="29"/>
  <c r="AE530" i="29"/>
  <c r="AE149" i="29"/>
  <c r="AE318" i="29"/>
  <c r="AO484" i="29"/>
  <c r="V523" i="29"/>
  <c r="U569" i="29"/>
  <c r="AD183" i="29"/>
  <c r="AD297" i="29"/>
  <c r="AO506" i="29"/>
  <c r="V192" i="29"/>
  <c r="U192" i="29"/>
  <c r="V130" i="29"/>
  <c r="U130" i="29"/>
  <c r="U24" i="29"/>
  <c r="V24" i="29"/>
  <c r="U23" i="29"/>
  <c r="U155" i="29"/>
  <c r="V155" i="29"/>
  <c r="U97" i="29"/>
  <c r="V97" i="29"/>
  <c r="V70" i="29"/>
  <c r="U411" i="29"/>
  <c r="V304" i="29"/>
  <c r="V268" i="29"/>
  <c r="V62" i="29"/>
  <c r="U248" i="29"/>
  <c r="R622" i="29"/>
  <c r="AD15" i="29"/>
  <c r="AE288" i="29"/>
  <c r="AD382" i="29"/>
  <c r="AD197" i="29"/>
  <c r="AD408" i="29"/>
  <c r="AE597" i="29"/>
  <c r="AE219" i="29"/>
  <c r="AD262" i="29"/>
  <c r="V163" i="29"/>
  <c r="AO468" i="29"/>
  <c r="U468" i="29" s="1"/>
  <c r="AO572" i="29"/>
  <c r="V528" i="29"/>
  <c r="AO485" i="29"/>
  <c r="U485" i="29" s="1"/>
  <c r="AO465" i="29"/>
  <c r="V465" i="29" s="1"/>
  <c r="AO445" i="29"/>
  <c r="AO470" i="29"/>
  <c r="AO390" i="29"/>
  <c r="V390" i="29" s="1"/>
  <c r="AO327" i="29"/>
  <c r="AO371" i="29"/>
  <c r="V371" i="29" s="1"/>
  <c r="AO328" i="29"/>
  <c r="U328" i="29" s="1"/>
  <c r="AO419" i="29"/>
  <c r="U419" i="29" s="1"/>
  <c r="AO336" i="29"/>
  <c r="AO184" i="29"/>
  <c r="V610" i="29"/>
  <c r="V316" i="29"/>
  <c r="V150" i="29"/>
  <c r="V195" i="29"/>
  <c r="L622" i="29"/>
  <c r="K622" i="29"/>
  <c r="AD144" i="29"/>
  <c r="AD198" i="29"/>
  <c r="AE446" i="29"/>
  <c r="AE421" i="29"/>
  <c r="AE455" i="29"/>
  <c r="AE486" i="29"/>
  <c r="AD346" i="29"/>
  <c r="AD221" i="29"/>
  <c r="AE463" i="29"/>
  <c r="AE197" i="29"/>
  <c r="AE176" i="29"/>
  <c r="AE240" i="29"/>
  <c r="U321" i="29"/>
  <c r="AE95" i="29"/>
  <c r="AD116" i="29"/>
  <c r="AE49" i="29"/>
  <c r="AD254" i="29"/>
  <c r="AE303" i="29"/>
  <c r="AE444" i="29"/>
  <c r="AD461" i="29"/>
  <c r="AD518" i="29"/>
  <c r="AD524" i="29"/>
  <c r="AD553" i="29"/>
  <c r="AD574" i="29"/>
  <c r="AE117" i="29"/>
  <c r="AE96" i="29"/>
  <c r="AE174" i="29"/>
  <c r="AD181" i="29"/>
  <c r="AE179" i="29"/>
  <c r="AE264" i="29"/>
  <c r="AD305" i="29"/>
  <c r="AD314" i="29"/>
  <c r="AE611" i="29"/>
  <c r="AD71" i="29"/>
  <c r="AD101" i="29"/>
  <c r="AO424" i="29"/>
  <c r="AO251" i="29"/>
  <c r="AO516" i="29"/>
  <c r="V516" i="29" s="1"/>
  <c r="AO325" i="29"/>
  <c r="AO197" i="29"/>
  <c r="V622" i="29"/>
  <c r="X626" i="29"/>
  <c r="Y626" i="29" s="1"/>
  <c r="T622" i="29"/>
  <c r="AD365" i="29"/>
  <c r="AD424" i="29"/>
  <c r="AD192" i="29"/>
  <c r="AE148" i="29"/>
  <c r="U182" i="29"/>
  <c r="AO555" i="29"/>
  <c r="AO254" i="29"/>
  <c r="U254" i="29" s="1"/>
  <c r="AO414" i="29"/>
  <c r="AO395" i="29"/>
  <c r="U395" i="29" s="1"/>
  <c r="AO218" i="29"/>
  <c r="V114" i="29"/>
  <c r="V383" i="29"/>
  <c r="V403" i="29"/>
  <c r="V31" i="29"/>
  <c r="U622" i="29"/>
  <c r="AD308" i="29"/>
  <c r="AE211" i="29"/>
  <c r="AE229" i="29"/>
  <c r="AD415" i="29"/>
  <c r="AD536" i="29"/>
  <c r="U109" i="29"/>
  <c r="V361" i="29"/>
  <c r="AE13" i="29"/>
  <c r="AD282" i="29"/>
  <c r="AE335" i="29"/>
  <c r="AE386" i="29"/>
  <c r="AE429" i="29"/>
  <c r="AD436" i="29"/>
  <c r="AD474" i="29"/>
  <c r="AE490" i="29"/>
  <c r="AE518" i="29"/>
  <c r="AD550" i="29"/>
  <c r="AE127" i="29"/>
  <c r="AD142" i="29"/>
  <c r="AD193" i="29"/>
  <c r="AD228" i="29"/>
  <c r="AD350" i="29"/>
  <c r="AD450" i="29"/>
  <c r="AD451" i="29"/>
  <c r="AE62" i="29"/>
  <c r="AE131" i="29"/>
  <c r="AE346" i="29"/>
  <c r="AE474" i="29"/>
  <c r="U501" i="29"/>
  <c r="A250" i="2"/>
  <c r="M30" i="24"/>
  <c r="V203" i="29"/>
  <c r="U168" i="29"/>
  <c r="AE468" i="29"/>
  <c r="AD576" i="29"/>
  <c r="U314" i="29"/>
  <c r="AE523" i="29"/>
  <c r="AO453" i="29"/>
  <c r="AO275" i="29"/>
  <c r="AO233" i="29"/>
  <c r="V569" i="29"/>
  <c r="AD81" i="29"/>
  <c r="AE89" i="29"/>
  <c r="AE71" i="29"/>
  <c r="AE25" i="29"/>
  <c r="AE415" i="29"/>
  <c r="AE260" i="29"/>
  <c r="AD340" i="29"/>
  <c r="AO535" i="29"/>
  <c r="U535" i="29" s="1"/>
  <c r="AO67" i="29"/>
  <c r="U67" i="29" s="1"/>
  <c r="AO47" i="29"/>
  <c r="AO15" i="29"/>
  <c r="V15" i="29" s="1"/>
  <c r="AO206" i="29"/>
  <c r="AE28" i="29"/>
  <c r="AE378" i="29"/>
  <c r="BV1" i="24"/>
  <c r="C33" i="16"/>
  <c r="C3" i="8"/>
  <c r="C159" i="8" s="1"/>
  <c r="C158" i="8" s="1"/>
  <c r="C157" i="8" s="1"/>
  <c r="G272" i="25"/>
  <c r="I272" i="25" s="1"/>
  <c r="M53" i="24"/>
  <c r="B222" i="2"/>
  <c r="B17" i="19"/>
  <c r="D17" i="19" s="1"/>
  <c r="B19" i="19" s="1"/>
  <c r="D19" i="19" s="1"/>
  <c r="N49" i="25"/>
  <c r="M70" i="24"/>
  <c r="N70" i="24" s="1"/>
  <c r="R48" i="2"/>
  <c r="M159" i="24"/>
  <c r="N159" i="24" s="1"/>
  <c r="P159" i="24" s="1"/>
  <c r="K155" i="24"/>
  <c r="K65" i="24"/>
  <c r="BM155" i="24"/>
  <c r="M207" i="24"/>
  <c r="N207" i="24" s="1"/>
  <c r="P207" i="24" s="1"/>
  <c r="K120" i="24"/>
  <c r="M65" i="24"/>
  <c r="N65" i="24" s="1"/>
  <c r="K21" i="24"/>
  <c r="B211" i="2"/>
  <c r="K51" i="24"/>
  <c r="K73" i="24"/>
  <c r="B121"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328" i="29"/>
  <c r="AG328" i="29" s="1"/>
  <c r="M572" i="29"/>
  <c r="N152" i="29"/>
  <c r="M593" i="29"/>
  <c r="N32" i="29"/>
  <c r="M517" i="29"/>
  <c r="M607" i="29"/>
  <c r="N368" i="29"/>
  <c r="M337" i="29"/>
  <c r="M468" i="29"/>
  <c r="M497" i="29"/>
  <c r="N609" i="29"/>
  <c r="M153" i="29"/>
  <c r="N147" i="29"/>
  <c r="M505" i="29"/>
  <c r="M359" i="29"/>
  <c r="N589" i="29"/>
  <c r="N196" i="29"/>
  <c r="M560" i="29"/>
  <c r="M281" i="29"/>
  <c r="AG281" i="29" s="1"/>
  <c r="N576" i="29"/>
  <c r="M62" i="29"/>
  <c r="N192" i="29"/>
  <c r="AH192" i="29" s="1"/>
  <c r="M579" i="29"/>
  <c r="M311" i="29"/>
  <c r="N243" i="29"/>
  <c r="N378" i="29"/>
  <c r="N359" i="29"/>
  <c r="M87" i="29"/>
  <c r="N344" i="29"/>
  <c r="M13" i="29"/>
  <c r="N587" i="29"/>
  <c r="AH587" i="29" s="1"/>
  <c r="N505" i="29"/>
  <c r="M117" i="29"/>
  <c r="N593" i="29"/>
  <c r="N516" i="29"/>
  <c r="M304" i="29"/>
  <c r="N483" i="29"/>
  <c r="N357" i="29"/>
  <c r="N491" i="29"/>
  <c r="N580" i="29"/>
  <c r="M400" i="29"/>
  <c r="M340" i="29"/>
  <c r="N371" i="29"/>
  <c r="M385" i="29"/>
  <c r="N575" i="29"/>
  <c r="X575" i="29" s="1"/>
  <c r="Y575" i="29" s="1"/>
  <c r="N387" i="29"/>
  <c r="M393" i="29"/>
  <c r="N565" i="29"/>
  <c r="N601" i="29"/>
  <c r="N201" i="29"/>
  <c r="M15" i="29"/>
  <c r="M341" i="29"/>
  <c r="M582" i="29"/>
  <c r="AG582" i="29" s="1"/>
  <c r="N539" i="29"/>
  <c r="N57" i="29"/>
  <c r="M228" i="29"/>
  <c r="M234" i="29"/>
  <c r="N542" i="29"/>
  <c r="N423" i="29"/>
  <c r="M365" i="29"/>
  <c r="N131" i="29"/>
  <c r="M406" i="29"/>
  <c r="N380" i="29"/>
  <c r="M408" i="29"/>
  <c r="N63" i="29"/>
  <c r="M201" i="29"/>
  <c r="M489" i="29"/>
  <c r="N132" i="29"/>
  <c r="M583" i="29"/>
  <c r="M398" i="29"/>
  <c r="M193" i="29"/>
  <c r="M480" i="29"/>
  <c r="N549" i="29"/>
  <c r="M554" i="29"/>
  <c r="N361" i="29"/>
  <c r="M549" i="29"/>
  <c r="N340" i="29"/>
  <c r="N563" i="29"/>
  <c r="M609" i="29"/>
  <c r="N524" i="29"/>
  <c r="M189" i="29"/>
  <c r="M521" i="29"/>
  <c r="N588" i="29"/>
  <c r="N564" i="29"/>
  <c r="M150" i="29"/>
  <c r="AG150" i="29" s="1"/>
  <c r="M28" i="29"/>
  <c r="N87" i="29"/>
  <c r="N434" i="29"/>
  <c r="N571" i="29"/>
  <c r="M230" i="29"/>
  <c r="M292" i="29"/>
  <c r="M197" i="29"/>
  <c r="N30" i="29"/>
  <c r="M232" i="29"/>
  <c r="N574" i="29"/>
  <c r="AH574" i="29" s="1"/>
  <c r="N519" i="29"/>
  <c r="M461" i="29"/>
  <c r="N259" i="29"/>
  <c r="M506" i="29"/>
  <c r="M407" i="29"/>
  <c r="AG407" i="29" s="1"/>
  <c r="M388" i="29"/>
  <c r="N470" i="29"/>
  <c r="M608" i="29"/>
  <c r="N255" i="29"/>
  <c r="N403" i="29"/>
  <c r="AH403" i="29" s="1"/>
  <c r="M529" i="29"/>
  <c r="M181" i="29"/>
  <c r="N83" i="29"/>
  <c r="M265" i="29"/>
  <c r="M121" i="29"/>
  <c r="M501" i="29"/>
  <c r="AG501" i="29" s="1"/>
  <c r="N418" i="29"/>
  <c r="M532" i="29"/>
  <c r="N613" i="29"/>
  <c r="M289" i="29"/>
  <c r="M488" i="29"/>
  <c r="N393" i="29"/>
  <c r="M211" i="29"/>
  <c r="AG211" i="29" s="1"/>
  <c r="M249" i="29"/>
  <c r="M430" i="29"/>
  <c r="N360" i="29"/>
  <c r="M217" i="29"/>
  <c r="N500" i="29"/>
  <c r="N452" i="29"/>
  <c r="M462" i="29"/>
  <c r="N444" i="29"/>
  <c r="M553" i="29"/>
  <c r="N472" i="29"/>
  <c r="N604" i="29"/>
  <c r="N46" i="29"/>
  <c r="N271" i="29"/>
  <c r="N92" i="29"/>
  <c r="N526" i="29"/>
  <c r="M272" i="29"/>
  <c r="M451" i="29"/>
  <c r="M330" i="29"/>
  <c r="M327" i="29"/>
  <c r="M538" i="29"/>
  <c r="M459" i="29"/>
  <c r="N55" i="29"/>
  <c r="M394" i="29"/>
  <c r="M463" i="29"/>
  <c r="M444" i="29"/>
  <c r="N234" i="29"/>
  <c r="AH234" i="29" s="1"/>
  <c r="M244" i="29"/>
  <c r="N486" i="29"/>
  <c r="M233" i="29"/>
  <c r="M516" i="29"/>
  <c r="N459" i="29"/>
  <c r="N377" i="29"/>
  <c r="M502" i="29"/>
  <c r="M520" i="29"/>
  <c r="N477" i="29"/>
  <c r="N560" i="29"/>
  <c r="M97" i="29"/>
  <c r="M472" i="29"/>
  <c r="N449" i="29"/>
  <c r="N127" i="29"/>
  <c r="N351" i="29"/>
  <c r="M417" i="29"/>
  <c r="M148" i="29"/>
  <c r="AG148" i="29" s="1"/>
  <c r="M603" i="29"/>
  <c r="M377" i="29"/>
  <c r="M177" i="29"/>
  <c r="M539" i="29"/>
  <c r="M209" i="29"/>
  <c r="M443" i="29"/>
  <c r="N376" i="29"/>
  <c r="N461" i="29"/>
  <c r="N362" i="29"/>
  <c r="N556" i="29"/>
  <c r="N384" i="29"/>
  <c r="M21" i="29"/>
  <c r="AG21" i="29" s="1"/>
  <c r="N469" i="29"/>
  <c r="M485" i="29"/>
  <c r="N110" i="25"/>
  <c r="M180" i="29"/>
  <c r="AG180" i="29" s="1"/>
  <c r="M77" i="29"/>
  <c r="M285" i="29"/>
  <c r="M427" i="29"/>
  <c r="AG427" i="29" s="1"/>
  <c r="N282" i="29"/>
  <c r="X282" i="29" s="1"/>
  <c r="Y282" i="29" s="1"/>
  <c r="M419" i="29"/>
  <c r="N430" i="29"/>
  <c r="M98" i="29"/>
  <c r="L110" i="25"/>
  <c r="L131" i="25"/>
  <c r="N116" i="25"/>
  <c r="L166" i="25"/>
  <c r="N227" i="29"/>
  <c r="AH227" i="29" s="1"/>
  <c r="M352" i="29"/>
  <c r="N497" i="29"/>
  <c r="N365" i="29"/>
  <c r="N354" i="29"/>
  <c r="M586" i="29"/>
  <c r="M584" i="29"/>
  <c r="N447" i="29"/>
  <c r="AH447" i="29" s="1"/>
  <c r="M423" i="29"/>
  <c r="N353" i="29"/>
  <c r="M276" i="29"/>
  <c r="AG276" i="29" s="1"/>
  <c r="N413" i="29"/>
  <c r="M260" i="29"/>
  <c r="N554" i="29"/>
  <c r="M567" i="29"/>
  <c r="N323" i="29"/>
  <c r="M49" i="29"/>
  <c r="N280" i="29"/>
  <c r="M363" i="29"/>
  <c r="N154" i="29"/>
  <c r="M133" i="29"/>
  <c r="N308" i="29"/>
  <c r="X308" i="29" s="1"/>
  <c r="Y308" i="29" s="1"/>
  <c r="M316" i="29"/>
  <c r="AG316" i="29" s="1"/>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U361" i="29"/>
  <c r="AD96" i="29"/>
  <c r="AD66" i="29"/>
  <c r="AD59" i="29"/>
  <c r="U381" i="29"/>
  <c r="AD392" i="29"/>
  <c r="AD213" i="29"/>
  <c r="AE215" i="29"/>
  <c r="AD332" i="29"/>
  <c r="AE23" i="29"/>
  <c r="AE564" i="29"/>
  <c r="AE395" i="29"/>
  <c r="AD236" i="29"/>
  <c r="U415" i="29"/>
  <c r="V415" i="29"/>
  <c r="AE63" i="29"/>
  <c r="AD283" i="29"/>
  <c r="V602" i="29"/>
  <c r="U602" i="29"/>
  <c r="V561" i="29"/>
  <c r="U561" i="29"/>
  <c r="U424" i="29"/>
  <c r="V424" i="29"/>
  <c r="M309" i="24"/>
  <c r="N309" i="24" s="1"/>
  <c r="P309" i="24" s="1"/>
  <c r="M203" i="24"/>
  <c r="N203" i="24" s="1"/>
  <c r="P203" i="24" s="1"/>
  <c r="K160" i="24"/>
  <c r="K207" i="24"/>
  <c r="M112" i="24"/>
  <c r="N112" i="24" s="1"/>
  <c r="P112" i="24" s="1"/>
  <c r="K127" i="24"/>
  <c r="M122" i="24"/>
  <c r="N122" i="24" s="1"/>
  <c r="P122" i="24" s="1"/>
  <c r="K189" i="24"/>
  <c r="L259" i="25"/>
  <c r="N229" i="25"/>
  <c r="AE50" i="29"/>
  <c r="AD184" i="29"/>
  <c r="AD388" i="29"/>
  <c r="AD446" i="29"/>
  <c r="AE583" i="29"/>
  <c r="S622" i="29"/>
  <c r="Q622" i="29"/>
  <c r="P622" i="29"/>
  <c r="U385" i="29"/>
  <c r="V385" i="29"/>
  <c r="AO436" i="29"/>
  <c r="U436" i="29" s="1"/>
  <c r="V318" i="29"/>
  <c r="U318" i="29"/>
  <c r="AD157" i="29"/>
  <c r="AD231" i="29"/>
  <c r="AE586"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O624" i="29"/>
  <c r="T624" i="29"/>
  <c r="AE624" i="29" s="1"/>
  <c r="AD61" i="29"/>
  <c r="V29" i="29"/>
  <c r="AE312" i="29"/>
  <c r="AD164" i="29"/>
  <c r="AE203" i="29"/>
  <c r="AD406" i="29"/>
  <c r="AE145" i="29"/>
  <c r="AE107" i="29"/>
  <c r="AD191" i="29"/>
  <c r="AE423" i="29"/>
  <c r="AE76" i="29"/>
  <c r="AE178" i="29"/>
  <c r="I625" i="29"/>
  <c r="Q625" i="29"/>
  <c r="U625" i="29"/>
  <c r="J625" i="29"/>
  <c r="AH625" i="29" s="1"/>
  <c r="AE239" i="29"/>
  <c r="U331" i="29"/>
  <c r="V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AG624" i="29" s="1"/>
  <c r="K634" i="29" s="1"/>
  <c r="V293" i="29"/>
  <c r="AE168" i="29"/>
  <c r="AE226" i="29"/>
  <c r="AD118" i="29"/>
  <c r="AE254" i="29"/>
  <c r="AD542" i="29"/>
  <c r="AE150" i="29"/>
  <c r="AD361" i="29"/>
  <c r="AD233" i="29"/>
  <c r="AE64" i="29"/>
  <c r="AE26" i="29"/>
  <c r="AD439" i="29"/>
  <c r="AD496" i="29"/>
  <c r="AE461" i="29"/>
  <c r="AO261" i="29"/>
  <c r="V261" i="29" s="1"/>
  <c r="V239" i="29"/>
  <c r="AO391" i="29"/>
  <c r="V391" i="29" s="1"/>
  <c r="AO351" i="29"/>
  <c r="V351" i="29" s="1"/>
  <c r="V395" i="29"/>
  <c r="U315" i="29"/>
  <c r="AO295" i="29"/>
  <c r="U295" i="29" s="1"/>
  <c r="AO273" i="29"/>
  <c r="U273" i="29" s="1"/>
  <c r="AO400" i="29"/>
  <c r="AO333" i="29"/>
  <c r="V333" i="29" s="1"/>
  <c r="V96" i="29"/>
  <c r="U55" i="29"/>
  <c r="AO226" i="29"/>
  <c r="U226" i="29" s="1"/>
  <c r="V204" i="29"/>
  <c r="V184" i="29"/>
  <c r="AO164" i="29"/>
  <c r="U164" i="29" s="1"/>
  <c r="AE22" i="29"/>
  <c r="AE65" i="29"/>
  <c r="AE97" i="29"/>
  <c r="AE132" i="29"/>
  <c r="AD143" i="29"/>
  <c r="AD215" i="29"/>
  <c r="AE187" i="29"/>
  <c r="AD205" i="29"/>
  <c r="AE238" i="29"/>
  <c r="AE270" i="29"/>
  <c r="AD268" i="29"/>
  <c r="AE256" i="29"/>
  <c r="AD289" i="29"/>
  <c r="AD265" i="29"/>
  <c r="AD286" i="29"/>
  <c r="AD307" i="29"/>
  <c r="AD312" i="29"/>
  <c r="AD319" i="29"/>
  <c r="AE360" i="29"/>
  <c r="AD396" i="29"/>
  <c r="AD501" i="29"/>
  <c r="AE541" i="29"/>
  <c r="AE552" i="29"/>
  <c r="AD592" i="29"/>
  <c r="AD150" i="29"/>
  <c r="AD140" i="29"/>
  <c r="AE80" i="29"/>
  <c r="AE205" i="29"/>
  <c r="AD206" i="29"/>
  <c r="AD227" i="29"/>
  <c r="AE195" i="29"/>
  <c r="AE220" i="29"/>
  <c r="AE248" i="29"/>
  <c r="AD258" i="29"/>
  <c r="AE296" i="29"/>
  <c r="AD295" i="29"/>
  <c r="AE313" i="29"/>
  <c r="AE334" i="29"/>
  <c r="AE352" i="29"/>
  <c r="AE354" i="29"/>
  <c r="AE383" i="29"/>
  <c r="AE408" i="29"/>
  <c r="AD401" i="29"/>
  <c r="AD405" i="29"/>
  <c r="AD455" i="29"/>
  <c r="AD482" i="29"/>
  <c r="AD563" i="29"/>
  <c r="AD547" i="29"/>
  <c r="AD561" i="29"/>
  <c r="AE591" i="29"/>
  <c r="AD606" i="29"/>
  <c r="AE595" i="29"/>
  <c r="AE45" i="29"/>
  <c r="AE159" i="29"/>
  <c r="U408" i="29"/>
  <c r="AO612" i="29"/>
  <c r="U279" i="29"/>
  <c r="V296" i="29"/>
  <c r="U232" i="29"/>
  <c r="AO283" i="29"/>
  <c r="AO435" i="29"/>
  <c r="U435" i="29" s="1"/>
  <c r="V366" i="29"/>
  <c r="AO326" i="29"/>
  <c r="U326" i="29" s="1"/>
  <c r="V407" i="29"/>
  <c r="AO369" i="29"/>
  <c r="V369" i="29" s="1"/>
  <c r="AO263" i="29"/>
  <c r="U263" i="29" s="1"/>
  <c r="U244" i="29"/>
  <c r="AO313" i="29"/>
  <c r="U313" i="29" s="1"/>
  <c r="U292" i="29"/>
  <c r="V418" i="29"/>
  <c r="AO353" i="29"/>
  <c r="U353" i="29" s="1"/>
  <c r="AO310" i="29"/>
  <c r="U310" i="29" s="1"/>
  <c r="AO287" i="29"/>
  <c r="U287" i="29" s="1"/>
  <c r="AO260" i="29"/>
  <c r="V260" i="29" s="1"/>
  <c r="AO94" i="29"/>
  <c r="U94" i="29" s="1"/>
  <c r="V588" i="29"/>
  <c r="V109" i="29"/>
  <c r="AE438" i="29"/>
  <c r="AE251" i="29"/>
  <c r="AE290" i="29"/>
  <c r="AD579" i="29"/>
  <c r="AD306" i="29"/>
  <c r="AD315" i="29"/>
  <c r="AE216" i="29"/>
  <c r="AE392" i="29"/>
  <c r="AD152" i="29"/>
  <c r="AD148" i="29"/>
  <c r="AE94" i="29"/>
  <c r="AE140" i="29"/>
  <c r="AD219" i="29"/>
  <c r="AD209" i="29"/>
  <c r="AE217" i="29"/>
  <c r="AD190" i="29"/>
  <c r="AE214" i="29"/>
  <c r="AE242" i="29"/>
  <c r="AD338" i="29"/>
  <c r="AE301" i="29"/>
  <c r="AE280" i="29"/>
  <c r="AE347" i="29"/>
  <c r="AD402" i="29"/>
  <c r="AE424" i="29"/>
  <c r="AE435" i="29"/>
  <c r="AD421" i="29"/>
  <c r="AE453" i="29"/>
  <c r="AE549" i="29"/>
  <c r="AD558" i="29"/>
  <c r="AD589" i="29"/>
  <c r="AD602" i="29"/>
  <c r="AE102" i="29"/>
  <c r="AE147" i="29"/>
  <c r="AE84" i="29"/>
  <c r="AE133" i="29"/>
  <c r="AE177" i="29"/>
  <c r="AD178" i="29"/>
  <c r="AE202" i="29"/>
  <c r="AE243" i="29"/>
  <c r="AE224" i="29"/>
  <c r="AE262" i="29"/>
  <c r="AE247" i="29"/>
  <c r="AD252" i="29"/>
  <c r="AE283" i="29"/>
  <c r="AE355" i="29"/>
  <c r="AE324" i="29"/>
  <c r="AE387" i="29"/>
  <c r="AE426" i="29"/>
  <c r="AE440" i="29"/>
  <c r="AD426" i="29"/>
  <c r="AD473" i="29"/>
  <c r="AE538" i="29"/>
  <c r="AE483" i="29"/>
  <c r="AE567" i="29"/>
  <c r="AE599" i="29"/>
  <c r="AD48" i="29"/>
  <c r="AE17" i="29"/>
  <c r="AD261" i="29"/>
  <c r="AD383" i="29"/>
  <c r="AO482" i="29"/>
  <c r="V482" i="29" s="1"/>
  <c r="AO473" i="29"/>
  <c r="AO478" i="29"/>
  <c r="AO517" i="29"/>
  <c r="AO475" i="29"/>
  <c r="AO301" i="29"/>
  <c r="AD105" i="29"/>
  <c r="AE157" i="29"/>
  <c r="AD69" i="29"/>
  <c r="AD301" i="29"/>
  <c r="AE550" i="29"/>
  <c r="AD562" i="29"/>
  <c r="AD34" i="29"/>
  <c r="AE266" i="29"/>
  <c r="AE542" i="29"/>
  <c r="AE163" i="29"/>
  <c r="AE192" i="29"/>
  <c r="AE458" i="29"/>
  <c r="AD506" i="29"/>
  <c r="AE167" i="29"/>
  <c r="AD266" i="29"/>
  <c r="AD141" i="29"/>
  <c r="AE191" i="29"/>
  <c r="AD180" i="29"/>
  <c r="AE137" i="29"/>
  <c r="AE152" i="29"/>
  <c r="AE273" i="29"/>
  <c r="AE371" i="29"/>
  <c r="AE504" i="29"/>
  <c r="AO446" i="29"/>
  <c r="V446" i="29" s="1"/>
  <c r="AO541" i="29"/>
  <c r="AO490" i="29"/>
  <c r="AO593" i="29"/>
  <c r="U593" i="29" s="1"/>
  <c r="AO577" i="29"/>
  <c r="AO556" i="29"/>
  <c r="U556" i="29" s="1"/>
  <c r="V298" i="29"/>
  <c r="AO604" i="29"/>
  <c r="V604" i="29" s="1"/>
  <c r="AO560" i="29"/>
  <c r="AO536" i="29"/>
  <c r="AO476" i="29"/>
  <c r="AO570" i="29"/>
  <c r="U570" i="29" s="1"/>
  <c r="AO596" i="29"/>
  <c r="AO520" i="29"/>
  <c r="AO497" i="29"/>
  <c r="U497" i="29" s="1"/>
  <c r="AO100" i="29"/>
  <c r="U465" i="29"/>
  <c r="AO374" i="29"/>
  <c r="U201" i="29"/>
  <c r="AO137" i="29"/>
  <c r="AO209" i="29"/>
  <c r="AO82" i="29"/>
  <c r="AE275" i="29"/>
  <c r="AD245" i="29"/>
  <c r="AE249" i="29"/>
  <c r="AD158" i="29"/>
  <c r="AD364" i="29"/>
  <c r="AO474" i="29"/>
  <c r="U474" i="29" s="1"/>
  <c r="AO597" i="29"/>
  <c r="AO491" i="29"/>
  <c r="U491" i="29" s="1"/>
  <c r="AO210" i="29"/>
  <c r="U15" i="29"/>
  <c r="AO108" i="29"/>
  <c r="AO77" i="29"/>
  <c r="U77" i="29" s="1"/>
  <c r="AO20" i="29"/>
  <c r="AO56" i="29"/>
  <c r="AO71" i="29"/>
  <c r="AE32" i="29"/>
  <c r="AD26" i="29"/>
  <c r="AE42" i="29"/>
  <c r="V60" i="29"/>
  <c r="U575" i="29"/>
  <c r="AD273" i="29"/>
  <c r="AE194" i="29"/>
  <c r="AE487" i="29"/>
  <c r="AD232" i="29"/>
  <c r="AD223" i="29"/>
  <c r="AE314" i="29"/>
  <c r="AD355" i="29"/>
  <c r="AD341" i="29"/>
  <c r="AD175" i="29"/>
  <c r="AE193" i="29"/>
  <c r="AD211" i="29"/>
  <c r="AD253" i="29"/>
  <c r="AE340" i="29"/>
  <c r="AD411" i="29"/>
  <c r="AD453" i="29"/>
  <c r="AD182" i="29"/>
  <c r="AD311" i="29"/>
  <c r="AD393" i="29"/>
  <c r="AO592" i="29"/>
  <c r="AO372" i="29"/>
  <c r="U372" i="29" s="1"/>
  <c r="AO576" i="29"/>
  <c r="U576" i="29" s="1"/>
  <c r="AO488" i="29"/>
  <c r="AO583" i="29"/>
  <c r="U583" i="29" s="1"/>
  <c r="U523" i="29"/>
  <c r="AO463" i="29"/>
  <c r="AO207" i="29"/>
  <c r="AO153" i="29"/>
  <c r="AO132" i="29"/>
  <c r="V132" i="29" s="1"/>
  <c r="AO65" i="29"/>
  <c r="AO127"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2"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5"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U336" i="29"/>
  <c r="V336" i="29"/>
  <c r="V470" i="29"/>
  <c r="U470" i="29"/>
  <c r="AD128" i="29"/>
  <c r="AE173" i="29"/>
  <c r="AE79" i="29"/>
  <c r="AE320" i="29"/>
  <c r="AE390" i="29"/>
  <c r="AE427" i="29"/>
  <c r="AE405" i="29"/>
  <c r="AD423" i="29"/>
  <c r="AE604" i="29"/>
  <c r="AE590" i="29"/>
  <c r="AE291" i="29"/>
  <c r="AD333" i="29"/>
  <c r="U238" i="29"/>
  <c r="V238" i="29"/>
  <c r="AO340" i="29"/>
  <c r="U242" i="29"/>
  <c r="V242" i="29"/>
  <c r="U412" i="29"/>
  <c r="V412" i="29"/>
  <c r="U258" i="29"/>
  <c r="V258" i="29"/>
  <c r="U323" i="29"/>
  <c r="V323" i="29"/>
  <c r="V263" i="29"/>
  <c r="V353" i="29"/>
  <c r="U169" i="29"/>
  <c r="V169" i="29"/>
  <c r="V328" i="29"/>
  <c r="AE73" i="29"/>
  <c r="AD156" i="29"/>
  <c r="AE83" i="29"/>
  <c r="AE128" i="29"/>
  <c r="AD242" i="29"/>
  <c r="AE338" i="29"/>
  <c r="AE496" i="29"/>
  <c r="AE575" i="29"/>
  <c r="AE161" i="29"/>
  <c r="U184"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U204" i="29"/>
  <c r="AE223" i="29"/>
  <c r="V158" i="29"/>
  <c r="U158" i="29"/>
  <c r="U377" i="29"/>
  <c r="V377" i="29"/>
  <c r="U143" i="29"/>
  <c r="V143" i="29"/>
  <c r="N143" i="25"/>
  <c r="BL143" i="25"/>
  <c r="N120" i="25"/>
  <c r="L120" i="25"/>
  <c r="N184" i="25"/>
  <c r="L184" i="25"/>
  <c r="BL139" i="25"/>
  <c r="L139" i="25"/>
  <c r="L113" i="25"/>
  <c r="N113" i="25"/>
  <c r="BL113" i="25"/>
  <c r="L111" i="25"/>
  <c r="BL111" i="25"/>
  <c r="N111" i="25"/>
  <c r="L158" i="25"/>
  <c r="BL158" i="25"/>
  <c r="V408" i="29"/>
  <c r="V55" i="29"/>
  <c r="AD104" i="29"/>
  <c r="V419" i="29"/>
  <c r="U453" i="29"/>
  <c r="V453" i="29"/>
  <c r="U93" i="29"/>
  <c r="V93" i="29"/>
  <c r="U379" i="29"/>
  <c r="V379" i="29"/>
  <c r="U555" i="29"/>
  <c r="V555" i="29"/>
  <c r="U484" i="29"/>
  <c r="V484" i="29"/>
  <c r="U189" i="29"/>
  <c r="U239" i="29"/>
  <c r="AE74" i="29"/>
  <c r="AD43" i="29"/>
  <c r="U282" i="29"/>
  <c r="V310" i="29"/>
  <c r="BM122" i="24"/>
  <c r="K171" i="24"/>
  <c r="K184" i="24"/>
  <c r="L13" i="25"/>
  <c r="L61" i="25"/>
  <c r="L14" i="25"/>
  <c r="AE36" i="29"/>
  <c r="AE48" i="29"/>
  <c r="V399" i="29"/>
  <c r="U399" i="29"/>
  <c r="AO360" i="29"/>
  <c r="V265" i="29"/>
  <c r="U265" i="29"/>
  <c r="AO373" i="29"/>
  <c r="K140" i="24"/>
  <c r="BL183" i="25"/>
  <c r="L24" i="25"/>
  <c r="N17" i="25"/>
  <c r="L74" i="25"/>
  <c r="AD533" i="29"/>
  <c r="AE561" i="29"/>
  <c r="AE465" i="29"/>
  <c r="U499" i="29"/>
  <c r="V499" i="29"/>
  <c r="U296" i="29"/>
  <c r="V535" i="29"/>
  <c r="V315" i="29"/>
  <c r="AO294" i="29"/>
  <c r="AO335" i="29"/>
  <c r="AO384" i="29"/>
  <c r="AE166" i="29"/>
  <c r="AE527" i="29"/>
  <c r="AD237" i="29"/>
  <c r="AD147" i="29"/>
  <c r="AE230" i="29"/>
  <c r="AD330" i="29"/>
  <c r="AD235" i="29"/>
  <c r="AE115" i="29"/>
  <c r="AE213" i="29"/>
  <c r="AE265" i="29"/>
  <c r="AD353" i="29"/>
  <c r="AE475" i="29"/>
  <c r="AE563" i="29"/>
  <c r="AD92" i="29"/>
  <c r="AE428" i="29"/>
  <c r="U349" i="29"/>
  <c r="V349" i="29"/>
  <c r="U418" i="29"/>
  <c r="U366" i="29"/>
  <c r="AO493" i="29"/>
  <c r="AO13" i="29"/>
  <c r="U13" i="29" s="1"/>
  <c r="AO428" i="29"/>
  <c r="K48" i="16"/>
  <c r="M48" i="16" s="1"/>
  <c r="V244" i="29"/>
  <c r="AD77" i="29"/>
  <c r="U260" i="29"/>
  <c r="AD272" i="29"/>
  <c r="AD124" i="29"/>
  <c r="AD358" i="29"/>
  <c r="AE269" i="29"/>
  <c r="AE170" i="29"/>
  <c r="AD269" i="29"/>
  <c r="AD322" i="29"/>
  <c r="AE135" i="29"/>
  <c r="AE393" i="29"/>
  <c r="AD267" i="29"/>
  <c r="AE399" i="29"/>
  <c r="AE513" i="29"/>
  <c r="AD163" i="29"/>
  <c r="AE342" i="29"/>
  <c r="AD299" i="29"/>
  <c r="U567" i="29"/>
  <c r="V567" i="29"/>
  <c r="V18" i="29"/>
  <c r="U18" i="29"/>
  <c r="V252" i="29"/>
  <c r="U252" i="29"/>
  <c r="AO534" i="29"/>
  <c r="AO513" i="29"/>
  <c r="U513" i="29" s="1"/>
  <c r="U209" i="29"/>
  <c r="V209" i="29"/>
  <c r="N55" i="25"/>
  <c r="N72" i="25"/>
  <c r="L16" i="25"/>
  <c r="N43" i="25"/>
  <c r="M77" i="24"/>
  <c r="N77" i="24" s="1"/>
  <c r="AH624" i="29"/>
  <c r="AE34" i="29"/>
  <c r="AE46" i="29"/>
  <c r="AE30" i="29"/>
  <c r="V94" i="29"/>
  <c r="AD238" i="29"/>
  <c r="AE532" i="29"/>
  <c r="AD165" i="29"/>
  <c r="AD199" i="29"/>
  <c r="AE331" i="29"/>
  <c r="AD80" i="29"/>
  <c r="AD336" i="29"/>
  <c r="AD200" i="29"/>
  <c r="AD161" i="29"/>
  <c r="AE332" i="29"/>
  <c r="AE302" i="29"/>
  <c r="AE319" i="29"/>
  <c r="AD376" i="29"/>
  <c r="AE471" i="29"/>
  <c r="AE182" i="29"/>
  <c r="AD135" i="29"/>
  <c r="AD234" i="29"/>
  <c r="AO599" i="29"/>
  <c r="U599" i="29" s="1"/>
  <c r="AO454" i="29"/>
  <c r="AO451" i="29"/>
  <c r="U451" i="29" s="1"/>
  <c r="N9" i="25"/>
  <c r="L73" i="25"/>
  <c r="N71" i="25"/>
  <c r="N67" i="25"/>
  <c r="AE38" i="29"/>
  <c r="AD68" i="29"/>
  <c r="AD78" i="29"/>
  <c r="AD54" i="29"/>
  <c r="AD46" i="29"/>
  <c r="AE488" i="29"/>
  <c r="AD162" i="29"/>
  <c r="AE69" i="29"/>
  <c r="AD255" i="29"/>
  <c r="AE336" i="29"/>
  <c r="AD204" i="29"/>
  <c r="AE125" i="29"/>
  <c r="AE368" i="29"/>
  <c r="AD55" i="29"/>
  <c r="AE337" i="29"/>
  <c r="AD357" i="29"/>
  <c r="AD438" i="29"/>
  <c r="AE105" i="29"/>
  <c r="AE258" i="29"/>
  <c r="AE209" i="29"/>
  <c r="AE276" i="29"/>
  <c r="V562" i="29"/>
  <c r="U562" i="29"/>
  <c r="U45" i="29"/>
  <c r="AO438" i="29"/>
  <c r="AO544" i="29"/>
  <c r="AO608" i="29"/>
  <c r="AO413" i="29"/>
  <c r="AO330" i="29"/>
  <c r="AO117" i="29"/>
  <c r="AO53" i="29"/>
  <c r="AO36" i="29"/>
  <c r="AD129" i="29"/>
  <c r="AE210" i="29"/>
  <c r="AD467" i="29"/>
  <c r="AE183" i="29"/>
  <c r="AE101" i="29"/>
  <c r="AD195" i="29"/>
  <c r="AE315" i="29"/>
  <c r="AE464" i="29"/>
  <c r="AE162" i="29"/>
  <c r="AD459" i="29"/>
  <c r="AE184" i="29"/>
  <c r="AD287" i="29"/>
  <c r="AE86" i="29"/>
  <c r="AD186" i="29"/>
  <c r="AE277" i="29"/>
  <c r="AE160" i="29"/>
  <c r="AD247" i="29"/>
  <c r="AE544" i="29"/>
  <c r="AD241" i="29"/>
  <c r="AE255" i="29"/>
  <c r="AD277" i="29"/>
  <c r="AD587" i="29"/>
  <c r="AD160" i="29"/>
  <c r="AE259" i="29"/>
  <c r="AE250" i="29"/>
  <c r="AD512" i="29"/>
  <c r="AD222" i="29"/>
  <c r="AE59" i="29"/>
  <c r="AE339" i="29"/>
  <c r="AE484" i="29"/>
  <c r="AD251" i="29"/>
  <c r="U447" i="29"/>
  <c r="AO527" i="29"/>
  <c r="U434" i="29"/>
  <c r="AO479" i="29"/>
  <c r="V479" i="29" s="1"/>
  <c r="AO363" i="29"/>
  <c r="AO270" i="29"/>
  <c r="AO86" i="29"/>
  <c r="AO91" i="29"/>
  <c r="AO50" i="29"/>
  <c r="AD22" i="29"/>
  <c r="AD30" i="29"/>
  <c r="AD19" i="29"/>
  <c r="AE295" i="29"/>
  <c r="AE227" i="29"/>
  <c r="AE469" i="29"/>
  <c r="AD398" i="29"/>
  <c r="AD555" i="29"/>
  <c r="AE598" i="29"/>
  <c r="AD146" i="29"/>
  <c r="AD243" i="29"/>
  <c r="AD540" i="29"/>
  <c r="AE90" i="29"/>
  <c r="AE282" i="29"/>
  <c r="AE425" i="29"/>
  <c r="AD133" i="29"/>
  <c r="AD244" i="29"/>
  <c r="AD139" i="29"/>
  <c r="AE233" i="29"/>
  <c r="AE298" i="29"/>
  <c r="AO367" i="29"/>
  <c r="AO324" i="29"/>
  <c r="AO551" i="29"/>
  <c r="U551" i="29" s="1"/>
  <c r="AO509" i="29"/>
  <c r="AO483" i="29"/>
  <c r="AO266" i="29"/>
  <c r="AO245" i="29"/>
  <c r="U245" i="29" s="1"/>
  <c r="AE72" i="29"/>
  <c r="AD47" i="29"/>
  <c r="AD98" i="29"/>
  <c r="AD52" i="29"/>
  <c r="AD94" i="29"/>
  <c r="AD50" i="29"/>
  <c r="AE66" i="29"/>
  <c r="AD113" i="29"/>
  <c r="AD354" i="29"/>
  <c r="AD220" i="29"/>
  <c r="AD385" i="29"/>
  <c r="AE489" i="29"/>
  <c r="AE328" i="29"/>
  <c r="AD159" i="29"/>
  <c r="AE271" i="29"/>
  <c r="AE507" i="29"/>
  <c r="AE596" i="29"/>
  <c r="AE104" i="29"/>
  <c r="AE98" i="29"/>
  <c r="AE244" i="29"/>
  <c r="AE279" i="29"/>
  <c r="AD316" i="29"/>
  <c r="AD509" i="29"/>
  <c r="AE551" i="29"/>
  <c r="AE454" i="29"/>
  <c r="AE553" i="29"/>
  <c r="AD607" i="29"/>
  <c r="AD153" i="29"/>
  <c r="AO441" i="29"/>
  <c r="AO492" i="29"/>
  <c r="M22" i="29"/>
  <c r="N206" i="29"/>
  <c r="N168" i="29"/>
  <c r="N146" i="29"/>
  <c r="N108" i="29"/>
  <c r="N86" i="29"/>
  <c r="N176" i="29"/>
  <c r="N258" i="29"/>
  <c r="M140" i="29"/>
  <c r="AG140" i="29" s="1"/>
  <c r="N388" i="29"/>
  <c r="AH388" i="29" s="1"/>
  <c r="M171" i="29"/>
  <c r="N366" i="29"/>
  <c r="N439" i="29"/>
  <c r="N25" i="29"/>
  <c r="N95" i="29"/>
  <c r="M374" i="29"/>
  <c r="N562" i="29"/>
  <c r="M483" i="29"/>
  <c r="N411" i="29"/>
  <c r="AH411" i="29" s="1"/>
  <c r="N285" i="29"/>
  <c r="M55" i="29"/>
  <c r="AG55" i="29" s="1"/>
  <c r="N185" i="29"/>
  <c r="N346" i="29"/>
  <c r="N179" i="29"/>
  <c r="N20" i="29"/>
  <c r="N261" i="29"/>
  <c r="N138" i="29"/>
  <c r="M315" i="29"/>
  <c r="M574" i="29"/>
  <c r="AG574" i="29" s="1"/>
  <c r="N75" i="29"/>
  <c r="N21" i="29"/>
  <c r="M323" i="29"/>
  <c r="M14" i="29"/>
  <c r="M82" i="29"/>
  <c r="N141" i="29"/>
  <c r="N103" i="29"/>
  <c r="N241" i="29"/>
  <c r="N203" i="29"/>
  <c r="N149" i="29"/>
  <c r="N111" i="29"/>
  <c r="M78" i="29"/>
  <c r="N217" i="29"/>
  <c r="N568" i="29"/>
  <c r="N513" i="29"/>
  <c r="M565" i="29"/>
  <c r="M576" i="29"/>
  <c r="N479" i="29"/>
  <c r="N490" i="29"/>
  <c r="M112" i="29"/>
  <c r="AG112" i="29" s="1"/>
  <c r="N369" i="29"/>
  <c r="N389" i="29"/>
  <c r="N412" i="29"/>
  <c r="N381" i="29"/>
  <c r="M405" i="29"/>
  <c r="AG405" i="29" s="1"/>
  <c r="M368" i="29"/>
  <c r="M487" i="29"/>
  <c r="M362" i="29"/>
  <c r="N383" i="29"/>
  <c r="AH383" i="29" s="1"/>
  <c r="M57" i="29"/>
  <c r="M512" i="29"/>
  <c r="N395" i="29"/>
  <c r="N386" i="29"/>
  <c r="M339" i="29"/>
  <c r="M356" i="29"/>
  <c r="N431" i="29"/>
  <c r="M503" i="29"/>
  <c r="N582" i="29"/>
  <c r="M129" i="29"/>
  <c r="N292" i="29"/>
  <c r="M116" i="29"/>
  <c r="M279" i="29"/>
  <c r="N62" i="29"/>
  <c r="M429" i="29"/>
  <c r="M508" i="29"/>
  <c r="N583" i="29"/>
  <c r="M169" i="29"/>
  <c r="M399" i="29"/>
  <c r="AG399" i="29" s="1"/>
  <c r="N478" i="29"/>
  <c r="M494" i="29"/>
  <c r="N88" i="29"/>
  <c r="N247" i="29"/>
  <c r="M75" i="29"/>
  <c r="N317" i="29"/>
  <c r="M523" i="29"/>
  <c r="AG523" i="29" s="1"/>
  <c r="N602" i="29"/>
  <c r="M321" i="29"/>
  <c r="N324" i="29"/>
  <c r="M100" i="29"/>
  <c r="M199" i="29"/>
  <c r="M102" i="29"/>
  <c r="M119" i="29"/>
  <c r="AG119" i="29" s="1"/>
  <c r="N157" i="29"/>
  <c r="M329" i="29"/>
  <c r="AG329" i="29" s="1"/>
  <c r="M387" i="29"/>
  <c r="N402" i="29"/>
  <c r="M144" i="29"/>
  <c r="M198" i="29"/>
  <c r="AG198" i="29" s="1"/>
  <c r="N567" i="29"/>
  <c r="M470" i="29"/>
  <c r="M298" i="29"/>
  <c r="M253" i="29"/>
  <c r="M303" i="29"/>
  <c r="N65" i="29"/>
  <c r="N309" i="29"/>
  <c r="N18" i="29"/>
  <c r="M155" i="29"/>
  <c r="AG155" i="29" s="1"/>
  <c r="N38" i="29"/>
  <c r="BM124" i="24"/>
  <c r="N537" i="29"/>
  <c r="N572" i="29"/>
  <c r="N533" i="29"/>
  <c r="M585" i="29"/>
  <c r="M600" i="29"/>
  <c r="N515" i="29"/>
  <c r="N546" i="29"/>
  <c r="M212" i="29"/>
  <c r="N401" i="29"/>
  <c r="N416" i="29"/>
  <c r="N508" i="29"/>
  <c r="N525" i="29"/>
  <c r="AH525" i="29" s="1"/>
  <c r="M577" i="29"/>
  <c r="M592" i="29"/>
  <c r="N499" i="29"/>
  <c r="N522" i="29"/>
  <c r="M176" i="29"/>
  <c r="N433" i="29"/>
  <c r="N404" i="29"/>
  <c r="M20" i="29"/>
  <c r="N585" i="29"/>
  <c r="M185" i="29"/>
  <c r="M245" i="29"/>
  <c r="N611" i="29"/>
  <c r="M325" i="29"/>
  <c r="N160" i="29"/>
  <c r="N532" i="29"/>
  <c r="M537" i="29"/>
  <c r="M432" i="29"/>
  <c r="M595" i="29"/>
  <c r="M534" i="29"/>
  <c r="N540" i="29"/>
  <c r="N528" i="29"/>
  <c r="X528" i="29" s="1"/>
  <c r="Y528" i="29" s="1"/>
  <c r="N481" i="29"/>
  <c r="M533" i="29"/>
  <c r="M528" i="29"/>
  <c r="AG528" i="29" s="1"/>
  <c r="N415" i="29"/>
  <c r="N406" i="29"/>
  <c r="N275" i="29"/>
  <c r="M581" i="29"/>
  <c r="M601" i="29"/>
  <c r="N605" i="29"/>
  <c r="M345" i="29"/>
  <c r="M361" i="29"/>
  <c r="AG361" i="29" s="1"/>
  <c r="M45" i="29"/>
  <c r="M403" i="29"/>
  <c r="AG403" i="29" s="1"/>
  <c r="N260" i="29"/>
  <c r="N504" i="29"/>
  <c r="M557" i="29"/>
  <c r="M464" i="29"/>
  <c r="M105" i="29"/>
  <c r="M81" i="29"/>
  <c r="AG81" i="29" s="1"/>
  <c r="N166" i="29"/>
  <c r="M141" i="29"/>
  <c r="N399" i="29"/>
  <c r="M471" i="29"/>
  <c r="AG471" i="29" s="1"/>
  <c r="N550" i="29"/>
  <c r="N13" i="29"/>
  <c r="N228" i="29"/>
  <c r="M52" i="29"/>
  <c r="M215" i="29"/>
  <c r="M266" i="29"/>
  <c r="M397" i="29"/>
  <c r="M476" i="29"/>
  <c r="N551" i="29"/>
  <c r="N392" i="29"/>
  <c r="M367" i="29"/>
  <c r="N446" i="29"/>
  <c r="M442" i="29"/>
  <c r="AG442" i="29" s="1"/>
  <c r="N24" i="29"/>
  <c r="X24" i="29" s="1"/>
  <c r="Y24" i="29" s="1"/>
  <c r="N183" i="29"/>
  <c r="N350" i="29"/>
  <c r="N189" i="29"/>
  <c r="AH189" i="29" s="1"/>
  <c r="M491" i="29"/>
  <c r="N570" i="29"/>
  <c r="N464" i="29"/>
  <c r="N276" i="29"/>
  <c r="M36" i="29"/>
  <c r="M135" i="29"/>
  <c r="N313" i="29"/>
  <c r="N330" i="29"/>
  <c r="N29" i="29"/>
  <c r="M73" i="29"/>
  <c r="M355" i="29"/>
  <c r="M257" i="29"/>
  <c r="M16" i="29"/>
  <c r="N281" i="29"/>
  <c r="N375" i="29"/>
  <c r="M366" i="29"/>
  <c r="AG366" i="29" s="1"/>
  <c r="N253" i="29"/>
  <c r="N156" i="29"/>
  <c r="M207" i="29"/>
  <c r="M224" i="29"/>
  <c r="M514" i="29"/>
  <c r="M190" i="29"/>
  <c r="M27" i="29"/>
  <c r="M242" i="29"/>
  <c r="U309" i="29"/>
  <c r="V309" i="29"/>
  <c r="V474" i="29"/>
  <c r="U306" i="29"/>
  <c r="V306" i="29"/>
  <c r="V570" i="29"/>
  <c r="V596" i="29"/>
  <c r="U596" i="29"/>
  <c r="Y4" i="29"/>
  <c r="M154" i="24"/>
  <c r="N154" i="24" s="1"/>
  <c r="P154" i="24" s="1"/>
  <c r="M371" i="29"/>
  <c r="M313" i="29"/>
  <c r="N488" i="29"/>
  <c r="N437" i="29"/>
  <c r="M481" i="29"/>
  <c r="M456" i="29"/>
  <c r="N460" i="29"/>
  <c r="M602" i="29"/>
  <c r="M275" i="29"/>
  <c r="M389" i="29"/>
  <c r="AG389" i="29" s="1"/>
  <c r="M454" i="29"/>
  <c r="N612" i="29"/>
  <c r="N429" i="29"/>
  <c r="M469" i="29"/>
  <c r="M440" i="29"/>
  <c r="M17" i="29"/>
  <c r="M566" i="29"/>
  <c r="M147" i="29"/>
  <c r="M433" i="29"/>
  <c r="M145" i="29"/>
  <c r="AG145" i="29" s="1"/>
  <c r="N592" i="29"/>
  <c r="N489" i="29"/>
  <c r="M541" i="29"/>
  <c r="M536" i="29"/>
  <c r="N427" i="29"/>
  <c r="N426" i="29"/>
  <c r="AH426" i="29" s="1"/>
  <c r="N319" i="29"/>
  <c r="N485" i="29"/>
  <c r="M373" i="29"/>
  <c r="N607" i="29"/>
  <c r="M261" i="29"/>
  <c r="M132" i="29"/>
  <c r="N581" i="29"/>
  <c r="N432" i="29"/>
  <c r="N385" i="29"/>
  <c r="M409" i="29"/>
  <c r="AG409" i="29" s="1"/>
  <c r="M372" i="29"/>
  <c r="M499" i="29"/>
  <c r="M378" i="29"/>
  <c r="N89" i="29"/>
  <c r="M455" i="29"/>
  <c r="N536" i="29"/>
  <c r="N509" i="29"/>
  <c r="M561" i="29"/>
  <c r="M568" i="29"/>
  <c r="N467" i="29"/>
  <c r="AH467" i="29" s="1"/>
  <c r="N482" i="29"/>
  <c r="M84" i="29"/>
  <c r="N569" i="29"/>
  <c r="M401" i="29"/>
  <c r="N468" i="29"/>
  <c r="M391" i="29"/>
  <c r="N244" i="29"/>
  <c r="M484" i="29"/>
  <c r="N559" i="29"/>
  <c r="N440" i="29"/>
  <c r="M375" i="29"/>
  <c r="N454" i="29"/>
  <c r="M458" i="29"/>
  <c r="N36" i="29"/>
  <c r="N195" i="29"/>
  <c r="M23" i="29"/>
  <c r="N221" i="29"/>
  <c r="N420" i="29"/>
  <c r="M380" i="29"/>
  <c r="N455" i="29"/>
  <c r="M527" i="29"/>
  <c r="N606" i="29"/>
  <c r="M349" i="29"/>
  <c r="N336" i="29"/>
  <c r="M168" i="29"/>
  <c r="M331" i="29"/>
  <c r="AG331" i="29" s="1"/>
  <c r="N158" i="29"/>
  <c r="M137" i="29"/>
  <c r="M395" i="29"/>
  <c r="N474" i="29"/>
  <c r="M490" i="29"/>
  <c r="N84" i="29"/>
  <c r="N115" i="29"/>
  <c r="N218" i="29"/>
  <c r="N35" i="29"/>
  <c r="N126" i="29"/>
  <c r="N507" i="29"/>
  <c r="M547" i="29"/>
  <c r="N594" i="29"/>
  <c r="N312" i="29"/>
  <c r="M179" i="29"/>
  <c r="M113" i="29"/>
  <c r="M383" i="29"/>
  <c r="AG383" i="29" s="1"/>
  <c r="M200" i="29"/>
  <c r="M166" i="29"/>
  <c r="M204" i="29"/>
  <c r="N130" i="29"/>
  <c r="M163" i="29"/>
  <c r="M156" i="29"/>
  <c r="N328" i="29"/>
  <c r="N301" i="29"/>
  <c r="AH627" i="29"/>
  <c r="V246" i="29"/>
  <c r="V273" i="29"/>
  <c r="AE402" i="29"/>
  <c r="AE92" i="29"/>
  <c r="AE278" i="29"/>
  <c r="AE142" i="29"/>
  <c r="AD449" i="29"/>
  <c r="AD594" i="29"/>
  <c r="AE88" i="29"/>
  <c r="AE207" i="29"/>
  <c r="AE44" i="29"/>
  <c r="U347" i="29"/>
  <c r="V290" i="29"/>
  <c r="AD76" i="29"/>
  <c r="AD64" i="29"/>
  <c r="AE434" i="29"/>
  <c r="AD218" i="29"/>
  <c r="AE285" i="29"/>
  <c r="AD155" i="29"/>
  <c r="AD263" i="29"/>
  <c r="AE208" i="29"/>
  <c r="AD100" i="29"/>
  <c r="AD60" i="29"/>
  <c r="AE81" i="29"/>
  <c r="AE297" i="29"/>
  <c r="AE560" i="29"/>
  <c r="AD24" i="29"/>
  <c r="AE15" i="29"/>
  <c r="AH622" i="29"/>
  <c r="AD79" i="29"/>
  <c r="AD57" i="29"/>
  <c r="AD39" i="29"/>
  <c r="AD35" i="29"/>
  <c r="V201" i="29"/>
  <c r="AE175" i="29"/>
  <c r="AE33" i="29"/>
  <c r="AE155" i="29"/>
  <c r="AE151" i="29"/>
  <c r="AD250" i="29"/>
  <c r="AE304" i="29"/>
  <c r="AD291" i="29"/>
  <c r="AE121" i="29"/>
  <c r="AE91" i="29"/>
  <c r="AD176" i="29"/>
  <c r="AE222" i="29"/>
  <c r="AD313" i="29"/>
  <c r="AE24" i="29"/>
  <c r="AD107" i="29"/>
  <c r="AE52" i="29"/>
  <c r="AD29" i="29"/>
  <c r="AD366" i="29"/>
  <c r="AD345" i="29"/>
  <c r="AE401" i="29"/>
  <c r="AD136" i="29"/>
  <c r="AE235" i="29"/>
  <c r="AE123" i="29"/>
  <c r="AE299" i="29"/>
  <c r="AD360" i="29"/>
  <c r="AE570" i="29"/>
  <c r="AD224" i="29"/>
  <c r="AD207" i="29"/>
  <c r="AD296" i="29"/>
  <c r="AD189" i="29"/>
  <c r="AE267" i="29"/>
  <c r="AE373" i="29"/>
  <c r="AE451" i="29"/>
  <c r="AE158" i="29"/>
  <c r="AE111" i="29"/>
  <c r="AE261" i="29"/>
  <c r="AE333" i="29"/>
  <c r="AD349" i="29"/>
  <c r="AE61" i="29"/>
  <c r="AO607" i="29"/>
  <c r="AO543" i="29"/>
  <c r="AO397" i="29"/>
  <c r="AO262" i="29"/>
  <c r="AE589" i="29"/>
  <c r="AE51" i="29"/>
  <c r="AE75" i="29"/>
  <c r="T329" i="29"/>
  <c r="AE329" i="29" s="1"/>
  <c r="T369" i="29"/>
  <c r="T350" i="29"/>
  <c r="S323" i="29"/>
  <c r="AD323" i="29" s="1"/>
  <c r="S367" i="29"/>
  <c r="AD367" i="29" s="1"/>
  <c r="S370" i="29"/>
  <c r="AD370" i="29" s="1"/>
  <c r="S352" i="29"/>
  <c r="AD352" i="29" s="1"/>
  <c r="T364" i="29"/>
  <c r="S404" i="29"/>
  <c r="AD404" i="29" s="1"/>
  <c r="S442" i="29"/>
  <c r="AD442" i="29" s="1"/>
  <c r="S412" i="29"/>
  <c r="AD412" i="29" s="1"/>
  <c r="T394" i="29"/>
  <c r="S395" i="29"/>
  <c r="AD395" i="29" s="1"/>
  <c r="T379" i="29"/>
  <c r="T432" i="29"/>
  <c r="AE432" i="29" s="1"/>
  <c r="S400" i="29"/>
  <c r="AD400" i="29" s="1"/>
  <c r="S414" i="29"/>
  <c r="AD414" i="29" s="1"/>
  <c r="S410" i="29"/>
  <c r="AD410" i="29" s="1"/>
  <c r="S458" i="29"/>
  <c r="AD458" i="29" s="1"/>
  <c r="S431" i="29"/>
  <c r="AD431" i="29" s="1"/>
  <c r="T419" i="29"/>
  <c r="T459" i="29"/>
  <c r="AE459" i="29" s="1"/>
  <c r="S456" i="29"/>
  <c r="AD456" i="29" s="1"/>
  <c r="S417" i="29"/>
  <c r="AD417" i="29" s="1"/>
  <c r="S457" i="29"/>
  <c r="AD457" i="29" s="1"/>
  <c r="S465" i="29"/>
  <c r="AD465" i="29" s="1"/>
  <c r="T479" i="29"/>
  <c r="S463" i="29"/>
  <c r="AD463" i="29" s="1"/>
  <c r="S481" i="29"/>
  <c r="AD481" i="29" s="1"/>
  <c r="T505" i="29"/>
  <c r="AE505" i="29" s="1"/>
  <c r="S494" i="29"/>
  <c r="AD494" i="29" s="1"/>
  <c r="S520" i="29"/>
  <c r="AD520" i="29" s="1"/>
  <c r="T499" i="29"/>
  <c r="AE499" i="29" s="1"/>
  <c r="T520" i="29"/>
  <c r="T540" i="29"/>
  <c r="AE540" i="29" s="1"/>
  <c r="T524" i="29"/>
  <c r="AE524" i="29" s="1"/>
  <c r="T529" i="29"/>
  <c r="AE529" i="29" s="1"/>
  <c r="T554" i="29"/>
  <c r="AE554" i="29" s="1"/>
  <c r="T535" i="29"/>
  <c r="AE535" i="29" s="1"/>
  <c r="T593" i="29"/>
  <c r="AE593" i="29" s="1"/>
  <c r="T566" i="29"/>
  <c r="AE566" i="29" s="1"/>
  <c r="T558" i="29"/>
  <c r="AE558" i="29" s="1"/>
  <c r="T571" i="29"/>
  <c r="AE571" i="29" s="1"/>
  <c r="T565" i="29"/>
  <c r="AE565" i="29" s="1"/>
  <c r="T574" i="29"/>
  <c r="AE574" i="29" s="1"/>
  <c r="T572" i="29"/>
  <c r="AE572" i="29" s="1"/>
  <c r="S600" i="29"/>
  <c r="AD600" i="29" s="1"/>
  <c r="S588" i="29"/>
  <c r="AD588" i="29" s="1"/>
  <c r="S611" i="29"/>
  <c r="AD611" i="29" s="1"/>
  <c r="S609" i="29"/>
  <c r="AD609" i="29" s="1"/>
  <c r="S610" i="29"/>
  <c r="AD610" i="29" s="1"/>
  <c r="S115" i="29"/>
  <c r="AD115" i="29" s="1"/>
  <c r="S40" i="29"/>
  <c r="AD40" i="29" s="1"/>
  <c r="AO566" i="29"/>
  <c r="AO514" i="29"/>
  <c r="AO355" i="29"/>
  <c r="AO297" i="29"/>
  <c r="AO241" i="29"/>
  <c r="AO589" i="29"/>
  <c r="V530" i="29"/>
  <c r="AO480" i="29"/>
  <c r="U257" i="29"/>
  <c r="AE358" i="29"/>
  <c r="AD419" i="29"/>
  <c r="AD452" i="29"/>
  <c r="AE534" i="29"/>
  <c r="AD565" i="29"/>
  <c r="AE47" i="29"/>
  <c r="AE164" i="29"/>
  <c r="AD298" i="29"/>
  <c r="AE188" i="29"/>
  <c r="AE21" i="29"/>
  <c r="T341" i="29"/>
  <c r="AE341" i="29" s="1"/>
  <c r="T322" i="29"/>
  <c r="AE322" i="29" s="1"/>
  <c r="S371" i="29"/>
  <c r="AD371" i="29" s="1"/>
  <c r="S343" i="29"/>
  <c r="AD343" i="29" s="1"/>
  <c r="T343" i="29"/>
  <c r="AE343" i="29" s="1"/>
  <c r="S328" i="29"/>
  <c r="AD328" i="29" s="1"/>
  <c r="S368" i="29"/>
  <c r="AD368" i="29" s="1"/>
  <c r="T377" i="29"/>
  <c r="AE377" i="29" s="1"/>
  <c r="S416" i="29"/>
  <c r="AD416" i="29" s="1"/>
  <c r="S390" i="29"/>
  <c r="AD390" i="29" s="1"/>
  <c r="T370" i="29"/>
  <c r="AE370" i="29" s="1"/>
  <c r="T412" i="29"/>
  <c r="AE412" i="29" s="1"/>
  <c r="T413" i="29"/>
  <c r="AE413" i="29" s="1"/>
  <c r="T391" i="29"/>
  <c r="AE391" i="29" s="1"/>
  <c r="S454" i="29"/>
  <c r="AD454" i="29" s="1"/>
  <c r="T380" i="29"/>
  <c r="AE380" i="29" s="1"/>
  <c r="S381" i="29"/>
  <c r="AD381" i="29" s="1"/>
  <c r="S422" i="29"/>
  <c r="AD422" i="29" s="1"/>
  <c r="S407" i="29"/>
  <c r="AD407" i="29" s="1"/>
  <c r="S447" i="29"/>
  <c r="AD447" i="29" s="1"/>
  <c r="T431" i="29"/>
  <c r="AE431" i="29" s="1"/>
  <c r="S428" i="29"/>
  <c r="AD428" i="29" s="1"/>
  <c r="T448" i="29"/>
  <c r="AE448" i="29" s="1"/>
  <c r="S433" i="29"/>
  <c r="AD433" i="29" s="1"/>
  <c r="T445" i="29"/>
  <c r="AE445" i="29" s="1"/>
  <c r="S479" i="29"/>
  <c r="AD479" i="29" s="1"/>
  <c r="S462" i="29"/>
  <c r="AD462" i="29" s="1"/>
  <c r="S475" i="29"/>
  <c r="AD475" i="29" s="1"/>
  <c r="S468" i="29"/>
  <c r="AD468" i="29" s="1"/>
  <c r="T472" i="29"/>
  <c r="T515" i="29"/>
  <c r="AE515" i="29" s="1"/>
  <c r="S495" i="29"/>
  <c r="AD495" i="29" s="1"/>
  <c r="T492" i="29"/>
  <c r="AE492" i="29" s="1"/>
  <c r="S513" i="29"/>
  <c r="S522" i="29"/>
  <c r="AD522" i="29" s="1"/>
  <c r="S507" i="29"/>
  <c r="AD507" i="29" s="1"/>
  <c r="T545" i="29"/>
  <c r="AE545" i="29" s="1"/>
  <c r="S535" i="29"/>
  <c r="AD535" i="29" s="1"/>
  <c r="S528" i="29"/>
  <c r="AD528" i="29" s="1"/>
  <c r="S541" i="29"/>
  <c r="AD541" i="29" s="1"/>
  <c r="T555" i="29"/>
  <c r="T573" i="29"/>
  <c r="AE573" i="29" s="1"/>
  <c r="T557" i="29"/>
  <c r="AE557" i="29" s="1"/>
  <c r="T581" i="29"/>
  <c r="AE581" i="29" s="1"/>
  <c r="S581" i="29"/>
  <c r="AD581" i="29" s="1"/>
  <c r="S582" i="29"/>
  <c r="AD582" i="29" s="1"/>
  <c r="S591" i="29"/>
  <c r="AD591" i="29" s="1"/>
  <c r="T588" i="29"/>
  <c r="T600" i="29"/>
  <c r="AE600" i="29" s="1"/>
  <c r="T601" i="29"/>
  <c r="AE601" i="29" s="1"/>
  <c r="S95" i="29"/>
  <c r="AD95" i="29" s="1"/>
  <c r="S37" i="29"/>
  <c r="S21" i="29"/>
  <c r="AD21" i="29" s="1"/>
  <c r="S67" i="29"/>
  <c r="AD67" i="29" s="1"/>
  <c r="AO524" i="29"/>
  <c r="AO448" i="29"/>
  <c r="AO600" i="29"/>
  <c r="U390" i="29"/>
  <c r="AO289" i="29"/>
  <c r="AO356" i="29"/>
  <c r="AO591" i="29"/>
  <c r="AO450" i="29"/>
  <c r="AO267" i="29"/>
  <c r="V267" i="29" s="1"/>
  <c r="V582" i="29"/>
  <c r="AO601" i="29"/>
  <c r="AO538" i="29"/>
  <c r="AO319" i="29"/>
  <c r="AO416" i="29"/>
  <c r="AO307" i="29"/>
  <c r="K137" i="24"/>
  <c r="N313" i="25"/>
  <c r="L197" i="25"/>
  <c r="BM189" i="24"/>
  <c r="K156" i="24"/>
  <c r="BM180" i="24"/>
  <c r="BL200" i="25"/>
  <c r="N183" i="25"/>
  <c r="Y5" i="29"/>
  <c r="N73" i="29"/>
  <c r="M90" i="29"/>
  <c r="N263" i="29"/>
  <c r="N81" i="29"/>
  <c r="M255" i="29"/>
  <c r="AG255" i="29" s="1"/>
  <c r="M386" i="29"/>
  <c r="AG386" i="29" s="1"/>
  <c r="N214" i="29"/>
  <c r="N48" i="29"/>
  <c r="N34" i="29"/>
  <c r="N187" i="29"/>
  <c r="N220" i="29"/>
  <c r="M103" i="29"/>
  <c r="M72"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AG626" i="29"/>
  <c r="K636" i="29" s="1"/>
  <c r="K164" i="24"/>
  <c r="M131" i="24"/>
  <c r="N131" i="24" s="1"/>
  <c r="P131" i="24" s="1"/>
  <c r="AG627" i="29"/>
  <c r="E158" i="8"/>
  <c r="E157" i="8" s="1"/>
  <c r="M136" i="24"/>
  <c r="N136" i="24" s="1"/>
  <c r="P136" i="24" s="1"/>
  <c r="W3" i="29"/>
  <c r="V174" i="29"/>
  <c r="U174" i="29"/>
  <c r="U357" i="29"/>
  <c r="V357" i="29"/>
  <c r="V502" i="29"/>
  <c r="U502" i="29"/>
  <c r="V552" i="29"/>
  <c r="U552" i="29"/>
  <c r="V519" i="29"/>
  <c r="U519" i="29"/>
  <c r="U482" i="29"/>
  <c r="Y3" i="29"/>
  <c r="V230" i="29"/>
  <c r="U230" i="29"/>
  <c r="AD85"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AE40" i="29"/>
  <c r="L27" i="25"/>
  <c r="L21" i="25"/>
  <c r="L52" i="25"/>
  <c r="L84" i="25"/>
  <c r="AE626" i="29"/>
  <c r="AD103" i="29"/>
  <c r="AE228" i="29"/>
  <c r="AE321" i="29"/>
  <c r="AD612" i="29"/>
  <c r="AE119" i="29"/>
  <c r="AE252" i="29"/>
  <c r="AE521" i="29"/>
  <c r="AE41" i="29"/>
  <c r="AD201" i="29"/>
  <c r="AE309" i="29"/>
  <c r="AD167" i="29"/>
  <c r="AE365" i="29"/>
  <c r="AE510" i="29"/>
  <c r="AD84" i="29"/>
  <c r="AD93" i="29"/>
  <c r="AE234" i="29"/>
  <c r="AE199" i="29"/>
  <c r="AE257" i="29"/>
  <c r="AD339" i="29"/>
  <c r="AD240" i="29"/>
  <c r="AD511" i="29"/>
  <c r="AD173" i="29"/>
  <c r="AD281" i="29"/>
  <c r="AD171" i="29"/>
  <c r="AD229" i="29"/>
  <c r="AD444" i="29"/>
  <c r="AE109" i="29"/>
  <c r="AD331" i="29"/>
  <c r="AD275" i="29"/>
  <c r="AE113" i="29"/>
  <c r="AE607" i="29"/>
  <c r="AE359" i="29"/>
  <c r="AD379" i="29"/>
  <c r="AE439" i="29"/>
  <c r="AE456" i="29"/>
  <c r="AD472" i="29"/>
  <c r="AE481" i="29"/>
  <c r="AD560" i="29"/>
  <c r="AD114" i="29"/>
  <c r="V611" i="29"/>
  <c r="AO449" i="29"/>
  <c r="AO375" i="29"/>
  <c r="AO420" i="29"/>
  <c r="AE363" i="29"/>
  <c r="AE103" i="29"/>
  <c r="AE70" i="29"/>
  <c r="AD387" i="29"/>
  <c r="AD351" i="29"/>
  <c r="AE437" i="29"/>
  <c r="AE608" i="29"/>
  <c r="AD409" i="29"/>
  <c r="AD210" i="29"/>
  <c r="AE143" i="29"/>
  <c r="AE397" i="29"/>
  <c r="AD441" i="29"/>
  <c r="AO358" i="29"/>
  <c r="S63" i="29"/>
  <c r="AD63" i="29" s="1"/>
  <c r="S89" i="29"/>
  <c r="AD89" i="29" s="1"/>
  <c r="S82" i="29"/>
  <c r="AD82" i="29" s="1"/>
  <c r="S598" i="29"/>
  <c r="AD598" i="29" s="1"/>
  <c r="S605" i="29"/>
  <c r="AD605" i="29" s="1"/>
  <c r="T627" i="29"/>
  <c r="X627" i="29" s="1"/>
  <c r="Y627" i="29" s="1"/>
  <c r="T594" i="29"/>
  <c r="AE594" i="29" s="1"/>
  <c r="T587" i="29"/>
  <c r="S599" i="29"/>
  <c r="AD599" i="29" s="1"/>
  <c r="T577" i="29"/>
  <c r="AE577" i="29" s="1"/>
  <c r="S575" i="29"/>
  <c r="AD575" i="29" s="1"/>
  <c r="S570" i="29"/>
  <c r="AD570" i="29" s="1"/>
  <c r="S554" i="29"/>
  <c r="AD554" i="29" s="1"/>
  <c r="S577" i="29"/>
  <c r="S572" i="29"/>
  <c r="AD572" i="29" s="1"/>
  <c r="T562" i="29"/>
  <c r="S551" i="29"/>
  <c r="S525" i="29"/>
  <c r="AD525" i="29" s="1"/>
  <c r="S583" i="29"/>
  <c r="AD583" i="29" s="1"/>
  <c r="S539" i="29"/>
  <c r="AD539" i="29" s="1"/>
  <c r="S530" i="29"/>
  <c r="AD530" i="29" s="1"/>
  <c r="T525" i="29"/>
  <c r="T536" i="29"/>
  <c r="S523" i="29"/>
  <c r="AD523" i="29" s="1"/>
  <c r="T509" i="29"/>
  <c r="T512" i="29"/>
  <c r="AE512" i="29" s="1"/>
  <c r="S516" i="29"/>
  <c r="S491" i="29"/>
  <c r="AD491" i="29" s="1"/>
  <c r="T482" i="29"/>
  <c r="AE482" i="29" s="1"/>
  <c r="S486" i="29"/>
  <c r="AD486" i="29" s="1"/>
  <c r="S508" i="29"/>
  <c r="AD508" i="29" s="1"/>
  <c r="S464" i="29"/>
  <c r="AD464" i="29" s="1"/>
  <c r="S497" i="29"/>
  <c r="AD497" i="29" s="1"/>
  <c r="T485" i="29"/>
  <c r="T478" i="29"/>
  <c r="AE478" i="29" s="1"/>
  <c r="S477" i="29"/>
  <c r="AD477" i="29" s="1"/>
  <c r="T449" i="29"/>
  <c r="AE449" i="29" s="1"/>
  <c r="S445" i="29"/>
  <c r="AD445" i="29" s="1"/>
  <c r="S413" i="29"/>
  <c r="AD413" i="29" s="1"/>
  <c r="T470" i="29"/>
  <c r="AE470" i="29" s="1"/>
  <c r="S432" i="29"/>
  <c r="AD432" i="29" s="1"/>
  <c r="T443" i="29"/>
  <c r="AE443" i="29" s="1"/>
  <c r="T411" i="29"/>
  <c r="S435" i="29"/>
  <c r="AD435" i="29" s="1"/>
  <c r="T466" i="29"/>
  <c r="AE466" i="29" s="1"/>
  <c r="S430" i="29"/>
  <c r="AD430" i="29" s="1"/>
  <c r="S397" i="29"/>
  <c r="AD397" i="29" s="1"/>
  <c r="T418" i="29"/>
  <c r="AE418" i="29" s="1"/>
  <c r="T376" i="29"/>
  <c r="AE376" i="29" s="1"/>
  <c r="S380" i="29"/>
  <c r="AD380" i="29" s="1"/>
  <c r="T409" i="29"/>
  <c r="T375" i="29"/>
  <c r="AE375" i="29" s="1"/>
  <c r="S403" i="29"/>
  <c r="AD403" i="29" s="1"/>
  <c r="T417" i="29"/>
  <c r="AE417" i="29" s="1"/>
  <c r="T382" i="29"/>
  <c r="AE382" i="29" s="1"/>
  <c r="T406" i="29"/>
  <c r="AE406" i="29" s="1"/>
  <c r="S378" i="29"/>
  <c r="AD378" i="29" s="1"/>
  <c r="T420" i="29"/>
  <c r="AE420" i="29" s="1"/>
  <c r="T389" i="29"/>
  <c r="T356" i="29"/>
  <c r="S356" i="29"/>
  <c r="AD356" i="29" s="1"/>
  <c r="S324" i="29"/>
  <c r="T351" i="29"/>
  <c r="AE351" i="29" s="1"/>
  <c r="S359" i="29"/>
  <c r="AD359" i="29" s="1"/>
  <c r="S327" i="29"/>
  <c r="AD327" i="29" s="1"/>
  <c r="T362" i="29"/>
  <c r="T330" i="29"/>
  <c r="T357" i="29"/>
  <c r="T325" i="29"/>
  <c r="AE325" i="29" s="1"/>
  <c r="T35" i="29"/>
  <c r="AE35" i="29" s="1"/>
  <c r="S102" i="29"/>
  <c r="AD102" i="29" s="1"/>
  <c r="S58" i="29"/>
  <c r="AD58" i="29" s="1"/>
  <c r="T609" i="29"/>
  <c r="AE609" i="29" s="1"/>
  <c r="T612" i="29"/>
  <c r="S604" i="29"/>
  <c r="AD604" i="29" s="1"/>
  <c r="S584" i="29"/>
  <c r="AD584" i="29" s="1"/>
  <c r="T606" i="29"/>
  <c r="AE606" i="29" s="1"/>
  <c r="T578" i="29"/>
  <c r="AE578" i="29" s="1"/>
  <c r="S571" i="29"/>
  <c r="AD571" i="29" s="1"/>
  <c r="S585" i="29"/>
  <c r="AD585" i="29" s="1"/>
  <c r="S569" i="29"/>
  <c r="S557" i="29"/>
  <c r="AD557" i="29" s="1"/>
  <c r="T582" i="29"/>
  <c r="AE582" i="29" s="1"/>
  <c r="S556" i="29"/>
  <c r="AD556" i="29" s="1"/>
  <c r="S529" i="29"/>
  <c r="AD529" i="29" s="1"/>
  <c r="T543" i="29"/>
  <c r="S531" i="29"/>
  <c r="AD531" i="29" s="1"/>
  <c r="T546" i="29"/>
  <c r="AE546" i="29" s="1"/>
  <c r="S519" i="29"/>
  <c r="AD519" i="29" s="1"/>
  <c r="T514" i="29"/>
  <c r="T517" i="29"/>
  <c r="AE517" i="29" s="1"/>
  <c r="T516" i="29"/>
  <c r="S505" i="29"/>
  <c r="AD505" i="29" s="1"/>
  <c r="S483" i="29"/>
  <c r="AD483" i="29" s="1"/>
  <c r="T506" i="29"/>
  <c r="T476" i="29"/>
  <c r="S476" i="29"/>
  <c r="T467" i="29"/>
  <c r="T503" i="29"/>
  <c r="AE503" i="29" s="1"/>
  <c r="T477" i="29"/>
  <c r="AE477" i="29" s="1"/>
  <c r="S469" i="29"/>
  <c r="AD469" i="29" s="1"/>
  <c r="T462" i="29"/>
  <c r="AE462" i="29" s="1"/>
  <c r="S429" i="29"/>
  <c r="AD429" i="29" s="1"/>
  <c r="T452" i="29"/>
  <c r="AE452" i="29" s="1"/>
  <c r="S440" i="29"/>
  <c r="AD440" i="29" s="1"/>
  <c r="T447" i="29"/>
  <c r="T407" i="29"/>
  <c r="AE407" i="29" s="1"/>
  <c r="S427" i="29"/>
  <c r="AD427" i="29" s="1"/>
  <c r="T450" i="29"/>
  <c r="AE450" i="29" s="1"/>
  <c r="S420" i="29"/>
  <c r="AD420" i="29" s="1"/>
  <c r="S377" i="29"/>
  <c r="AD377" i="29" s="1"/>
  <c r="T384" i="29"/>
  <c r="AE384" i="29" s="1"/>
  <c r="S384" i="29"/>
  <c r="AD384" i="29" s="1"/>
  <c r="T403" i="29"/>
  <c r="S434" i="29"/>
  <c r="AD434" i="29" s="1"/>
  <c r="S391" i="29"/>
  <c r="T398" i="29"/>
  <c r="AE398" i="29" s="1"/>
  <c r="T442" i="29"/>
  <c r="S386" i="29"/>
  <c r="AD386" i="29" s="1"/>
  <c r="T422" i="29"/>
  <c r="AE422" i="29" s="1"/>
  <c r="T385" i="29"/>
  <c r="T348" i="29"/>
  <c r="AE348" i="29" s="1"/>
  <c r="S344" i="29"/>
  <c r="AD344" i="29" s="1"/>
  <c r="T367" i="29"/>
  <c r="AE367" i="29" s="1"/>
  <c r="T372" i="29"/>
  <c r="AE372" i="29" s="1"/>
  <c r="S335" i="29"/>
  <c r="AD335" i="29" s="1"/>
  <c r="T366" i="29"/>
  <c r="T326" i="29"/>
  <c r="AE326" i="29" s="1"/>
  <c r="T349" i="29"/>
  <c r="S362" i="29"/>
  <c r="T300" i="29"/>
  <c r="AE300" i="29" s="1"/>
  <c r="S326" i="29"/>
  <c r="AD326" i="29" s="1"/>
  <c r="S284" i="29"/>
  <c r="AD284" i="29" s="1"/>
  <c r="T327" i="29"/>
  <c r="AE327" i="29" s="1"/>
  <c r="S321" i="29"/>
  <c r="AD321" i="29" s="1"/>
  <c r="T306" i="29"/>
  <c r="S302" i="29"/>
  <c r="AD302" i="29" s="1"/>
  <c r="S369" i="29"/>
  <c r="T316" i="29"/>
  <c r="AE316" i="29" s="1"/>
  <c r="T289" i="29"/>
  <c r="AE289" i="29" s="1"/>
  <c r="S270" i="29"/>
  <c r="AD270" i="29" s="1"/>
  <c r="S119" i="29"/>
  <c r="T43" i="29"/>
  <c r="AE43" i="29" s="1"/>
  <c r="AO461" i="29"/>
  <c r="AD25" i="29"/>
  <c r="AE112" i="29"/>
  <c r="AD304" i="29"/>
  <c r="AE460" i="29"/>
  <c r="AE610" i="29"/>
  <c r="AD18" i="29"/>
  <c r="AE116" i="29"/>
  <c r="AE87" i="29"/>
  <c r="AD172" i="29"/>
  <c r="AE237" i="29"/>
  <c r="AE323" i="29"/>
  <c r="AE479" i="29"/>
  <c r="AD179" i="29"/>
  <c r="AE272" i="29"/>
  <c r="AE580" i="29"/>
  <c r="AE120" i="29"/>
  <c r="AE206" i="29"/>
  <c r="AD318" i="29"/>
  <c r="AO546" i="29"/>
  <c r="AO457" i="29"/>
  <c r="AO382" i="29"/>
  <c r="AO462" i="29"/>
  <c r="AO558" i="29"/>
  <c r="AO489" i="29"/>
  <c r="V489" i="29" s="1"/>
  <c r="AO469" i="29"/>
  <c r="U469" i="29" s="1"/>
  <c r="AO460" i="29"/>
  <c r="AO422" i="29"/>
  <c r="AO437" i="29"/>
  <c r="AO580" i="29"/>
  <c r="AO439" i="29"/>
  <c r="AO350" i="29"/>
  <c r="AO341" i="29"/>
  <c r="AO247" i="29"/>
  <c r="AO107" i="29"/>
  <c r="AO68" i="29"/>
  <c r="AO571" i="29"/>
  <c r="AO539" i="29"/>
  <c r="AO477" i="29"/>
  <c r="V477" i="29" s="1"/>
  <c r="AO532" i="29"/>
  <c r="AO444" i="29"/>
  <c r="AO352" i="29"/>
  <c r="AO529" i="29"/>
  <c r="V529" i="29" s="1"/>
  <c r="AO337" i="29"/>
  <c r="AO380" i="29"/>
  <c r="AO285" i="29"/>
  <c r="AO138" i="29"/>
  <c r="AO332" i="29"/>
  <c r="AO264" i="29"/>
  <c r="AO458" i="29"/>
  <c r="U458" i="29" s="1"/>
  <c r="AO259" i="29"/>
  <c r="AO455" i="29"/>
  <c r="AO432" i="29"/>
  <c r="AO317" i="29"/>
  <c r="AO320"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7" i="2"/>
  <c r="E27" i="1" s="1"/>
  <c r="A232" i="2" s="1"/>
  <c r="E95" i="23"/>
  <c r="E88" i="23"/>
  <c r="R88" i="23" s="1"/>
  <c r="E91" i="23"/>
  <c r="R91" i="23" s="1"/>
  <c r="M6" i="24"/>
  <c r="N6" i="24" s="1"/>
  <c r="K81" i="24"/>
  <c r="E106" i="23"/>
  <c r="K84" i="24"/>
  <c r="M95" i="24"/>
  <c r="N95" i="24" s="1"/>
  <c r="M41" i="24"/>
  <c r="N41" i="24" s="1"/>
  <c r="G11" i="2"/>
  <c r="U545" i="29"/>
  <c r="V545" i="29"/>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V498" i="29"/>
  <c r="U498" i="29"/>
  <c r="U515" i="29"/>
  <c r="V515" i="29"/>
  <c r="U417" i="29"/>
  <c r="V417" i="29"/>
  <c r="N54" i="25"/>
  <c r="AE154" i="29"/>
  <c r="AD37" i="29"/>
  <c r="AD38" i="29"/>
  <c r="AD187" i="29"/>
  <c r="AE129" i="29"/>
  <c r="AD290" i="29"/>
  <c r="AO550" i="29"/>
  <c r="M34" i="24"/>
  <c r="N34" i="24" s="1"/>
  <c r="AE122" i="29"/>
  <c r="AD117" i="29"/>
  <c r="AE14" i="29"/>
  <c r="AE410" i="29"/>
  <c r="AD288" i="29"/>
  <c r="AE441" i="29"/>
  <c r="AD389" i="29"/>
  <c r="AE501" i="29"/>
  <c r="AE180" i="29"/>
  <c r="V183" i="29"/>
  <c r="S109" i="29"/>
  <c r="T54" i="29"/>
  <c r="AE54" i="29" s="1"/>
  <c r="S16" i="29"/>
  <c r="AD16" i="29" s="1"/>
  <c r="S32" i="29"/>
  <c r="AD32" i="29" s="1"/>
  <c r="S168" i="29"/>
  <c r="T20" i="29"/>
  <c r="T58" i="29"/>
  <c r="AE58" i="29" s="1"/>
  <c r="S75" i="29"/>
  <c r="AD75" i="29" s="1"/>
  <c r="T16" i="29"/>
  <c r="AE16" i="29" s="1"/>
  <c r="S17" i="29"/>
  <c r="AD17" i="29" s="1"/>
  <c r="T60" i="29"/>
  <c r="AE60" i="29" s="1"/>
  <c r="T68" i="29"/>
  <c r="T19" i="29"/>
  <c r="AE19" i="29" s="1"/>
  <c r="S56" i="29"/>
  <c r="S20" i="29"/>
  <c r="S36" i="29"/>
  <c r="T56" i="29"/>
  <c r="AE56" i="29" s="1"/>
  <c r="S74" i="29"/>
  <c r="AD74" i="29" s="1"/>
  <c r="S106" i="29"/>
  <c r="AD106" i="29" s="1"/>
  <c r="S91" i="29"/>
  <c r="AD91" i="29" s="1"/>
  <c r="S33" i="29"/>
  <c r="AD33" i="29" s="1"/>
  <c r="S45" i="29"/>
  <c r="S97" i="29"/>
  <c r="T613" i="29"/>
  <c r="S601" i="29"/>
  <c r="T592" i="29"/>
  <c r="S596" i="29"/>
  <c r="S580" i="29"/>
  <c r="AD580" i="29" s="1"/>
  <c r="S608" i="29"/>
  <c r="AD608" i="29" s="1"/>
  <c r="S590" i="29"/>
  <c r="AD590" i="29" s="1"/>
  <c r="T568" i="29"/>
  <c r="S567" i="29"/>
  <c r="S566" i="29"/>
  <c r="T559" i="29"/>
  <c r="AE559" i="29" s="1"/>
  <c r="S549" i="29"/>
  <c r="AD549" i="29" s="1"/>
  <c r="T548" i="29"/>
  <c r="S548" i="29"/>
  <c r="T547" i="29"/>
  <c r="AE547" i="29" s="1"/>
  <c r="T585" i="29"/>
  <c r="AE585" i="29" s="1"/>
  <c r="T569" i="29"/>
  <c r="S544" i="29"/>
  <c r="S543" i="29"/>
  <c r="AD543" i="29" s="1"/>
  <c r="S538" i="29"/>
  <c r="AD538" i="29" s="1"/>
  <c r="T537" i="29"/>
  <c r="AE537" i="29" s="1"/>
  <c r="S515" i="29"/>
  <c r="AD515" i="29" s="1"/>
  <c r="T522" i="29"/>
  <c r="AE522" i="29" s="1"/>
  <c r="S514" i="29"/>
  <c r="S521" i="29"/>
  <c r="AD521" i="29" s="1"/>
  <c r="T508" i="29"/>
  <c r="AE508" i="29" s="1"/>
  <c r="T480" i="29"/>
  <c r="S499" i="29"/>
  <c r="AD499" i="29" s="1"/>
  <c r="T494" i="29"/>
  <c r="AE494" i="29" s="1"/>
  <c r="T502" i="29"/>
  <c r="S480" i="29"/>
  <c r="AD480" i="29" s="1"/>
  <c r="S492" i="29"/>
  <c r="AD492" i="29" s="1"/>
  <c r="T497" i="29"/>
  <c r="AE497" i="29" s="1"/>
  <c r="T493" i="29"/>
  <c r="S489" i="29"/>
  <c r="AD489" i="29" s="1"/>
  <c r="S485" i="29"/>
  <c r="AD485" i="29" s="1"/>
  <c r="S500" i="29"/>
  <c r="AD500" i="29" s="1"/>
  <c r="S493" i="29"/>
  <c r="T27" i="29"/>
  <c r="AE27" i="29" s="1"/>
  <c r="S28" i="29"/>
  <c r="AD28" i="29" s="1"/>
  <c r="S44" i="29"/>
  <c r="AD44" i="29" s="1"/>
  <c r="S65" i="29"/>
  <c r="S87" i="29"/>
  <c r="AD87" i="29" s="1"/>
  <c r="S51" i="29"/>
  <c r="AD51" i="29" s="1"/>
  <c r="S110" i="29"/>
  <c r="AD110" i="29" s="1"/>
  <c r="S13" i="29"/>
  <c r="S41" i="29"/>
  <c r="AD41" i="29" s="1"/>
  <c r="S53" i="29"/>
  <c r="AD53" i="29" s="1"/>
  <c r="M176" i="24"/>
  <c r="N176" i="24" s="1"/>
  <c r="P176" i="24" s="1"/>
  <c r="N50" i="25"/>
  <c r="V276" i="29"/>
  <c r="AE39" i="29"/>
  <c r="AD546" i="29"/>
  <c r="AD568" i="29"/>
  <c r="U597" i="29"/>
  <c r="AO531" i="29"/>
  <c r="AO274" i="29"/>
  <c r="B48" i="2"/>
  <c r="AO464" i="29"/>
  <c r="AO584" i="29"/>
  <c r="AO579" i="29"/>
  <c r="AO269" i="29"/>
  <c r="AO594" i="29"/>
  <c r="AO586" i="29"/>
  <c r="U388" i="29"/>
  <c r="AO101" i="29"/>
  <c r="AO161" i="29"/>
  <c r="AO406" i="29"/>
  <c r="AO344" i="29"/>
  <c r="AO578" i="29"/>
  <c r="AO564" i="29"/>
  <c r="AO365" i="29"/>
  <c r="AO345" i="29"/>
  <c r="AO339" i="29"/>
  <c r="AO236" i="29"/>
  <c r="AO194" i="29"/>
  <c r="AO131" i="29"/>
  <c r="AO595" i="29"/>
  <c r="AO431" i="29"/>
  <c r="AO430" i="29"/>
  <c r="AO284" i="29"/>
  <c r="AO404" i="29"/>
  <c r="AO256" i="29"/>
  <c r="AO237" i="29"/>
  <c r="AO359" i="29"/>
  <c r="V359" i="29" s="1"/>
  <c r="AO421" i="29"/>
  <c r="AO521" i="29"/>
  <c r="AO507" i="29"/>
  <c r="AO605" i="29"/>
  <c r="AO590" i="29"/>
  <c r="AO34" i="29"/>
  <c r="AO392" i="29"/>
  <c r="AO581" i="29"/>
  <c r="AO565"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N165" i="29"/>
  <c r="M114" i="29"/>
  <c r="N70" i="29"/>
  <c r="N233" i="29"/>
  <c r="M214" i="29"/>
  <c r="N45" i="29"/>
  <c r="N333" i="29"/>
  <c r="M282" i="29"/>
  <c r="N238" i="29"/>
  <c r="M187" i="29"/>
  <c r="N135" i="29"/>
  <c r="M120" i="29"/>
  <c r="N72" i="29"/>
  <c r="M93" i="29"/>
  <c r="M606" i="29"/>
  <c r="N273" i="29"/>
  <c r="M222" i="29"/>
  <c r="N178" i="29"/>
  <c r="M159" i="29"/>
  <c r="N107" i="29"/>
  <c r="M60" i="29"/>
  <c r="M348" i="29"/>
  <c r="N300" i="29"/>
  <c r="M546" i="29"/>
  <c r="N181" i="29"/>
  <c r="M162" i="29"/>
  <c r="N118" i="29"/>
  <c r="M67" i="29"/>
  <c r="N15" i="29"/>
  <c r="N303" i="29"/>
  <c r="M256" i="29"/>
  <c r="N208" i="29"/>
  <c r="N257" i="29"/>
  <c r="M206" i="29"/>
  <c r="N162" i="29"/>
  <c r="M111" i="29"/>
  <c r="N59" i="29"/>
  <c r="N347" i="29"/>
  <c r="M300" i="29"/>
  <c r="N284" i="29"/>
  <c r="M530" i="29"/>
  <c r="M294" i="29"/>
  <c r="M295" i="29"/>
  <c r="N254" i="29"/>
  <c r="N151" i="29"/>
  <c r="N56" i="29"/>
  <c r="M570" i="29"/>
  <c r="N558" i="29"/>
  <c r="M511" i="29"/>
  <c r="N471" i="29"/>
  <c r="M428" i="29"/>
  <c r="M381" i="29"/>
  <c r="M70" i="29"/>
  <c r="M115" i="29"/>
  <c r="N287" i="29"/>
  <c r="N128" i="29"/>
  <c r="M526" i="29"/>
  <c r="N498" i="29"/>
  <c r="N197" i="29"/>
  <c r="M146" i="29"/>
  <c r="N102" i="29"/>
  <c r="N297" i="29"/>
  <c r="M246" i="29"/>
  <c r="N77" i="29"/>
  <c r="M26" i="29"/>
  <c r="M314" i="29"/>
  <c r="N270" i="29"/>
  <c r="M219" i="29"/>
  <c r="N199" i="29"/>
  <c r="M152" i="29"/>
  <c r="N104" i="29"/>
  <c r="M346" i="29"/>
  <c r="N17" i="29"/>
  <c r="N305" i="29"/>
  <c r="M254" i="29"/>
  <c r="N242" i="29"/>
  <c r="M191" i="29"/>
  <c r="N139" i="29"/>
  <c r="M92" i="29"/>
  <c r="N44" i="29"/>
  <c r="N332" i="29"/>
  <c r="M578" i="29"/>
  <c r="N245" i="29"/>
  <c r="M194" i="29"/>
  <c r="N150" i="29"/>
  <c r="M99" i="29"/>
  <c r="N47" i="29"/>
  <c r="N335" i="29"/>
  <c r="M288" i="29"/>
  <c r="N272" i="29"/>
  <c r="N289" i="29"/>
  <c r="M238" i="29"/>
  <c r="N194" i="29"/>
  <c r="M143" i="29"/>
  <c r="N91" i="29"/>
  <c r="M44" i="29"/>
  <c r="N28" i="29"/>
  <c r="N316" i="29"/>
  <c r="M562" i="29"/>
  <c r="N90" i="29"/>
  <c r="N19" i="29"/>
  <c r="N318" i="29"/>
  <c r="N215" i="29"/>
  <c r="N184" i="29"/>
  <c r="N352" i="29"/>
  <c r="N590" i="29"/>
  <c r="M543" i="29"/>
  <c r="N503" i="29"/>
  <c r="M460" i="29"/>
  <c r="M413" i="29"/>
  <c r="N229" i="29"/>
  <c r="M178" i="29"/>
  <c r="N41" i="29"/>
  <c r="N329" i="29"/>
  <c r="M278" i="29"/>
  <c r="N109" i="29"/>
  <c r="M58" i="29"/>
  <c r="N14" i="29"/>
  <c r="N302" i="29"/>
  <c r="M283" i="29"/>
  <c r="N231" i="29"/>
  <c r="M184" i="29"/>
  <c r="N136" i="29"/>
  <c r="M382" i="29"/>
  <c r="N49" i="29"/>
  <c r="N337" i="29"/>
  <c r="M318" i="29"/>
  <c r="N274" i="29"/>
  <c r="M223" i="29"/>
  <c r="N171" i="29"/>
  <c r="M124" i="29"/>
  <c r="N76" i="29"/>
  <c r="M125" i="29"/>
  <c r="M33" i="29"/>
  <c r="N277" i="29"/>
  <c r="M226" i="29"/>
  <c r="N182" i="29"/>
  <c r="M131" i="29"/>
  <c r="N79" i="29"/>
  <c r="M32" i="29"/>
  <c r="N16" i="29"/>
  <c r="N33" i="29"/>
  <c r="N321" i="29"/>
  <c r="M270" i="29"/>
  <c r="N226" i="29"/>
  <c r="M175" i="29"/>
  <c r="N123" i="29"/>
  <c r="M108" i="29"/>
  <c r="N60" i="29"/>
  <c r="N348" i="29"/>
  <c r="M594" i="29"/>
  <c r="N186" i="29"/>
  <c r="N125" i="29"/>
  <c r="M43" i="29"/>
  <c r="N343" i="29"/>
  <c r="N248" i="29"/>
  <c r="M225" i="29"/>
  <c r="M305" i="29"/>
  <c r="M575" i="29"/>
  <c r="N535" i="29"/>
  <c r="M492" i="29"/>
  <c r="M445" i="29"/>
  <c r="M326" i="29"/>
  <c r="M243" i="29"/>
  <c r="M80" i="29"/>
  <c r="N256" i="29"/>
  <c r="N408" i="29"/>
  <c r="N325" i="29"/>
  <c r="M274" i="29"/>
  <c r="N105" i="29"/>
  <c r="M54" i="29"/>
  <c r="M342" i="29"/>
  <c r="N173" i="29"/>
  <c r="M122" i="29"/>
  <c r="N110" i="29"/>
  <c r="M59" i="29"/>
  <c r="M347" i="29"/>
  <c r="N295" i="29"/>
  <c r="M248" i="29"/>
  <c r="N200" i="29"/>
  <c r="M446" i="29"/>
  <c r="N145" i="29"/>
  <c r="M94" i="29"/>
  <c r="N50" i="29"/>
  <c r="N338" i="29"/>
  <c r="M287" i="29"/>
  <c r="N235" i="29"/>
  <c r="M188" i="29"/>
  <c r="N172" i="29"/>
  <c r="M418" i="29"/>
  <c r="N53" i="29"/>
  <c r="N341" i="29"/>
  <c r="M290" i="29"/>
  <c r="N246" i="29"/>
  <c r="M195" i="29"/>
  <c r="N175" i="29"/>
  <c r="M128" i="29"/>
  <c r="N80" i="29"/>
  <c r="N97" i="29"/>
  <c r="M46" i="29"/>
  <c r="M334" i="29"/>
  <c r="N290" i="29"/>
  <c r="M271" i="29"/>
  <c r="N219" i="29"/>
  <c r="M172" i="29"/>
  <c r="N124" i="29"/>
  <c r="M370" i="29"/>
  <c r="M161" i="29"/>
  <c r="N314" i="29"/>
  <c r="M170" i="29"/>
  <c r="M235" i="29"/>
  <c r="M136" i="29"/>
  <c r="M61" i="29"/>
  <c r="N398" i="29"/>
  <c r="M350" i="29"/>
  <c r="M41" i="29"/>
  <c r="N424" i="29"/>
  <c r="M588" i="29"/>
  <c r="M509" i="29"/>
  <c r="N198" i="29"/>
  <c r="N31" i="29"/>
  <c r="M208" i="29"/>
  <c r="M157" i="29"/>
  <c r="N370" i="29"/>
  <c r="N69" i="29"/>
  <c r="M18" i="29"/>
  <c r="M306" i="29"/>
  <c r="N137" i="29"/>
  <c r="M86" i="29"/>
  <c r="N42" i="29"/>
  <c r="N205" i="29"/>
  <c r="M186" i="29"/>
  <c r="N142" i="29"/>
  <c r="M91" i="29"/>
  <c r="N39" i="29"/>
  <c r="N327" i="29"/>
  <c r="M280" i="29"/>
  <c r="N232" i="29"/>
  <c r="M510" i="29"/>
  <c r="N177" i="29"/>
  <c r="M126" i="29"/>
  <c r="N82" i="29"/>
  <c r="M31" i="29"/>
  <c r="M319" i="29"/>
  <c r="N267" i="29"/>
  <c r="M252" i="29"/>
  <c r="N204" i="29"/>
  <c r="M450" i="29"/>
  <c r="N85" i="29"/>
  <c r="M34" i="29"/>
  <c r="M322" i="29"/>
  <c r="N278" i="29"/>
  <c r="M259" i="29"/>
  <c r="N207" i="29"/>
  <c r="M160" i="29"/>
  <c r="N112" i="29"/>
  <c r="N129" i="29"/>
  <c r="N101" i="29"/>
  <c r="M50" i="29"/>
  <c r="M338" i="29"/>
  <c r="N169" i="29"/>
  <c r="M118" i="29"/>
  <c r="N74" i="29"/>
  <c r="N269" i="29"/>
  <c r="M218" i="29"/>
  <c r="N174" i="29"/>
  <c r="M123" i="29"/>
  <c r="N71" i="29"/>
  <c r="M24" i="29"/>
  <c r="M312" i="29"/>
  <c r="N296" i="29"/>
  <c r="M542" i="29"/>
  <c r="N209" i="29"/>
  <c r="M158" i="29"/>
  <c r="N114" i="29"/>
  <c r="M63" i="29"/>
  <c r="M351" i="29"/>
  <c r="N331" i="29"/>
  <c r="M284" i="29"/>
  <c r="N236" i="29"/>
  <c r="M482" i="29"/>
  <c r="N117" i="29"/>
  <c r="M66" i="29"/>
  <c r="N22" i="29"/>
  <c r="N342" i="29"/>
  <c r="M291" i="29"/>
  <c r="N239" i="29"/>
  <c r="M192" i="29"/>
  <c r="N144" i="29"/>
  <c r="N161" i="29"/>
  <c r="M110" i="29"/>
  <c r="N98" i="29"/>
  <c r="M47" i="29"/>
  <c r="M335" i="29"/>
  <c r="N283" i="29"/>
  <c r="M236" i="29"/>
  <c r="N188" i="29"/>
  <c r="M434" i="29"/>
  <c r="M38" i="29"/>
  <c r="M167" i="29"/>
  <c r="N94" i="29"/>
  <c r="N23" i="29"/>
  <c r="M264" i="29"/>
  <c r="M422" i="29"/>
  <c r="N462" i="29"/>
  <c r="M447" i="29"/>
  <c r="N407" i="29"/>
  <c r="M364" i="29"/>
  <c r="M85" i="29"/>
  <c r="N153" i="29"/>
  <c r="N326" i="29"/>
  <c r="N159" i="29"/>
  <c r="M336" i="29"/>
  <c r="M426" i="29"/>
  <c r="B159" i="8"/>
  <c r="B158" i="8" s="1"/>
  <c r="B157" i="8" s="1"/>
  <c r="K50" i="2"/>
  <c r="A2" i="21" s="1"/>
  <c r="I623" i="29"/>
  <c r="R623" i="29"/>
  <c r="O623" i="29"/>
  <c r="P623" i="29"/>
  <c r="T623" i="29"/>
  <c r="J623" i="29"/>
  <c r="D219" i="2"/>
  <c r="C219" i="2"/>
  <c r="D218" i="2"/>
  <c r="AO179" i="29"/>
  <c r="AO378" i="29"/>
  <c r="AD73" i="29"/>
  <c r="AE138" i="29"/>
  <c r="AO603" i="29"/>
  <c r="AO73" i="29"/>
  <c r="D158" i="8"/>
  <c r="D157" i="8" s="1"/>
  <c r="AD626" i="29"/>
  <c r="AO303" i="29"/>
  <c r="V292" i="29"/>
  <c r="AO496" i="29"/>
  <c r="AO440" i="29"/>
  <c r="AO343" i="29"/>
  <c r="AO312" i="29"/>
  <c r="AD294" i="29"/>
  <c r="AD329" i="29"/>
  <c r="AE381" i="29"/>
  <c r="V182" i="29"/>
  <c r="AO508" i="29"/>
  <c r="AO606" i="29"/>
  <c r="AO240" i="29"/>
  <c r="AO202" i="29"/>
  <c r="AO83" i="29"/>
  <c r="AE526" i="29"/>
  <c r="AE307" i="29"/>
  <c r="AE212" i="29"/>
  <c r="AO376" i="29"/>
  <c r="AO398" i="29"/>
  <c r="AO228" i="29"/>
  <c r="AD177" i="29"/>
  <c r="AO573" i="29"/>
  <c r="AO443" i="29"/>
  <c r="AO557" i="29"/>
  <c r="AO250" i="29"/>
  <c r="AO78" i="29"/>
  <c r="AO16" i="29"/>
  <c r="AD196" i="29"/>
  <c r="AE350" i="29"/>
  <c r="AE495" i="29"/>
  <c r="AE588" i="29"/>
  <c r="AO563" i="29"/>
  <c r="AO537" i="29"/>
  <c r="AO547" i="29"/>
  <c r="U547" i="29" s="1"/>
  <c r="AO286" i="29"/>
  <c r="AO505" i="29"/>
  <c r="U530" i="29"/>
  <c r="AO522" i="29"/>
  <c r="U525" i="29"/>
  <c r="U215" i="29"/>
  <c r="AE118" i="29"/>
  <c r="AE82" i="29"/>
  <c r="AE134" i="29"/>
  <c r="AD121" i="29"/>
  <c r="AE292" i="29"/>
  <c r="AD484" i="29"/>
  <c r="AD498" i="29"/>
  <c r="AD552"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N37" i="29"/>
  <c r="N293" i="29"/>
  <c r="M210" i="29"/>
  <c r="N134" i="29"/>
  <c r="N265" i="29"/>
  <c r="M182" i="29"/>
  <c r="N106" i="29"/>
  <c r="N237" i="29"/>
  <c r="M154" i="29"/>
  <c r="N78" i="29"/>
  <c r="N334" i="29"/>
  <c r="M251" i="29"/>
  <c r="N167" i="29"/>
  <c r="M88" i="29"/>
  <c r="M344" i="29"/>
  <c r="N264" i="29"/>
  <c r="M478" i="29"/>
  <c r="N113" i="29"/>
  <c r="M30" i="29"/>
  <c r="M286" i="29"/>
  <c r="N210" i="29"/>
  <c r="M127" i="29"/>
  <c r="N43" i="29"/>
  <c r="N299" i="29"/>
  <c r="M220" i="29"/>
  <c r="N140" i="29"/>
  <c r="M354" i="29"/>
  <c r="M610" i="29"/>
  <c r="N213" i="29"/>
  <c r="M130" i="29"/>
  <c r="N54" i="29"/>
  <c r="N310" i="29"/>
  <c r="M227" i="29"/>
  <c r="N143" i="29"/>
  <c r="M64" i="29"/>
  <c r="M320" i="29"/>
  <c r="N240" i="29"/>
  <c r="N225" i="29"/>
  <c r="M142" i="29"/>
  <c r="N66" i="29"/>
  <c r="N322" i="29"/>
  <c r="M239" i="29"/>
  <c r="N155" i="29"/>
  <c r="M76" i="29"/>
  <c r="M332" i="29"/>
  <c r="N252" i="29"/>
  <c r="M466" i="29"/>
  <c r="N249" i="29"/>
  <c r="M39" i="29"/>
  <c r="M42" i="29"/>
  <c r="M107" i="29"/>
  <c r="N279" i="29"/>
  <c r="N120" i="29"/>
  <c r="M522" i="29"/>
  <c r="N494" i="29"/>
  <c r="M415" i="29"/>
  <c r="M297" i="29"/>
  <c r="N599" i="29"/>
  <c r="M524"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5" i="2"/>
  <c r="BM54" i="24"/>
  <c r="M54" i="24"/>
  <c r="N54" i="24" s="1"/>
  <c r="B221" i="2"/>
  <c r="C32" i="16"/>
  <c r="BL78" i="25"/>
  <c r="N78" i="25"/>
  <c r="L78" i="25"/>
  <c r="BL43" i="25"/>
  <c r="BL89" i="25"/>
  <c r="BL96" i="25"/>
  <c r="BL33" i="25"/>
  <c r="BL8" i="25"/>
  <c r="BL9" i="25"/>
  <c r="B216" i="2"/>
  <c r="BL104" i="25"/>
  <c r="BL53" i="25"/>
  <c r="BL45" i="25"/>
  <c r="BL37" i="25"/>
  <c r="BL61" i="25"/>
  <c r="BL83" i="25"/>
  <c r="I212" i="24"/>
  <c r="K212" i="24" s="1"/>
  <c r="J186" i="25"/>
  <c r="J154" i="25"/>
  <c r="J122" i="25"/>
  <c r="J135" i="25"/>
  <c r="J189" i="25"/>
  <c r="B215" i="2"/>
  <c r="BL25" i="25"/>
  <c r="BL49" i="25"/>
  <c r="BL81" i="25"/>
  <c r="BL29" i="25"/>
  <c r="BL75" i="25"/>
  <c r="C218" i="2"/>
  <c r="BL12" i="25"/>
  <c r="BL52" i="25"/>
  <c r="BL100" i="25"/>
  <c r="AH626" i="29"/>
  <c r="AD111" i="29"/>
  <c r="AE78" i="29"/>
  <c r="B270" i="2"/>
  <c r="K623" i="29"/>
  <c r="L623" i="29"/>
  <c r="Q623" i="29"/>
  <c r="V623" i="29"/>
  <c r="U623" i="29"/>
  <c r="V597" i="29"/>
  <c r="S623" i="29"/>
  <c r="V215" i="29"/>
  <c r="AE533" i="29"/>
  <c r="AO549" i="29"/>
  <c r="AE519" i="29"/>
  <c r="AO423" i="29"/>
  <c r="AD276" i="29"/>
  <c r="AO511" i="29"/>
  <c r="AO459" i="29"/>
  <c r="AO559" i="29"/>
  <c r="AO272" i="29"/>
  <c r="AO277" i="29"/>
  <c r="AO585" i="29"/>
  <c r="AO526" i="29"/>
  <c r="AO481" i="29"/>
  <c r="AO235" i="29"/>
  <c r="AO410" i="29"/>
  <c r="AN32" i="29"/>
  <c r="AO32" i="29" s="1"/>
  <c r="AM46" i="29"/>
  <c r="AP63" i="29"/>
  <c r="AQ63" i="29" s="1"/>
  <c r="AR63" i="29" s="1"/>
  <c r="AN99" i="29"/>
  <c r="AO99" i="29" s="1"/>
  <c r="AN128" i="29"/>
  <c r="AO128" i="29" s="1"/>
  <c r="AN172" i="29"/>
  <c r="AO172" i="29" s="1"/>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O221" i="29" s="1"/>
  <c r="AP19" i="29"/>
  <c r="AQ19" i="29" s="1"/>
  <c r="AR19" i="29" s="1"/>
  <c r="AN30" i="29"/>
  <c r="AO30" i="29" s="1"/>
  <c r="AP48" i="29"/>
  <c r="AQ48" i="29" s="1"/>
  <c r="AR48" i="29" s="1"/>
  <c r="AN61" i="29"/>
  <c r="AO61" i="29" s="1"/>
  <c r="AP76" i="29"/>
  <c r="AQ76" i="29" s="1"/>
  <c r="AR76" i="29" s="1"/>
  <c r="AM87" i="29"/>
  <c r="AO87" i="29" s="1"/>
  <c r="AM113" i="29"/>
  <c r="AN123" i="29"/>
  <c r="AO123" i="29" s="1"/>
  <c r="AP151" i="29"/>
  <c r="AQ151" i="29" s="1"/>
  <c r="AR151" i="29" s="1"/>
  <c r="AN162" i="29"/>
  <c r="AM188" i="29"/>
  <c r="AO188" i="29" s="1"/>
  <c r="AN216" i="29"/>
  <c r="AO216" i="29" s="1"/>
  <c r="AP14" i="29"/>
  <c r="AQ14" i="29" s="1"/>
  <c r="AR14" i="29" s="1"/>
  <c r="AN25" i="29"/>
  <c r="AO25" i="29" s="1"/>
  <c r="AM35" i="29"/>
  <c r="AM69" i="29"/>
  <c r="AO69" i="29" s="1"/>
  <c r="AM116" i="29"/>
  <c r="AM139" i="29"/>
  <c r="AO139" i="29" s="1"/>
  <c r="AM22" i="29"/>
  <c r="AO22" i="29" s="1"/>
  <c r="AM51" i="29"/>
  <c r="AO51" i="29" s="1"/>
  <c r="AM79" i="29"/>
  <c r="AO79" i="29" s="1"/>
  <c r="AN89" i="29"/>
  <c r="AO89" i="29" s="1"/>
  <c r="AP104" i="29"/>
  <c r="AQ104" i="29" s="1"/>
  <c r="AR104" i="29" s="1"/>
  <c r="AN115" i="29"/>
  <c r="AO115" i="29" s="1"/>
  <c r="AP135" i="29"/>
  <c r="AQ135" i="29" s="1"/>
  <c r="AR135" i="29" s="1"/>
  <c r="AN146" i="29"/>
  <c r="AO146" i="29" s="1"/>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O54" i="29" s="1"/>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O43" i="29" s="1"/>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O157" i="29" s="1"/>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O103" i="29" s="1"/>
  <c r="AN129" i="29"/>
  <c r="AO129" i="29" s="1"/>
  <c r="AM166" i="29"/>
  <c r="AO166" i="29" s="1"/>
  <c r="AM176" i="29"/>
  <c r="AO176" i="29" s="1"/>
  <c r="AN186" i="29"/>
  <c r="AN217" i="29"/>
  <c r="AO217" i="29" s="1"/>
  <c r="AO212" i="29"/>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69"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2" i="2"/>
  <c r="I9" i="8" s="1"/>
  <c r="J9" i="8" s="1"/>
  <c r="B173"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68"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7"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1" i="2" s="1"/>
  <c r="B254" i="2"/>
  <c r="B10" i="19"/>
  <c r="D10" i="19" s="1"/>
  <c r="F7" i="25"/>
  <c r="F6" i="25"/>
  <c r="B13" i="2"/>
  <c r="K7" i="2"/>
  <c r="B14" i="2"/>
  <c r="B37"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AH5" i="25" s="1"/>
  <c r="I10" i="25"/>
  <c r="C58" i="2"/>
  <c r="B20" i="2"/>
  <c r="B21" i="2"/>
  <c r="B32" i="2"/>
  <c r="B109" i="2" s="1"/>
  <c r="M477" i="29" l="1"/>
  <c r="N579" i="29"/>
  <c r="N476" i="29"/>
  <c r="M597" i="29"/>
  <c r="M486" i="29"/>
  <c r="M104" i="29"/>
  <c r="M299" i="29"/>
  <c r="N211" i="29"/>
  <c r="AH211" i="29" s="1"/>
  <c r="M573" i="29"/>
  <c r="N573" i="29"/>
  <c r="M604" i="29"/>
  <c r="M205" i="29"/>
  <c r="M545" i="29"/>
  <c r="N603" i="29"/>
  <c r="N577" i="29"/>
  <c r="M79" i="29"/>
  <c r="M500" i="29"/>
  <c r="M436" i="29"/>
  <c r="N294" i="29"/>
  <c r="M293" i="29"/>
  <c r="AG293" i="29" s="1"/>
  <c r="N538" i="29"/>
  <c r="M95" i="29"/>
  <c r="M241" i="29"/>
  <c r="N320" i="29"/>
  <c r="M69" i="29"/>
  <c r="M598" i="29"/>
  <c r="N473" i="29"/>
  <c r="N339" i="29"/>
  <c r="N67" i="29"/>
  <c r="M439" i="29"/>
  <c r="N553" i="29"/>
  <c r="M89" i="29"/>
  <c r="M414" i="29"/>
  <c r="N100" i="29"/>
  <c r="M551" i="29"/>
  <c r="M384" i="29"/>
  <c r="M357" i="29"/>
  <c r="N557" i="29"/>
  <c r="N466" i="29"/>
  <c r="N93" i="29"/>
  <c r="AH93" i="29" s="1"/>
  <c r="N502" i="29"/>
  <c r="M438" i="29"/>
  <c r="K266" i="24"/>
  <c r="N457" i="29"/>
  <c r="N250" i="29"/>
  <c r="V401" i="29"/>
  <c r="V468" i="29"/>
  <c r="V88" i="29"/>
  <c r="V311" i="29"/>
  <c r="U542" i="29"/>
  <c r="AG304" i="29"/>
  <c r="U225" i="29"/>
  <c r="AG349" i="29"/>
  <c r="AG512" i="29"/>
  <c r="V495" i="29"/>
  <c r="V452" i="29"/>
  <c r="U510" i="29"/>
  <c r="AH499" i="29"/>
  <c r="V280" i="29"/>
  <c r="AH280" i="29" s="1"/>
  <c r="X624" i="29"/>
  <c r="Y624" i="29" s="1"/>
  <c r="AG62" i="29"/>
  <c r="V609" i="29"/>
  <c r="U604" i="29"/>
  <c r="AH569" i="29"/>
  <c r="V387" i="29"/>
  <c r="AD625" i="29"/>
  <c r="AG598" i="29"/>
  <c r="U554" i="29"/>
  <c r="W554" i="29" s="1"/>
  <c r="AA554" i="29" s="1"/>
  <c r="V253" i="29"/>
  <c r="AG533" i="29"/>
  <c r="AH554" i="29"/>
  <c r="V334" i="29"/>
  <c r="AG23" i="29"/>
  <c r="U299" i="29"/>
  <c r="V466" i="29"/>
  <c r="AG315" i="29"/>
  <c r="U371" i="29"/>
  <c r="V435" i="29"/>
  <c r="AG561" i="29"/>
  <c r="V451" i="29"/>
  <c r="V576" i="29"/>
  <c r="AG394" i="29"/>
  <c r="AG144" i="29"/>
  <c r="V362" i="29"/>
  <c r="AH362" i="29" s="1"/>
  <c r="V226" i="29"/>
  <c r="AG168" i="29"/>
  <c r="U44" i="29"/>
  <c r="W44" i="29" s="1"/>
  <c r="V497" i="29"/>
  <c r="AG576" i="29"/>
  <c r="V144" i="29"/>
  <c r="U568" i="29"/>
  <c r="AG568" i="29" s="1"/>
  <c r="AG298" i="29"/>
  <c r="U348" i="29"/>
  <c r="AG622" i="29"/>
  <c r="K632" i="29" s="1"/>
  <c r="U402" i="29"/>
  <c r="U346" i="29"/>
  <c r="U429" i="29"/>
  <c r="AH386" i="29"/>
  <c r="V436" i="29"/>
  <c r="V504" i="29"/>
  <c r="AH504" i="29" s="1"/>
  <c r="AG204" i="29"/>
  <c r="AG253" i="29"/>
  <c r="V364" i="29"/>
  <c r="AG97" i="29"/>
  <c r="U446" i="29"/>
  <c r="AH568" i="29"/>
  <c r="M612" i="29"/>
  <c r="N492" i="29"/>
  <c r="M165" i="29"/>
  <c r="N463" i="29"/>
  <c r="N61" i="29"/>
  <c r="N193" i="29"/>
  <c r="M613" i="29"/>
  <c r="M29" i="29"/>
  <c r="AG29" i="29" s="1"/>
  <c r="M19" i="29"/>
  <c r="N230" i="29"/>
  <c r="AH230" i="29" s="1"/>
  <c r="N216" i="29"/>
  <c r="N251" i="29"/>
  <c r="N163" i="29"/>
  <c r="AH163" i="29" s="1"/>
  <c r="M473" i="29"/>
  <c r="M559" i="29"/>
  <c r="N40" i="29"/>
  <c r="X40" i="29" s="1"/>
  <c r="Y40" i="29" s="1"/>
  <c r="N223" i="29"/>
  <c r="AH223" i="29" s="1"/>
  <c r="M449" i="29"/>
  <c r="N480" i="29"/>
  <c r="N511" i="29"/>
  <c r="N534" i="29"/>
  <c r="M556" i="29"/>
  <c r="W556" i="29" s="1"/>
  <c r="AA556" i="29" s="1"/>
  <c r="M240" i="29"/>
  <c r="N506" i="29"/>
  <c r="N409" i="29"/>
  <c r="AH409" i="29" s="1"/>
  <c r="M465" i="29"/>
  <c r="W465" i="29" s="1"/>
  <c r="AA465" i="29" s="1"/>
  <c r="N394" i="29"/>
  <c r="AH394" i="29" s="1"/>
  <c r="M587" i="29"/>
  <c r="AG587" i="29" s="1"/>
  <c r="M431" i="29"/>
  <c r="M302" i="29"/>
  <c r="AG302" i="29" s="1"/>
  <c r="M353" i="29"/>
  <c r="AG353" i="29" s="1"/>
  <c r="M535" i="29"/>
  <c r="W535" i="29" s="1"/>
  <c r="N212" i="29"/>
  <c r="M504" i="29"/>
  <c r="AG504" i="29" s="1"/>
  <c r="M83" i="29"/>
  <c r="M475" i="29"/>
  <c r="M71" i="29"/>
  <c r="M203" i="29"/>
  <c r="AG203" i="29" s="1"/>
  <c r="M392" i="29"/>
  <c r="N598" i="29"/>
  <c r="AH598" i="29" s="1"/>
  <c r="N465" i="29"/>
  <c r="AH465" i="29" s="1"/>
  <c r="N164" i="29"/>
  <c r="M247" i="29"/>
  <c r="M467" i="29"/>
  <c r="AG467" i="29" s="1"/>
  <c r="M569" i="29"/>
  <c r="AG569" i="29" s="1"/>
  <c r="M68" i="29"/>
  <c r="M183" i="29"/>
  <c r="AG183" i="29" s="1"/>
  <c r="N355" i="29"/>
  <c r="M358" i="29"/>
  <c r="M479" i="29"/>
  <c r="N26" i="29"/>
  <c r="N544" i="29"/>
  <c r="M498" i="29"/>
  <c r="M213" i="29"/>
  <c r="M317" i="29"/>
  <c r="M96" i="29"/>
  <c r="AG96" i="29" s="1"/>
  <c r="N315" i="29"/>
  <c r="AH315" i="29" s="1"/>
  <c r="N512" i="29"/>
  <c r="AH512" i="29" s="1"/>
  <c r="M149" i="29"/>
  <c r="N68" i="29"/>
  <c r="N311" i="29"/>
  <c r="N121" i="29"/>
  <c r="N224" i="29"/>
  <c r="M309" i="29"/>
  <c r="W309" i="29" s="1"/>
  <c r="N586" i="29"/>
  <c r="N566" i="29"/>
  <c r="M591" i="29"/>
  <c r="N190" i="29"/>
  <c r="N610" i="29"/>
  <c r="AH610" i="29" s="1"/>
  <c r="N288" i="29"/>
  <c r="AH288" i="29" s="1"/>
  <c r="M333" i="29"/>
  <c r="W333" i="29" s="1"/>
  <c r="AA333" i="29" s="1"/>
  <c r="M258" i="29"/>
  <c r="AG258" i="29" s="1"/>
  <c r="N530" i="29"/>
  <c r="X530" i="29" s="1"/>
  <c r="Y530" i="29" s="1"/>
  <c r="M589" i="29"/>
  <c r="M558" i="29"/>
  <c r="N578" i="29"/>
  <c r="N493" i="29"/>
  <c r="M599" i="29"/>
  <c r="AG599" i="29" s="1"/>
  <c r="M441" i="29"/>
  <c r="BA53" i="24"/>
  <c r="N548" i="29"/>
  <c r="AH548" i="29" s="1"/>
  <c r="M590" i="29"/>
  <c r="N286" i="29"/>
  <c r="M410" i="29"/>
  <c r="N119" i="29"/>
  <c r="X119" i="29" s="1"/>
  <c r="Y119" i="29" s="1"/>
  <c r="N547" i="29"/>
  <c r="X547" i="29" s="1"/>
  <c r="Y547" i="29" s="1"/>
  <c r="N396" i="29"/>
  <c r="AH396" i="29" s="1"/>
  <c r="N58" i="29"/>
  <c r="M56" i="29"/>
  <c r="N363" i="29"/>
  <c r="N517" i="29"/>
  <c r="N529" i="29"/>
  <c r="X529" i="29" s="1"/>
  <c r="Y529" i="29" s="1"/>
  <c r="M376" i="29"/>
  <c r="N496" i="29"/>
  <c r="N591" i="29"/>
  <c r="N510" i="29"/>
  <c r="AH510" i="29" s="1"/>
  <c r="N475" i="29"/>
  <c r="N133" i="29"/>
  <c r="M196" i="29"/>
  <c r="N521" i="29"/>
  <c r="N600" i="29"/>
  <c r="M416" i="29"/>
  <c r="N390" i="29"/>
  <c r="X390" i="29" s="1"/>
  <c r="Y390" i="29" s="1"/>
  <c r="M139" i="29"/>
  <c r="M51" i="29"/>
  <c r="N487" i="29"/>
  <c r="AH487" i="29" s="1"/>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W453" i="29" s="1"/>
  <c r="AA453" i="29" s="1"/>
  <c r="N520" i="29"/>
  <c r="M343" i="29"/>
  <c r="N442" i="29"/>
  <c r="AH442" i="29" s="1"/>
  <c r="M231" i="29"/>
  <c r="AG231" i="29" s="1"/>
  <c r="M65" i="29"/>
  <c r="N202" i="29"/>
  <c r="N268" i="29"/>
  <c r="M420" i="29"/>
  <c r="M277" i="29"/>
  <c r="M452" i="29"/>
  <c r="AG452" i="29" s="1"/>
  <c r="M134" i="29"/>
  <c r="M611" i="29"/>
  <c r="AG611" i="29" s="1"/>
  <c r="M580" i="29"/>
  <c r="M48" i="29"/>
  <c r="N349" i="29"/>
  <c r="AH349" i="29" s="1"/>
  <c r="N373" i="29"/>
  <c r="N122" i="29"/>
  <c r="N435" i="29"/>
  <c r="N222" i="29"/>
  <c r="N596" i="29"/>
  <c r="AH596" i="29" s="1"/>
  <c r="M25" i="29"/>
  <c r="M269" i="29"/>
  <c r="N514" i="29"/>
  <c r="N543" i="29"/>
  <c r="M53" i="29"/>
  <c r="M493" i="29"/>
  <c r="N148" i="29"/>
  <c r="X148" i="29" s="1"/>
  <c r="Y148" i="29" s="1"/>
  <c r="N27" i="29"/>
  <c r="M296" i="29"/>
  <c r="AG296" i="29" s="1"/>
  <c r="N379" i="29"/>
  <c r="AH379" i="29" s="1"/>
  <c r="M216" i="29"/>
  <c r="M525" i="29"/>
  <c r="AG525" i="29" s="1"/>
  <c r="M404" i="29"/>
  <c r="M310" i="29"/>
  <c r="W310" i="29" s="1"/>
  <c r="AA310" i="29" s="1"/>
  <c r="N441" i="29"/>
  <c r="M425" i="29"/>
  <c r="AG425" i="29" s="1"/>
  <c r="M40" i="29"/>
  <c r="M519" i="29"/>
  <c r="AG519" i="29" s="1"/>
  <c r="N518" i="29"/>
  <c r="M555" i="29"/>
  <c r="AG555" i="29" s="1"/>
  <c r="M262" i="29"/>
  <c r="N495" i="29"/>
  <c r="M474" i="29"/>
  <c r="AG474" i="29" s="1"/>
  <c r="N417" i="29"/>
  <c r="X417" i="29" s="1"/>
  <c r="Y417" i="29" s="1"/>
  <c r="M515" i="29"/>
  <c r="W515" i="29" s="1"/>
  <c r="N116" i="29"/>
  <c r="N608" i="29"/>
  <c r="N358" i="29"/>
  <c r="N180" i="29"/>
  <c r="X180" i="29" s="1"/>
  <c r="Y180" i="29" s="1"/>
  <c r="N96" i="29"/>
  <c r="X96" i="29" s="1"/>
  <c r="Y96" i="29" s="1"/>
  <c r="N523" i="29"/>
  <c r="AH523" i="29" s="1"/>
  <c r="N595" i="29"/>
  <c r="M531" i="29"/>
  <c r="N170" i="29"/>
  <c r="M496" i="29"/>
  <c r="M518" i="29"/>
  <c r="AG518" i="29" s="1"/>
  <c r="M563" i="29"/>
  <c r="M412" i="29"/>
  <c r="AG412" i="29" s="1"/>
  <c r="M263" i="29"/>
  <c r="AG263" i="29" s="1"/>
  <c r="M35" i="29"/>
  <c r="N52" i="29"/>
  <c r="M552" i="29"/>
  <c r="AG552" i="29" s="1"/>
  <c r="M173" i="29"/>
  <c r="N552" i="29"/>
  <c r="AH552" i="29" s="1"/>
  <c r="N527" i="29"/>
  <c r="N414" i="29"/>
  <c r="N443" i="29"/>
  <c r="M138" i="29"/>
  <c r="N400" i="29"/>
  <c r="M396" i="29"/>
  <c r="AG396" i="29" s="1"/>
  <c r="M164" i="29"/>
  <c r="AG164" i="29" s="1"/>
  <c r="N419" i="29"/>
  <c r="AH419" i="29" s="1"/>
  <c r="M221" i="29"/>
  <c r="N545" i="29"/>
  <c r="AH545" i="29" s="1"/>
  <c r="M548" i="29"/>
  <c r="AG548" i="29" s="1"/>
  <c r="N397" i="29"/>
  <c r="M411" i="29"/>
  <c r="AG411" i="29" s="1"/>
  <c r="M571" i="29"/>
  <c r="M507" i="29"/>
  <c r="N484" i="29"/>
  <c r="AH484" i="29" s="1"/>
  <c r="R50" i="2"/>
  <c r="L13" i="1"/>
  <c r="K14" i="1" s="1"/>
  <c r="M202" i="29"/>
  <c r="N306" i="29"/>
  <c r="X306" i="29" s="1"/>
  <c r="Y306" i="29" s="1"/>
  <c r="N456" i="29"/>
  <c r="AH456" i="29" s="1"/>
  <c r="N531" i="29"/>
  <c r="J106" i="23"/>
  <c r="K106" i="23" s="1"/>
  <c r="N597" i="29"/>
  <c r="X597" i="29" s="1"/>
  <c r="Y597" i="29" s="1"/>
  <c r="N453" i="29"/>
  <c r="X453" i="29" s="1"/>
  <c r="Y453" i="29" s="1"/>
  <c r="N428" i="29"/>
  <c r="N421" i="29"/>
  <c r="M495" i="29"/>
  <c r="W495" i="29" s="1"/>
  <c r="AA495" i="29" s="1"/>
  <c r="M324" i="29"/>
  <c r="M301" i="29"/>
  <c r="G628" i="29"/>
  <c r="O628" i="29" s="1"/>
  <c r="N382" i="29"/>
  <c r="H329" i="25"/>
  <c r="I24" i="8" s="1"/>
  <c r="J24" i="8" s="1"/>
  <c r="M550" i="29"/>
  <c r="M273" i="29"/>
  <c r="AG273" i="29" s="1"/>
  <c r="N298" i="29"/>
  <c r="X298" i="29" s="1"/>
  <c r="Y298" i="29" s="1"/>
  <c r="N364" i="29"/>
  <c r="M308" i="29"/>
  <c r="AG308" i="29" s="1"/>
  <c r="M605" i="29"/>
  <c r="M151" i="29"/>
  <c r="N450" i="29"/>
  <c r="N405" i="29"/>
  <c r="AH405" i="29" s="1"/>
  <c r="M106" i="29"/>
  <c r="W106" i="29" s="1"/>
  <c r="AA106" i="29" s="1"/>
  <c r="N458" i="29"/>
  <c r="N64" i="29"/>
  <c r="M596" i="29"/>
  <c r="AG596" i="29" s="1"/>
  <c r="N451" i="29"/>
  <c r="N555" i="29"/>
  <c r="AH555" i="29" s="1"/>
  <c r="M379" i="29"/>
  <c r="AG379" i="29" s="1"/>
  <c r="M229" i="29"/>
  <c r="M421" i="29"/>
  <c r="N356" i="29"/>
  <c r="M390" i="29"/>
  <c r="AG390" i="29" s="1"/>
  <c r="N584" i="29"/>
  <c r="N561" i="29"/>
  <c r="X561" i="29" s="1"/>
  <c r="Y561" i="29" s="1"/>
  <c r="M101" i="29"/>
  <c r="N541" i="29"/>
  <c r="N266" i="29"/>
  <c r="M424" i="29"/>
  <c r="AG424" i="29" s="1"/>
  <c r="N501" i="29"/>
  <c r="AH501" i="29" s="1"/>
  <c r="N51" i="29"/>
  <c r="M369" i="29"/>
  <c r="M564" i="29"/>
  <c r="N374" i="29"/>
  <c r="M457" i="29"/>
  <c r="M448" i="29"/>
  <c r="N367" i="29"/>
  <c r="M109" i="29"/>
  <c r="AG109" i="29" s="1"/>
  <c r="N345" i="29"/>
  <c r="N436" i="29"/>
  <c r="AH436" i="29" s="1"/>
  <c r="N410" i="29"/>
  <c r="N262" i="29"/>
  <c r="N304" i="29"/>
  <c r="X304" i="29" s="1"/>
  <c r="Y304" i="29" s="1"/>
  <c r="N191" i="29"/>
  <c r="N99" i="29"/>
  <c r="N448" i="29"/>
  <c r="M360" i="29"/>
  <c r="M174" i="29"/>
  <c r="AG174" i="29" s="1"/>
  <c r="M37" i="29"/>
  <c r="BQ216" i="24"/>
  <c r="J83" i="23"/>
  <c r="L83" i="23" s="1"/>
  <c r="G329" i="24"/>
  <c r="N329" i="25"/>
  <c r="L59" i="1" s="1"/>
  <c r="G329" i="25"/>
  <c r="I25" i="8"/>
  <c r="J25" i="8" s="1"/>
  <c r="CB110" i="24"/>
  <c r="J63" i="23"/>
  <c r="L63" i="23" s="1"/>
  <c r="BA5" i="24"/>
  <c r="B99" i="2"/>
  <c r="AW93" i="25" s="1"/>
  <c r="BA30" i="24"/>
  <c r="BA315" i="24"/>
  <c r="BA160" i="24"/>
  <c r="D33" i="16"/>
  <c r="R27" i="23"/>
  <c r="D32" i="16"/>
  <c r="N82" i="23"/>
  <c r="O82" i="23" s="1"/>
  <c r="P82" i="23" s="1"/>
  <c r="Q82" i="23" s="1"/>
  <c r="AG436" i="29"/>
  <c r="AG201" i="29"/>
  <c r="AG244" i="29"/>
  <c r="U40" i="29"/>
  <c r="AE625" i="29"/>
  <c r="AH351" i="29"/>
  <c r="N105" i="23"/>
  <c r="O105" i="23" s="1"/>
  <c r="P105" i="23" s="1"/>
  <c r="Q105" i="23" s="1"/>
  <c r="BA150" i="24"/>
  <c r="BA155" i="24"/>
  <c r="N5" i="24"/>
  <c r="N30" i="24"/>
  <c r="P30" i="24" s="1"/>
  <c r="U5" i="24"/>
  <c r="N53" i="24"/>
  <c r="P53" i="24" s="1"/>
  <c r="BA148" i="24"/>
  <c r="BA111" i="24"/>
  <c r="D48" i="2"/>
  <c r="U110" i="24"/>
  <c r="V110" i="24" s="1"/>
  <c r="AH609" i="29"/>
  <c r="AG265" i="29"/>
  <c r="AG260" i="29"/>
  <c r="AG77" i="29"/>
  <c r="X562" i="29"/>
  <c r="Y562" i="29" s="1"/>
  <c r="BA209" i="24"/>
  <c r="BA146" i="24"/>
  <c r="J27" i="23"/>
  <c r="K27" i="23" s="1"/>
  <c r="BA144" i="24"/>
  <c r="BA128" i="24"/>
  <c r="J6" i="23"/>
  <c r="L6" i="23" s="1"/>
  <c r="W533" i="29"/>
  <c r="AA533" i="29" s="1"/>
  <c r="X587" i="29"/>
  <c r="Y587" i="29" s="1"/>
  <c r="X353" i="29"/>
  <c r="Y353" i="29" s="1"/>
  <c r="AH502" i="29"/>
  <c r="X227" i="29"/>
  <c r="Y227" i="29" s="1"/>
  <c r="AG551" i="29"/>
  <c r="X192" i="29"/>
  <c r="Y192" i="29" s="1"/>
  <c r="X280" i="29"/>
  <c r="Y280" i="29" s="1"/>
  <c r="X502" i="29"/>
  <c r="Y502" i="29" s="1"/>
  <c r="AH604" i="29"/>
  <c r="AH466" i="29"/>
  <c r="AG593" i="29"/>
  <c r="AG451" i="29"/>
  <c r="AG567" i="29"/>
  <c r="AG502" i="29"/>
  <c r="AG299" i="29"/>
  <c r="X234" i="29"/>
  <c r="Y234" i="29" s="1"/>
  <c r="AG408" i="29"/>
  <c r="AG486" i="29"/>
  <c r="X447" i="29"/>
  <c r="Y447" i="29" s="1"/>
  <c r="AH282" i="29"/>
  <c r="AH611" i="29"/>
  <c r="AG279" i="29"/>
  <c r="A239" i="2"/>
  <c r="B239" i="2"/>
  <c r="D44" i="16" s="1"/>
  <c r="C44" i="16"/>
  <c r="J15" i="23"/>
  <c r="K15" i="23" s="1"/>
  <c r="AG323" i="29"/>
  <c r="X576" i="29"/>
  <c r="Y576" i="29" s="1"/>
  <c r="V518" i="29"/>
  <c r="V254" i="29"/>
  <c r="U391" i="29"/>
  <c r="AG391" i="29" s="1"/>
  <c r="X625" i="29"/>
  <c r="Y625" i="29" s="1"/>
  <c r="U333" i="29"/>
  <c r="V513" i="29"/>
  <c r="X513" i="29" s="1"/>
  <c r="Y513" i="29" s="1"/>
  <c r="AH385" i="29"/>
  <c r="U57" i="29"/>
  <c r="W57" i="29" s="1"/>
  <c r="AA57" i="29" s="1"/>
  <c r="AE622" i="29"/>
  <c r="V494" i="29"/>
  <c r="V106" i="29"/>
  <c r="AH357" i="29"/>
  <c r="X418" i="29"/>
  <c r="Y418" i="29" s="1"/>
  <c r="AD624" i="29"/>
  <c r="AH516" i="29"/>
  <c r="V551" i="29"/>
  <c r="AH551" i="29" s="1"/>
  <c r="V77" i="29"/>
  <c r="U516" i="29"/>
  <c r="AG516" i="29" s="1"/>
  <c r="AG193" i="29"/>
  <c r="X446" i="29"/>
  <c r="Y446" i="29" s="1"/>
  <c r="AG362" i="29"/>
  <c r="AH361" i="29"/>
  <c r="AG419" i="29"/>
  <c r="AG485" i="29"/>
  <c r="X386" i="29"/>
  <c r="Y386" i="29" s="1"/>
  <c r="V13" i="29"/>
  <c r="AG494" i="29"/>
  <c r="X479" i="29"/>
  <c r="Y479" i="29" s="1"/>
  <c r="AH353" i="29"/>
  <c r="AG292" i="29"/>
  <c r="X371" i="29"/>
  <c r="Y371" i="29" s="1"/>
  <c r="AG242" i="29"/>
  <c r="V164" i="29"/>
  <c r="AD622" i="29"/>
  <c r="V278" i="29"/>
  <c r="V193" i="29"/>
  <c r="V547" i="29"/>
  <c r="AG368" i="29"/>
  <c r="AG311" i="29"/>
  <c r="U267" i="29"/>
  <c r="U540" i="29"/>
  <c r="V540" i="29"/>
  <c r="X261" i="29"/>
  <c r="Y261" i="29" s="1"/>
  <c r="AG609" i="29"/>
  <c r="X426" i="29"/>
  <c r="Y426" i="29" s="1"/>
  <c r="V245" i="29"/>
  <c r="AH245" i="29" s="1"/>
  <c r="AG395" i="29"/>
  <c r="X88" i="29"/>
  <c r="Y88" i="29" s="1"/>
  <c r="AH62" i="29"/>
  <c r="U305" i="29"/>
  <c r="V295" i="29"/>
  <c r="X295" i="29" s="1"/>
  <c r="Y295" i="29" s="1"/>
  <c r="AH570" i="29"/>
  <c r="V368" i="29"/>
  <c r="U479" i="29"/>
  <c r="AG371" i="29"/>
  <c r="V593" i="29"/>
  <c r="X593" i="29" s="1"/>
  <c r="Y593" i="29" s="1"/>
  <c r="U261" i="29"/>
  <c r="AG261" i="29" s="1"/>
  <c r="V313" i="29"/>
  <c r="U132" i="29"/>
  <c r="W132" i="29" s="1"/>
  <c r="AA132" i="29" s="1"/>
  <c r="AG602" i="29"/>
  <c r="AH395" i="29"/>
  <c r="V485" i="29"/>
  <c r="AH485" i="29" s="1"/>
  <c r="V326" i="29"/>
  <c r="V67" i="29"/>
  <c r="AH67" i="29" s="1"/>
  <c r="AH418" i="29"/>
  <c r="W299" i="29"/>
  <c r="AA299" i="29" s="1"/>
  <c r="X389" i="29"/>
  <c r="Y389" i="29" s="1"/>
  <c r="X361" i="29"/>
  <c r="Y361" i="29" s="1"/>
  <c r="X383" i="29"/>
  <c r="Y383" i="29" s="1"/>
  <c r="W383" i="29"/>
  <c r="AA383" i="29" s="1"/>
  <c r="AH528" i="29"/>
  <c r="AG484" i="29"/>
  <c r="V599" i="29"/>
  <c r="AH599" i="29" s="1"/>
  <c r="AH399" i="29"/>
  <c r="AH389" i="29"/>
  <c r="AH366" i="29"/>
  <c r="U613" i="29"/>
  <c r="V613" i="29"/>
  <c r="AH613" i="29" s="1"/>
  <c r="X588" i="29"/>
  <c r="Y588" i="29" s="1"/>
  <c r="AG385" i="29"/>
  <c r="AH576" i="29"/>
  <c r="W150" i="29"/>
  <c r="AA150" i="29" s="1"/>
  <c r="X189" i="29"/>
  <c r="Y189" i="29" s="1"/>
  <c r="W368" i="29"/>
  <c r="AA368" i="29" s="1"/>
  <c r="X292" i="29"/>
  <c r="Y292" i="29" s="1"/>
  <c r="W155" i="29"/>
  <c r="AA155" i="29" s="1"/>
  <c r="W569" i="29"/>
  <c r="AA569" i="29" s="1"/>
  <c r="W281" i="29"/>
  <c r="AA281" i="29" s="1"/>
  <c r="W45" i="29"/>
  <c r="AA45" i="29" s="1"/>
  <c r="W512" i="29"/>
  <c r="AA512" i="29" s="1"/>
  <c r="W268" i="29"/>
  <c r="AA268" i="29" s="1"/>
  <c r="W451" i="29"/>
  <c r="AA451" i="29" s="1"/>
  <c r="W624" i="29"/>
  <c r="J634" i="29" s="1"/>
  <c r="W405" i="29"/>
  <c r="AA405" i="29" s="1"/>
  <c r="W315" i="29"/>
  <c r="AA315" i="29" s="1"/>
  <c r="W502" i="29"/>
  <c r="AA502" i="29" s="1"/>
  <c r="X395" i="29"/>
  <c r="Y395" i="29" s="1"/>
  <c r="W148" i="29"/>
  <c r="AA148" i="29" s="1"/>
  <c r="U456" i="29"/>
  <c r="AG456" i="29" s="1"/>
  <c r="AG625" i="29"/>
  <c r="K635" i="29" s="1"/>
  <c r="U124" i="29"/>
  <c r="V506" i="29"/>
  <c r="U506" i="29"/>
  <c r="W506" i="29" s="1"/>
  <c r="AA506" i="29" s="1"/>
  <c r="AH562" i="29"/>
  <c r="U433" i="29"/>
  <c r="AG433" i="29" s="1"/>
  <c r="V433" i="29"/>
  <c r="AH433" i="29" s="1"/>
  <c r="AX6" i="25"/>
  <c r="X357" i="29"/>
  <c r="Y357" i="29" s="1"/>
  <c r="U243" i="29"/>
  <c r="V243" i="29"/>
  <c r="U500" i="29"/>
  <c r="AG500" i="29" s="1"/>
  <c r="V500" i="29"/>
  <c r="AH500" i="29" s="1"/>
  <c r="V503" i="29"/>
  <c r="AH503" i="29" s="1"/>
  <c r="U503" i="29"/>
  <c r="U472" i="29"/>
  <c r="AG472" i="29" s="1"/>
  <c r="V472" i="29"/>
  <c r="X472" i="29" s="1"/>
  <c r="Y472" i="29" s="1"/>
  <c r="AG209" i="29"/>
  <c r="AG232" i="29"/>
  <c r="AG189" i="29"/>
  <c r="AG583" i="29"/>
  <c r="AG15" i="29"/>
  <c r="AG13" i="29"/>
  <c r="AG51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AG414" i="29" s="1"/>
  <c r="V414" i="29"/>
  <c r="U325" i="29"/>
  <c r="AG325" i="29" s="1"/>
  <c r="V325" i="29"/>
  <c r="AH325" i="29" s="1"/>
  <c r="BA201" i="24"/>
  <c r="BA113" i="24"/>
  <c r="BA194" i="24"/>
  <c r="BA130" i="24"/>
  <c r="BA192" i="24"/>
  <c r="BA273" i="24"/>
  <c r="BA173" i="24"/>
  <c r="BA119" i="24"/>
  <c r="BA172" i="24"/>
  <c r="BA118" i="24"/>
  <c r="W163" i="29"/>
  <c r="AA163" i="29" s="1"/>
  <c r="W245" i="29"/>
  <c r="AA245" i="29" s="1"/>
  <c r="W470" i="29"/>
  <c r="U275" i="29"/>
  <c r="V275" i="29"/>
  <c r="AH275" i="29" s="1"/>
  <c r="BA129" i="24"/>
  <c r="BA169" i="24"/>
  <c r="BA186" i="24"/>
  <c r="BA122" i="24"/>
  <c r="BA267" i="24"/>
  <c r="BA184" i="24"/>
  <c r="BA120" i="24"/>
  <c r="BA175" i="24"/>
  <c r="BA165" i="24"/>
  <c r="BA288" i="24"/>
  <c r="BA164" i="24"/>
  <c r="BA309" i="24"/>
  <c r="BA245" i="24"/>
  <c r="BA147" i="24"/>
  <c r="AH497" i="29"/>
  <c r="AG377" i="29"/>
  <c r="W292" i="29"/>
  <c r="AA292" i="29" s="1"/>
  <c r="X57" i="29"/>
  <c r="Y57" i="29" s="1"/>
  <c r="W604" i="29"/>
  <c r="AA604" i="29" s="1"/>
  <c r="U251" i="29"/>
  <c r="AG251" i="29" s="1"/>
  <c r="V251" i="29"/>
  <c r="X251" i="29" s="1"/>
  <c r="Y251" i="29" s="1"/>
  <c r="U572" i="29"/>
  <c r="AG572" i="29" s="1"/>
  <c r="V572" i="29"/>
  <c r="X572" i="29" s="1"/>
  <c r="Y572" i="29" s="1"/>
  <c r="BA137" i="24"/>
  <c r="BA183" i="24"/>
  <c r="BA178" i="24"/>
  <c r="BA114" i="24"/>
  <c r="BA259" i="24"/>
  <c r="BA176" i="24"/>
  <c r="BA112" i="24"/>
  <c r="BA127" i="24"/>
  <c r="BA190" i="24"/>
  <c r="BA239" i="24"/>
  <c r="BA157" i="24"/>
  <c r="BA302" i="24"/>
  <c r="BA238" i="24"/>
  <c r="BA156" i="24"/>
  <c r="BA264" i="24"/>
  <c r="BA203" i="24"/>
  <c r="BA139" i="24"/>
  <c r="AG429" i="29"/>
  <c r="V327" i="29"/>
  <c r="U327" i="29"/>
  <c r="AG327" i="29" s="1"/>
  <c r="BA153" i="24"/>
  <c r="BA161" i="24"/>
  <c r="BA143" i="24"/>
  <c r="BA170" i="24"/>
  <c r="BA234" i="24"/>
  <c r="BA168" i="24"/>
  <c r="BA158" i="24"/>
  <c r="BA223" i="24"/>
  <c r="BA149" i="24"/>
  <c r="BA206" i="24"/>
  <c r="BA229" i="24"/>
  <c r="BA195" i="24"/>
  <c r="BA131" i="24"/>
  <c r="BA276" i="24"/>
  <c r="U206" i="29"/>
  <c r="AG206" i="29" s="1"/>
  <c r="V206" i="29"/>
  <c r="AH206" i="29" s="1"/>
  <c r="BA193" i="24"/>
  <c r="BA162" i="24"/>
  <c r="BA307" i="24"/>
  <c r="BA241" i="24"/>
  <c r="BA134" i="24"/>
  <c r="BA205" i="24"/>
  <c r="BA141" i="24"/>
  <c r="BA286" i="24"/>
  <c r="BA222" i="24"/>
  <c r="BA174" i="24"/>
  <c r="BA204" i="24"/>
  <c r="BA140" i="24"/>
  <c r="BA198" i="24"/>
  <c r="BA187" i="24"/>
  <c r="BA123" i="24"/>
  <c r="BA268" i="24"/>
  <c r="X570" i="29"/>
  <c r="Y570" i="29" s="1"/>
  <c r="AH479" i="29"/>
  <c r="X351" i="29"/>
  <c r="Y351" i="29" s="1"/>
  <c r="BA185" i="24"/>
  <c r="BA154" i="24"/>
  <c r="BA299" i="24"/>
  <c r="BA152" i="24"/>
  <c r="BA207" i="24"/>
  <c r="BA110" i="24"/>
  <c r="BA197" i="24"/>
  <c r="BA133" i="24"/>
  <c r="BA266" i="24"/>
  <c r="BA196" i="24"/>
  <c r="BA132" i="24"/>
  <c r="BA199" i="24"/>
  <c r="BA182" i="24"/>
  <c r="BA179" i="24"/>
  <c r="BA115" i="24"/>
  <c r="U47" i="29"/>
  <c r="W47" i="29" s="1"/>
  <c r="AA47" i="29" s="1"/>
  <c r="V47" i="29"/>
  <c r="X47" i="29" s="1"/>
  <c r="Y47" i="29" s="1"/>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48" i="2"/>
  <c r="W49" i="2" s="1"/>
  <c r="W50" i="2" s="1"/>
  <c r="D45" i="16" s="1"/>
  <c r="N18" i="23"/>
  <c r="O18" i="23" s="1"/>
  <c r="P18" i="23" s="1"/>
  <c r="Q18" i="23" s="1"/>
  <c r="R49" i="2"/>
  <c r="L52" i="1" s="1"/>
  <c r="L54" i="1" s="1"/>
  <c r="B26" i="2"/>
  <c r="W419" i="29"/>
  <c r="AA419" i="29" s="1"/>
  <c r="W377" i="29"/>
  <c r="AA377" i="29" s="1"/>
  <c r="W97" i="29"/>
  <c r="W394" i="29"/>
  <c r="AA394" i="29" s="1"/>
  <c r="W77" i="29"/>
  <c r="AA77" i="29" s="1"/>
  <c r="W561" i="29"/>
  <c r="AA561" i="29" s="1"/>
  <c r="W362" i="29"/>
  <c r="AG470" i="29"/>
  <c r="AG163" i="29"/>
  <c r="AH371" i="29"/>
  <c r="W389" i="29"/>
  <c r="AA389" i="29" s="1"/>
  <c r="W366" i="29"/>
  <c r="AA366" i="29" s="1"/>
  <c r="W55" i="29"/>
  <c r="AA55" i="29" s="1"/>
  <c r="W311" i="29"/>
  <c r="AA311" i="29" s="1"/>
  <c r="AG357" i="29"/>
  <c r="W257" i="29"/>
  <c r="AA257" i="29" s="1"/>
  <c r="W487" i="29"/>
  <c r="W436" i="29"/>
  <c r="AA436" i="29" s="1"/>
  <c r="W494" i="29"/>
  <c r="AA494" i="29" s="1"/>
  <c r="W329" i="29"/>
  <c r="AA329" i="29" s="1"/>
  <c r="W112" i="29"/>
  <c r="AA112" i="29" s="1"/>
  <c r="W242" i="29"/>
  <c r="AA242" i="29" s="1"/>
  <c r="W572" i="29"/>
  <c r="AA572" i="29" s="1"/>
  <c r="W164" i="29"/>
  <c r="AA164" i="29" s="1"/>
  <c r="W316" i="29"/>
  <c r="AA316" i="29" s="1"/>
  <c r="W244" i="29"/>
  <c r="AA244" i="29" s="1"/>
  <c r="W293" i="29"/>
  <c r="AA293" i="29" s="1"/>
  <c r="W198" i="29"/>
  <c r="AA198" i="29" s="1"/>
  <c r="W388" i="29"/>
  <c r="AA388" i="29" s="1"/>
  <c r="W193" i="29"/>
  <c r="AA193" i="29" s="1"/>
  <c r="W276" i="29"/>
  <c r="AA276" i="29" s="1"/>
  <c r="W627" i="29"/>
  <c r="W260" i="29"/>
  <c r="AA260" i="29" s="1"/>
  <c r="W255" i="29"/>
  <c r="AA255" i="29" s="1"/>
  <c r="W622" i="29"/>
  <c r="J632" i="29" s="1"/>
  <c r="W119" i="29"/>
  <c r="AA119" i="29" s="1"/>
  <c r="W234" i="29"/>
  <c r="W500" i="29"/>
  <c r="AA500" i="29" s="1"/>
  <c r="W279" i="29"/>
  <c r="AA279" i="29" s="1"/>
  <c r="W201" i="29"/>
  <c r="AA201" i="29" s="1"/>
  <c r="W349" i="29"/>
  <c r="AA349" i="29" s="1"/>
  <c r="W304" i="29"/>
  <c r="AA304" i="29" s="1"/>
  <c r="W372" i="29"/>
  <c r="AA372" i="29" s="1"/>
  <c r="W204" i="29"/>
  <c r="AA204" i="29" s="1"/>
  <c r="W144" i="29"/>
  <c r="AA144" i="29" s="1"/>
  <c r="W399" i="29"/>
  <c r="AA399" i="29" s="1"/>
  <c r="W407" i="29"/>
  <c r="AA407" i="29" s="1"/>
  <c r="AG469" i="29"/>
  <c r="AG604" i="29"/>
  <c r="AH57" i="29"/>
  <c r="W21" i="29"/>
  <c r="AA21" i="29" s="1"/>
  <c r="W145" i="29"/>
  <c r="AA145" i="29" s="1"/>
  <c r="W574" i="29"/>
  <c r="AA574" i="29" s="1"/>
  <c r="W471" i="29"/>
  <c r="AA471" i="29" s="1"/>
  <c r="W484" i="29"/>
  <c r="AA484" i="29" s="1"/>
  <c r="W23" i="29"/>
  <c r="AA23"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2" i="2"/>
  <c r="J10" i="23"/>
  <c r="K10" i="23" s="1"/>
  <c r="N49" i="23"/>
  <c r="O49" i="23" s="1"/>
  <c r="P49" i="23" s="1"/>
  <c r="Q49" i="23" s="1"/>
  <c r="B232"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X388" i="29"/>
  <c r="Y388" i="29" s="1"/>
  <c r="N50" i="23"/>
  <c r="O50" i="23" s="1"/>
  <c r="P50" i="23" s="1"/>
  <c r="Q50" i="23" s="1"/>
  <c r="V556" i="29"/>
  <c r="X556" i="29" s="1"/>
  <c r="Y556" i="29" s="1"/>
  <c r="AG487" i="29"/>
  <c r="X554" i="29"/>
  <c r="Y554" i="29" s="1"/>
  <c r="W427" i="29"/>
  <c r="AA427" i="29" s="1"/>
  <c r="W211" i="29"/>
  <c r="AA211" i="29" s="1"/>
  <c r="W625" i="29"/>
  <c r="J635" i="29" s="1"/>
  <c r="W582" i="29"/>
  <c r="AA582" i="29" s="1"/>
  <c r="X525" i="29"/>
  <c r="Y525" i="29" s="1"/>
  <c r="AH446" i="29"/>
  <c r="AG372" i="29"/>
  <c r="AH369" i="29"/>
  <c r="AH575" i="29"/>
  <c r="L300" i="25"/>
  <c r="U369" i="29"/>
  <c r="V65" i="29"/>
  <c r="X65" i="29" s="1"/>
  <c r="Y65" i="29" s="1"/>
  <c r="U65" i="29"/>
  <c r="U488" i="29"/>
  <c r="AG488" i="29" s="1"/>
  <c r="V488" i="29"/>
  <c r="X488" i="29" s="1"/>
  <c r="Y488" i="29" s="1"/>
  <c r="U100" i="29"/>
  <c r="W100" i="29" s="1"/>
  <c r="AA100" i="29" s="1"/>
  <c r="V100" i="29"/>
  <c r="X100" i="29" s="1"/>
  <c r="Y100" i="29" s="1"/>
  <c r="V283" i="29"/>
  <c r="AH283" i="29" s="1"/>
  <c r="U283" i="29"/>
  <c r="W283" i="29" s="1"/>
  <c r="X255" i="29"/>
  <c r="Y255" i="29" s="1"/>
  <c r="AH255" i="29"/>
  <c r="X434" i="29"/>
  <c r="Y434" i="29" s="1"/>
  <c r="AH434" i="29"/>
  <c r="X311" i="29"/>
  <c r="Y311" i="29" s="1"/>
  <c r="AH311" i="29"/>
  <c r="AH561" i="29"/>
  <c r="BQ187" i="25"/>
  <c r="BQ137" i="25"/>
  <c r="X622" i="29"/>
  <c r="Y622" i="29" s="1"/>
  <c r="AD97" i="29"/>
  <c r="W567" i="29"/>
  <c r="AA567" i="29" s="1"/>
  <c r="W361" i="29"/>
  <c r="AA361" i="29" s="1"/>
  <c r="W62" i="29"/>
  <c r="AA62" i="29" s="1"/>
  <c r="W528" i="29"/>
  <c r="AA528" i="29" s="1"/>
  <c r="L278" i="25"/>
  <c r="AG234" i="29"/>
  <c r="AG45" i="29"/>
  <c r="M293" i="24"/>
  <c r="M296" i="24"/>
  <c r="V301" i="29"/>
  <c r="X301" i="29" s="1"/>
  <c r="Y301" i="29" s="1"/>
  <c r="U301" i="29"/>
  <c r="R93" i="23"/>
  <c r="N93" i="23"/>
  <c r="O93" i="23" s="1"/>
  <c r="P93" i="23" s="1"/>
  <c r="Q93" i="23" s="1"/>
  <c r="AH368" i="29"/>
  <c r="X368" i="29"/>
  <c r="Y368" i="29" s="1"/>
  <c r="U475" i="29"/>
  <c r="V475" i="29"/>
  <c r="X268" i="29"/>
  <c r="Y268" i="29" s="1"/>
  <c r="AH268" i="29"/>
  <c r="V372" i="29"/>
  <c r="X62" i="29"/>
  <c r="Y62" i="29" s="1"/>
  <c r="W189" i="29"/>
  <c r="AA189" i="29" s="1"/>
  <c r="W386" i="29"/>
  <c r="W357" i="29"/>
  <c r="AA357" i="29" s="1"/>
  <c r="W81" i="29"/>
  <c r="AA81" i="29" s="1"/>
  <c r="W583" i="29"/>
  <c r="AA583" i="29" s="1"/>
  <c r="AG313" i="29"/>
  <c r="AH593" i="29"/>
  <c r="AG468" i="29"/>
  <c r="U153" i="29"/>
  <c r="V153" i="29"/>
  <c r="X153" i="29" s="1"/>
  <c r="Y153" i="29" s="1"/>
  <c r="V592" i="29"/>
  <c r="AH592" i="29" s="1"/>
  <c r="U592" i="29"/>
  <c r="W592" i="29" s="1"/>
  <c r="AA592" i="29" s="1"/>
  <c r="V71" i="29"/>
  <c r="X71" i="29" s="1"/>
  <c r="Y71" i="29" s="1"/>
  <c r="U71" i="29"/>
  <c r="AG71" i="29" s="1"/>
  <c r="V577" i="29"/>
  <c r="U577" i="29"/>
  <c r="AG577" i="29" s="1"/>
  <c r="U517" i="29"/>
  <c r="V517" i="29"/>
  <c r="AH308" i="29"/>
  <c r="AH354" i="29"/>
  <c r="X354" i="29"/>
  <c r="Y354" i="29" s="1"/>
  <c r="V82" i="29"/>
  <c r="AH82" i="29" s="1"/>
  <c r="U82" i="29"/>
  <c r="AG82" i="29" s="1"/>
  <c r="U520" i="29"/>
  <c r="V520" i="29"/>
  <c r="V491" i="29"/>
  <c r="X491" i="29" s="1"/>
  <c r="Y491" i="29" s="1"/>
  <c r="W13" i="29"/>
  <c r="AA13" i="29" s="1"/>
  <c r="W523" i="29"/>
  <c r="AA523" i="29" s="1"/>
  <c r="AE389" i="29"/>
  <c r="X467" i="29"/>
  <c r="Y467" i="29" s="1"/>
  <c r="AH24" i="29"/>
  <c r="AG491" i="29"/>
  <c r="AG387" i="29"/>
  <c r="W321" i="29"/>
  <c r="AA321" i="29" s="1"/>
  <c r="W576" i="29"/>
  <c r="AA576" i="29" s="1"/>
  <c r="AH377" i="29"/>
  <c r="AH470" i="29"/>
  <c r="U207" i="29"/>
  <c r="W207" i="29" s="1"/>
  <c r="AA207" i="29" s="1"/>
  <c r="V207" i="29"/>
  <c r="X207" i="29" s="1"/>
  <c r="Y207" i="29" s="1"/>
  <c r="V56" i="29"/>
  <c r="AH56" i="29" s="1"/>
  <c r="U56" i="29"/>
  <c r="V137" i="29"/>
  <c r="AH137" i="29" s="1"/>
  <c r="U137" i="29"/>
  <c r="AG137" i="29" s="1"/>
  <c r="U478" i="29"/>
  <c r="AG478" i="29" s="1"/>
  <c r="V478" i="29"/>
  <c r="AH478" i="29" s="1"/>
  <c r="U400" i="29"/>
  <c r="V400" i="29"/>
  <c r="X154" i="29"/>
  <c r="Y154" i="29" s="1"/>
  <c r="AH154" i="29"/>
  <c r="AH452" i="29"/>
  <c r="N92" i="23"/>
  <c r="O92" i="23" s="1"/>
  <c r="P92" i="23" s="1"/>
  <c r="Q92" i="23" s="1"/>
  <c r="F38" i="23"/>
  <c r="G38" i="23" s="1"/>
  <c r="H38" i="23" s="1"/>
  <c r="R71" i="23"/>
  <c r="AH261" i="29"/>
  <c r="V458" i="29"/>
  <c r="W429" i="29"/>
  <c r="AA429" i="29" s="1"/>
  <c r="F95" i="23"/>
  <c r="J95" i="23" s="1"/>
  <c r="L95" i="23" s="1"/>
  <c r="X385" i="29"/>
  <c r="Y385" i="29" s="1"/>
  <c r="W551" i="29"/>
  <c r="AA551" i="29" s="1"/>
  <c r="U463" i="29"/>
  <c r="AG463" i="29" s="1"/>
  <c r="V463" i="29"/>
  <c r="U20" i="29"/>
  <c r="W20" i="29" s="1"/>
  <c r="V20" i="29"/>
  <c r="AH20" i="29" s="1"/>
  <c r="U476" i="29"/>
  <c r="W476" i="29" s="1"/>
  <c r="AA476" i="29" s="1"/>
  <c r="V476" i="29"/>
  <c r="AH476" i="29" s="1"/>
  <c r="U490" i="29"/>
  <c r="W490" i="29" s="1"/>
  <c r="AA490" i="29" s="1"/>
  <c r="V490" i="29"/>
  <c r="X490" i="29" s="1"/>
  <c r="Y490" i="29" s="1"/>
  <c r="V473" i="29"/>
  <c r="AH473" i="29" s="1"/>
  <c r="U473" i="29"/>
  <c r="U612" i="29"/>
  <c r="V612" i="29"/>
  <c r="AH612" i="29" s="1"/>
  <c r="X271" i="29"/>
  <c r="Y271" i="29" s="1"/>
  <c r="AH271" i="29"/>
  <c r="AH88" i="29"/>
  <c r="W499" i="29"/>
  <c r="W328" i="29"/>
  <c r="AA328" i="29" s="1"/>
  <c r="X369" i="29"/>
  <c r="Y369" i="29" s="1"/>
  <c r="U351" i="29"/>
  <c r="W351" i="29" s="1"/>
  <c r="AG169" i="29"/>
  <c r="AH412" i="29"/>
  <c r="U374" i="29"/>
  <c r="AG374" i="29" s="1"/>
  <c r="V374" i="29"/>
  <c r="U536" i="29"/>
  <c r="W536" i="29" s="1"/>
  <c r="AA536" i="29" s="1"/>
  <c r="V536" i="29"/>
  <c r="AH536" i="29" s="1"/>
  <c r="V541" i="29"/>
  <c r="U541" i="29"/>
  <c r="AG541" i="29" s="1"/>
  <c r="N28" i="23"/>
  <c r="O28" i="23" s="1"/>
  <c r="P28" i="23" s="1"/>
  <c r="Q28" i="23" s="1"/>
  <c r="AH486" i="29"/>
  <c r="X486" i="29"/>
  <c r="Y486" i="29" s="1"/>
  <c r="J105" i="23"/>
  <c r="K105" i="23" s="1"/>
  <c r="W433" i="29"/>
  <c r="AA433" i="29" s="1"/>
  <c r="W209" i="29"/>
  <c r="AA209" i="29" s="1"/>
  <c r="AG499" i="29"/>
  <c r="X399" i="29"/>
  <c r="Y399" i="29" s="1"/>
  <c r="V287" i="29"/>
  <c r="X287" i="29" s="1"/>
  <c r="Y287" i="29" s="1"/>
  <c r="V127" i="29"/>
  <c r="X127" i="29" s="1"/>
  <c r="Y127" i="29" s="1"/>
  <c r="U127" i="29"/>
  <c r="W127" i="29" s="1"/>
  <c r="U108" i="29"/>
  <c r="W108" i="29" s="1"/>
  <c r="V108" i="29"/>
  <c r="X108" i="29" s="1"/>
  <c r="Y108" i="29" s="1"/>
  <c r="V560" i="29"/>
  <c r="X560" i="29" s="1"/>
  <c r="Y560" i="29" s="1"/>
  <c r="U560" i="29"/>
  <c r="W560" i="29" s="1"/>
  <c r="AA560" i="29" s="1"/>
  <c r="V583" i="29"/>
  <c r="AH588"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AG413" i="29" s="1"/>
  <c r="U335" i="29"/>
  <c r="AG335" i="29" s="1"/>
  <c r="V335" i="29"/>
  <c r="U363" i="29"/>
  <c r="V363" i="29"/>
  <c r="U384" i="29"/>
  <c r="V384" i="29"/>
  <c r="J34" i="23"/>
  <c r="K34" i="23" s="1"/>
  <c r="W265" i="29"/>
  <c r="AA265" i="29" s="1"/>
  <c r="AG321" i="29"/>
  <c r="U266" i="29"/>
  <c r="AG266" i="29" s="1"/>
  <c r="V266" i="29"/>
  <c r="U608" i="29"/>
  <c r="V608" i="29"/>
  <c r="U294" i="29"/>
  <c r="W294" i="29" s="1"/>
  <c r="V294" i="29"/>
  <c r="AH518" i="29"/>
  <c r="X518" i="29"/>
  <c r="Y518" i="29" s="1"/>
  <c r="U360" i="29"/>
  <c r="V360" i="29"/>
  <c r="V340" i="29"/>
  <c r="U340" i="29"/>
  <c r="AE369" i="29"/>
  <c r="AD324" i="29"/>
  <c r="AD513" i="29"/>
  <c r="AG245" i="29"/>
  <c r="U492" i="29"/>
  <c r="AG492" i="29" s="1"/>
  <c r="V492" i="29"/>
  <c r="V483" i="29"/>
  <c r="U483" i="29"/>
  <c r="AG483" i="29" s="1"/>
  <c r="V527" i="29"/>
  <c r="U527" i="29"/>
  <c r="AG527" i="29" s="1"/>
  <c r="U544" i="29"/>
  <c r="V544" i="29"/>
  <c r="X315" i="29"/>
  <c r="Y315" i="29" s="1"/>
  <c r="W169" i="29"/>
  <c r="AA169" i="29" s="1"/>
  <c r="W387" i="29"/>
  <c r="AA387" i="29" s="1"/>
  <c r="X13" i="29"/>
  <c r="Y13" i="29" s="1"/>
  <c r="U441" i="29"/>
  <c r="V441" i="29"/>
  <c r="U509" i="29"/>
  <c r="W509" i="29" s="1"/>
  <c r="V509" i="29"/>
  <c r="AH509" i="29" s="1"/>
  <c r="U50" i="29"/>
  <c r="W50" i="29" s="1"/>
  <c r="AA50" i="29" s="1"/>
  <c r="V50" i="29"/>
  <c r="V438" i="29"/>
  <c r="U438" i="29"/>
  <c r="AG438" i="29" s="1"/>
  <c r="U534" i="29"/>
  <c r="W534" i="29" s="1"/>
  <c r="V534" i="29"/>
  <c r="U428" i="29"/>
  <c r="W428" i="29" s="1"/>
  <c r="V428" i="29"/>
  <c r="X436" i="29"/>
  <c r="Y436" i="29" s="1"/>
  <c r="AH387" i="29"/>
  <c r="X387" i="29"/>
  <c r="Y387" i="29" s="1"/>
  <c r="W491" i="29"/>
  <c r="AA491" i="29" s="1"/>
  <c r="W469" i="29"/>
  <c r="AA469" i="29" s="1"/>
  <c r="AE447" i="29"/>
  <c r="V91" i="29"/>
  <c r="U91" i="29"/>
  <c r="W91" i="29" s="1"/>
  <c r="AA91" i="29" s="1"/>
  <c r="U36" i="29"/>
  <c r="AG36" i="29" s="1"/>
  <c r="V36" i="29"/>
  <c r="V330" i="29"/>
  <c r="AH330" i="29" s="1"/>
  <c r="U330" i="29"/>
  <c r="AG330" i="29" s="1"/>
  <c r="AG388" i="29"/>
  <c r="W323" i="29"/>
  <c r="AA323" i="29" s="1"/>
  <c r="V324" i="29"/>
  <c r="U324" i="29"/>
  <c r="U86" i="29"/>
  <c r="AG86" i="29" s="1"/>
  <c r="V86" i="29"/>
  <c r="X86" i="29" s="1"/>
  <c r="Y86" i="29" s="1"/>
  <c r="U53" i="29"/>
  <c r="V53" i="29"/>
  <c r="AH53" i="29" s="1"/>
  <c r="U454" i="29"/>
  <c r="W454" i="29" s="1"/>
  <c r="AA454" i="29" s="1"/>
  <c r="V454" i="29"/>
  <c r="AH454" i="29" s="1"/>
  <c r="U493" i="29"/>
  <c r="V493" i="29"/>
  <c r="AH493" i="29" s="1"/>
  <c r="X55" i="29"/>
  <c r="Y55" i="29" s="1"/>
  <c r="AH55" i="29"/>
  <c r="AH323" i="29"/>
  <c r="X323" i="29"/>
  <c r="Y323" i="29" s="1"/>
  <c r="N42" i="23"/>
  <c r="O42" i="23" s="1"/>
  <c r="P42" i="23" s="1"/>
  <c r="Q42" i="23" s="1"/>
  <c r="W486" i="29"/>
  <c r="AA486" i="29" s="1"/>
  <c r="U367" i="29"/>
  <c r="W367" i="29" s="1"/>
  <c r="V367" i="29"/>
  <c r="V270" i="29"/>
  <c r="AH270" i="29" s="1"/>
  <c r="U270" i="29"/>
  <c r="U117" i="29"/>
  <c r="V117" i="29"/>
  <c r="AH117" i="29" s="1"/>
  <c r="U373" i="29"/>
  <c r="W373" i="29" s="1"/>
  <c r="AA373" i="29" s="1"/>
  <c r="V373" i="29"/>
  <c r="U601" i="29"/>
  <c r="AG601" i="29" s="1"/>
  <c r="V601" i="29"/>
  <c r="V600" i="29"/>
  <c r="U600" i="29"/>
  <c r="AG600" i="29" s="1"/>
  <c r="U589" i="29"/>
  <c r="V589" i="29"/>
  <c r="U262" i="29"/>
  <c r="V262" i="29"/>
  <c r="AE419" i="29"/>
  <c r="X18" i="29"/>
  <c r="Y18" i="29" s="1"/>
  <c r="AH18" i="29"/>
  <c r="AH258" i="29"/>
  <c r="X258" i="29"/>
  <c r="Y258" i="29" s="1"/>
  <c r="I128" i="25"/>
  <c r="AE357" i="29"/>
  <c r="W442" i="29"/>
  <c r="AA442" i="29" s="1"/>
  <c r="U448" i="29"/>
  <c r="V448" i="29"/>
  <c r="AE555" i="29"/>
  <c r="U241" i="29"/>
  <c r="AG241" i="29" s="1"/>
  <c r="V241" i="29"/>
  <c r="X241" i="29" s="1"/>
  <c r="Y241" i="29" s="1"/>
  <c r="AE520" i="29"/>
  <c r="U397" i="29"/>
  <c r="W397" i="29" s="1"/>
  <c r="AA397" i="29" s="1"/>
  <c r="V397" i="29"/>
  <c r="AE379" i="29"/>
  <c r="AH336" i="29"/>
  <c r="X336" i="29"/>
  <c r="Y336" i="29" s="1"/>
  <c r="X451" i="29"/>
  <c r="Y451" i="29" s="1"/>
  <c r="AH451" i="29"/>
  <c r="X533" i="29"/>
  <c r="Y533" i="29" s="1"/>
  <c r="AH533" i="29"/>
  <c r="AH309" i="29"/>
  <c r="X309" i="29"/>
  <c r="Y309" i="29" s="1"/>
  <c r="AH21" i="29"/>
  <c r="X21" i="29"/>
  <c r="Y21" i="29" s="1"/>
  <c r="AH346" i="29"/>
  <c r="X346" i="29"/>
  <c r="Y346" i="29" s="1"/>
  <c r="F76" i="23"/>
  <c r="G76" i="23" s="1"/>
  <c r="H76" i="23" s="1"/>
  <c r="U529" i="29"/>
  <c r="AD476" i="29"/>
  <c r="X470" i="29"/>
  <c r="Y470" i="29" s="1"/>
  <c r="X611" i="29"/>
  <c r="Y611" i="29" s="1"/>
  <c r="U297" i="29"/>
  <c r="V297" i="29"/>
  <c r="X297" i="29" s="1"/>
  <c r="Y297" i="29" s="1"/>
  <c r="U543" i="29"/>
  <c r="AG543" i="29" s="1"/>
  <c r="V543" i="29"/>
  <c r="X130" i="29"/>
  <c r="Y130" i="29" s="1"/>
  <c r="AH130" i="29"/>
  <c r="AH195" i="29"/>
  <c r="X195" i="29"/>
  <c r="Y195" i="29" s="1"/>
  <c r="AH244" i="29"/>
  <c r="X244" i="29"/>
  <c r="Y244" i="29" s="1"/>
  <c r="AH429" i="29"/>
  <c r="X429" i="29"/>
  <c r="Y429" i="29" s="1"/>
  <c r="AH253" i="29"/>
  <c r="X253" i="29"/>
  <c r="Y253" i="29" s="1"/>
  <c r="X29" i="29"/>
  <c r="Y29" i="29" s="1"/>
  <c r="AH29" i="29"/>
  <c r="AH65" i="29"/>
  <c r="X402" i="29"/>
  <c r="Y402" i="29" s="1"/>
  <c r="AH402" i="29"/>
  <c r="AE364" i="29"/>
  <c r="AH203" i="29"/>
  <c r="X203" i="29"/>
  <c r="Y203" i="29" s="1"/>
  <c r="W568" i="29"/>
  <c r="AA568" i="29" s="1"/>
  <c r="U450" i="29"/>
  <c r="W450" i="29" s="1"/>
  <c r="V450" i="29"/>
  <c r="U524" i="29"/>
  <c r="W524" i="29" s="1"/>
  <c r="V524" i="29"/>
  <c r="U355" i="29"/>
  <c r="W355" i="29" s="1"/>
  <c r="AA355" i="29" s="1"/>
  <c r="V355" i="29"/>
  <c r="U607" i="29"/>
  <c r="V607" i="29"/>
  <c r="X607" i="29" s="1"/>
  <c r="Y607" i="29" s="1"/>
  <c r="X474" i="29"/>
  <c r="Y474" i="29" s="1"/>
  <c r="AH474" i="29"/>
  <c r="X36" i="29"/>
  <c r="Y36" i="29" s="1"/>
  <c r="AH36" i="29"/>
  <c r="I129" i="25"/>
  <c r="AO229" i="29"/>
  <c r="V229" i="29" s="1"/>
  <c r="AD567" i="29"/>
  <c r="X452" i="29"/>
  <c r="Y452" i="29" s="1"/>
  <c r="V307" i="29"/>
  <c r="U307" i="29"/>
  <c r="U591" i="29"/>
  <c r="V591" i="29"/>
  <c r="U514" i="29"/>
  <c r="AG514" i="29" s="1"/>
  <c r="V514" i="29"/>
  <c r="AH514" i="29" s="1"/>
  <c r="AE472" i="29"/>
  <c r="AH468" i="29"/>
  <c r="X468" i="29"/>
  <c r="Y468" i="29" s="1"/>
  <c r="AH313" i="29"/>
  <c r="X313" i="29"/>
  <c r="Y313" i="29" s="1"/>
  <c r="X540" i="29"/>
  <c r="Y540" i="29" s="1"/>
  <c r="AH540" i="29"/>
  <c r="X602" i="29"/>
  <c r="Y602" i="29" s="1"/>
  <c r="AH602" i="29"/>
  <c r="AH381" i="29"/>
  <c r="X381" i="29"/>
  <c r="Y381" i="29" s="1"/>
  <c r="X377" i="29"/>
  <c r="Y377" i="29" s="1"/>
  <c r="AD56" i="29"/>
  <c r="U416" i="29"/>
  <c r="V416" i="29"/>
  <c r="X416" i="29" s="1"/>
  <c r="Y416" i="29" s="1"/>
  <c r="U356" i="29"/>
  <c r="AG356" i="29" s="1"/>
  <c r="V356" i="29"/>
  <c r="U566" i="29"/>
  <c r="AG566" i="29" s="1"/>
  <c r="V566" i="29"/>
  <c r="AH281" i="29"/>
  <c r="X281" i="29"/>
  <c r="Y281" i="29" s="1"/>
  <c r="AH260" i="29"/>
  <c r="X260" i="29"/>
  <c r="Y260" i="29" s="1"/>
  <c r="X499" i="29"/>
  <c r="Y499" i="29" s="1"/>
  <c r="X412" i="29"/>
  <c r="Y412" i="29" s="1"/>
  <c r="AH168" i="29"/>
  <c r="X168" i="29"/>
  <c r="Y168" i="29" s="1"/>
  <c r="X574" i="29"/>
  <c r="Y574" i="29" s="1"/>
  <c r="J89" i="23"/>
  <c r="K89" i="23" s="1"/>
  <c r="AD362" i="29"/>
  <c r="V319" i="29"/>
  <c r="X319" i="29" s="1"/>
  <c r="Y319" i="29" s="1"/>
  <c r="U319" i="29"/>
  <c r="AG319" i="29" s="1"/>
  <c r="U289" i="29"/>
  <c r="V289" i="29"/>
  <c r="X289" i="29" s="1"/>
  <c r="Y289" i="29" s="1"/>
  <c r="U480" i="29"/>
  <c r="V480" i="29"/>
  <c r="X201" i="29"/>
  <c r="Y201" i="29" s="1"/>
  <c r="AH201" i="29"/>
  <c r="AH301" i="29"/>
  <c r="AH158" i="29"/>
  <c r="X158" i="29"/>
  <c r="Y158" i="29" s="1"/>
  <c r="AH427" i="29"/>
  <c r="X427" i="29"/>
  <c r="Y427" i="29" s="1"/>
  <c r="AH582" i="29"/>
  <c r="U538" i="29"/>
  <c r="AG538" i="29" s="1"/>
  <c r="V538" i="29"/>
  <c r="AE394" i="29"/>
  <c r="X328" i="29"/>
  <c r="Y328" i="29" s="1"/>
  <c r="AH328" i="29"/>
  <c r="AG257" i="29"/>
  <c r="AH415" i="29"/>
  <c r="X415" i="29"/>
  <c r="Y415" i="29" s="1"/>
  <c r="AH567" i="29"/>
  <c r="X567" i="29"/>
  <c r="Y567" i="29" s="1"/>
  <c r="J98" i="23"/>
  <c r="K98" i="23" s="1"/>
  <c r="U489" i="29"/>
  <c r="AG489" i="29" s="1"/>
  <c r="N21" i="23"/>
  <c r="O21" i="23" s="1"/>
  <c r="P21" i="23" s="1"/>
  <c r="Q21" i="23" s="1"/>
  <c r="U455" i="29"/>
  <c r="V455" i="29"/>
  <c r="U337" i="29"/>
  <c r="V337" i="29"/>
  <c r="X337" i="29" s="1"/>
  <c r="Y337" i="29" s="1"/>
  <c r="U68" i="29"/>
  <c r="V68" i="29"/>
  <c r="V422" i="29"/>
  <c r="U422" i="29"/>
  <c r="W422" i="29" s="1"/>
  <c r="U457" i="29"/>
  <c r="V457" i="29"/>
  <c r="U461" i="29"/>
  <c r="V461" i="29"/>
  <c r="AE306" i="29"/>
  <c r="AE476" i="29"/>
  <c r="X476" i="29"/>
  <c r="Y476" i="29" s="1"/>
  <c r="AE385" i="29"/>
  <c r="AE587" i="29"/>
  <c r="AH482" i="29"/>
  <c r="X482" i="29"/>
  <c r="Y482" i="29" s="1"/>
  <c r="N12" i="23"/>
  <c r="O12" i="23" s="1"/>
  <c r="P12" i="23" s="1"/>
  <c r="Q12" i="23" s="1"/>
  <c r="I37" i="25"/>
  <c r="M212" i="24"/>
  <c r="I59" i="25"/>
  <c r="J21" i="23"/>
  <c r="K21" i="23" s="1"/>
  <c r="AE592" i="29"/>
  <c r="X497" i="29"/>
  <c r="Y497" i="29" s="1"/>
  <c r="V259" i="29"/>
  <c r="U259" i="29"/>
  <c r="AG259" i="29" s="1"/>
  <c r="V107" i="29"/>
  <c r="AH107" i="29" s="1"/>
  <c r="U107" i="29"/>
  <c r="W107" i="29" s="1"/>
  <c r="U460" i="29"/>
  <c r="W460" i="29" s="1"/>
  <c r="AA460" i="29" s="1"/>
  <c r="V460" i="29"/>
  <c r="V546" i="29"/>
  <c r="U546" i="29"/>
  <c r="W546" i="29" s="1"/>
  <c r="AE543" i="29"/>
  <c r="AE366" i="29"/>
  <c r="X366" i="29"/>
  <c r="Y366" i="29" s="1"/>
  <c r="AE536" i="29"/>
  <c r="U358" i="29"/>
  <c r="V358" i="29"/>
  <c r="AD551" i="29"/>
  <c r="AH542" i="29"/>
  <c r="X542" i="29"/>
  <c r="Y542" i="29" s="1"/>
  <c r="W598" i="29"/>
  <c r="AA598" i="29" s="1"/>
  <c r="W409" i="29"/>
  <c r="W593" i="29"/>
  <c r="AA593" i="29" s="1"/>
  <c r="W140" i="29"/>
  <c r="AA140" i="29" s="1"/>
  <c r="W331" i="29"/>
  <c r="W626" i="29"/>
  <c r="J636" i="29" s="1"/>
  <c r="W518" i="29"/>
  <c r="W253" i="29"/>
  <c r="AA253" i="29" s="1"/>
  <c r="W71" i="29"/>
  <c r="AA71" i="29" s="1"/>
  <c r="W501" i="29"/>
  <c r="AA501" i="29" s="1"/>
  <c r="W180" i="29"/>
  <c r="AA180" i="29" s="1"/>
  <c r="W232" i="29"/>
  <c r="W298" i="29"/>
  <c r="W408" i="29"/>
  <c r="W385" i="29"/>
  <c r="AA385" i="29" s="1"/>
  <c r="W602" i="29"/>
  <c r="AA602" i="29" s="1"/>
  <c r="W371" i="29"/>
  <c r="AA371" i="29" s="1"/>
  <c r="W15" i="29"/>
  <c r="AA15" i="29" s="1"/>
  <c r="W313" i="29"/>
  <c r="AA313" i="29" s="1"/>
  <c r="AE525" i="29"/>
  <c r="W72" i="29"/>
  <c r="AG72" i="29"/>
  <c r="W325" i="29"/>
  <c r="V352" i="29"/>
  <c r="X352" i="29" s="1"/>
  <c r="Y352" i="29" s="1"/>
  <c r="U352" i="29"/>
  <c r="V247" i="29"/>
  <c r="U247" i="29"/>
  <c r="AO113" i="29"/>
  <c r="U264" i="29"/>
  <c r="AG264" i="29" s="1"/>
  <c r="V264" i="29"/>
  <c r="AH264" i="29" s="1"/>
  <c r="V444" i="29"/>
  <c r="U444" i="29"/>
  <c r="V341" i="29"/>
  <c r="X341" i="29" s="1"/>
  <c r="Y341" i="29" s="1"/>
  <c r="U341" i="29"/>
  <c r="AD119" i="29"/>
  <c r="X466" i="29"/>
  <c r="Y466" i="29" s="1"/>
  <c r="AH263" i="29"/>
  <c r="X263" i="29"/>
  <c r="Y263" i="29" s="1"/>
  <c r="J99" i="23"/>
  <c r="L99" i="23" s="1"/>
  <c r="AD577" i="29"/>
  <c r="X81" i="29"/>
  <c r="Y81" i="29" s="1"/>
  <c r="AH81" i="29"/>
  <c r="J14" i="23"/>
  <c r="L14" i="23" s="1"/>
  <c r="AO90" i="29"/>
  <c r="AE502" i="29"/>
  <c r="V469" i="29"/>
  <c r="AH469" i="29" s="1"/>
  <c r="U249" i="29"/>
  <c r="V249" i="29"/>
  <c r="AH249" i="29" s="1"/>
  <c r="U332" i="29"/>
  <c r="V332" i="29"/>
  <c r="AH332" i="29" s="1"/>
  <c r="V532" i="29"/>
  <c r="U532" i="29"/>
  <c r="U350" i="29"/>
  <c r="W350" i="29" s="1"/>
  <c r="V350" i="29"/>
  <c r="U558" i="29"/>
  <c r="V558" i="29"/>
  <c r="X558" i="29" s="1"/>
  <c r="Y558" i="29" s="1"/>
  <c r="AD391" i="29"/>
  <c r="W391" i="29"/>
  <c r="AE516" i="29"/>
  <c r="X516" i="29"/>
  <c r="Y516" i="29" s="1"/>
  <c r="AE356" i="29"/>
  <c r="U420" i="29"/>
  <c r="V420" i="29"/>
  <c r="R33" i="23"/>
  <c r="N33" i="23"/>
  <c r="O33" i="23" s="1"/>
  <c r="P33" i="23" s="1"/>
  <c r="Q33" i="23" s="1"/>
  <c r="W230" i="29"/>
  <c r="AA230" i="29" s="1"/>
  <c r="AG230" i="29"/>
  <c r="AE506" i="29"/>
  <c r="X519" i="29"/>
  <c r="Y519" i="29" s="1"/>
  <c r="AH519" i="29"/>
  <c r="J66" i="23"/>
  <c r="I44" i="25"/>
  <c r="J44" i="23"/>
  <c r="K44" i="23" s="1"/>
  <c r="U320" i="29"/>
  <c r="W320" i="29" s="1"/>
  <c r="V320" i="29"/>
  <c r="V439" i="29"/>
  <c r="U439" i="29"/>
  <c r="AE330" i="29"/>
  <c r="AE411" i="29"/>
  <c r="X411" i="29"/>
  <c r="Y411" i="29" s="1"/>
  <c r="AD516" i="29"/>
  <c r="W516" i="29"/>
  <c r="U375" i="29"/>
  <c r="V375" i="29"/>
  <c r="AE509" i="29"/>
  <c r="AE562" i="29"/>
  <c r="W552" i="29"/>
  <c r="W137" i="29"/>
  <c r="AA137" i="29" s="1"/>
  <c r="AH13" i="29"/>
  <c r="J65" i="23"/>
  <c r="U317" i="29"/>
  <c r="V317" i="29"/>
  <c r="V285" i="29"/>
  <c r="U285" i="29"/>
  <c r="V539" i="29"/>
  <c r="U539" i="29"/>
  <c r="U580" i="29"/>
  <c r="V580" i="29"/>
  <c r="V462" i="29"/>
  <c r="AH462" i="29" s="1"/>
  <c r="U462" i="29"/>
  <c r="AD369" i="29"/>
  <c r="W369" i="29"/>
  <c r="AA369" i="29" s="1"/>
  <c r="AE403" i="29"/>
  <c r="X403" i="29"/>
  <c r="Y403" i="29" s="1"/>
  <c r="AE514" i="29"/>
  <c r="AE362" i="29"/>
  <c r="AE485" i="29"/>
  <c r="U449" i="29"/>
  <c r="V449" i="29"/>
  <c r="AE442" i="29"/>
  <c r="AE467" i="29"/>
  <c r="W403" i="29"/>
  <c r="AA403" i="29" s="1"/>
  <c r="AD13" i="29"/>
  <c r="W356" i="29"/>
  <c r="U432" i="29"/>
  <c r="V432" i="29"/>
  <c r="V380" i="29"/>
  <c r="U380" i="29"/>
  <c r="U571" i="29"/>
  <c r="V571" i="29"/>
  <c r="U437" i="29"/>
  <c r="V437" i="29"/>
  <c r="U382" i="29"/>
  <c r="W382" i="29" s="1"/>
  <c r="V382" i="29"/>
  <c r="AE349" i="29"/>
  <c r="X349" i="29"/>
  <c r="Y349" i="29" s="1"/>
  <c r="AE612" i="29"/>
  <c r="AD569" i="29"/>
  <c r="AE409" i="29"/>
  <c r="X582" i="29"/>
  <c r="Y582" i="29" s="1"/>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AG132"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W122" i="29" s="1"/>
  <c r="AA122" i="29" s="1"/>
  <c r="V122" i="29"/>
  <c r="U392" i="29"/>
  <c r="V392" i="29"/>
  <c r="AH359" i="29"/>
  <c r="X359" i="29"/>
  <c r="Y359" i="29" s="1"/>
  <c r="U131" i="29"/>
  <c r="AG131" i="29" s="1"/>
  <c r="V131" i="29"/>
  <c r="U344" i="29"/>
  <c r="W344" i="29" s="1"/>
  <c r="V344" i="29"/>
  <c r="V579" i="29"/>
  <c r="U579" i="29"/>
  <c r="AE569" i="29"/>
  <c r="X569" i="29"/>
  <c r="Y569" i="29" s="1"/>
  <c r="X183" i="29"/>
  <c r="Y183" i="29" s="1"/>
  <c r="AH183" i="29"/>
  <c r="R13" i="23"/>
  <c r="N13" i="23"/>
  <c r="O13" i="23" s="1"/>
  <c r="P13" i="23" s="1"/>
  <c r="Q13" i="23" s="1"/>
  <c r="AG545" i="29"/>
  <c r="W545" i="29"/>
  <c r="R47" i="23"/>
  <c r="N47" i="23"/>
  <c r="O47" i="23" s="1"/>
  <c r="P47" i="23" s="1"/>
  <c r="Q47" i="23" s="1"/>
  <c r="X609" i="29"/>
  <c r="Y609" i="29" s="1"/>
  <c r="V300" i="29"/>
  <c r="X300" i="29" s="1"/>
  <c r="Y300" i="29" s="1"/>
  <c r="U300" i="29"/>
  <c r="W300" i="29" s="1"/>
  <c r="AA300" i="29" s="1"/>
  <c r="U237" i="29"/>
  <c r="V237" i="29"/>
  <c r="AH237" i="29" s="1"/>
  <c r="V194" i="29"/>
  <c r="X194" i="29" s="1"/>
  <c r="Y194" i="29" s="1"/>
  <c r="U194" i="29"/>
  <c r="AG194" i="29" s="1"/>
  <c r="U406" i="29"/>
  <c r="V406" i="29"/>
  <c r="V584" i="29"/>
  <c r="U584" i="29"/>
  <c r="U274" i="29"/>
  <c r="W274" i="29" s="1"/>
  <c r="V274" i="29"/>
  <c r="AH274" i="29" s="1"/>
  <c r="AE568" i="29"/>
  <c r="X568" i="29"/>
  <c r="Y568" i="29" s="1"/>
  <c r="W497" i="29"/>
  <c r="AA497" i="29" s="1"/>
  <c r="AG497" i="29"/>
  <c r="R44" i="23"/>
  <c r="N44" i="23"/>
  <c r="O44" i="23" s="1"/>
  <c r="P44" i="23" s="1"/>
  <c r="Q44" i="23" s="1"/>
  <c r="AE480" i="29"/>
  <c r="I182" i="25"/>
  <c r="K8" i="2"/>
  <c r="A28" i="16" s="1"/>
  <c r="AO42" i="29"/>
  <c r="AO46" i="29"/>
  <c r="U46" i="29" s="1"/>
  <c r="W609" i="29"/>
  <c r="AA609" i="29" s="1"/>
  <c r="V220" i="29"/>
  <c r="U220" i="29"/>
  <c r="U590" i="29"/>
  <c r="V590" i="29"/>
  <c r="AH590" i="29" s="1"/>
  <c r="U256" i="29"/>
  <c r="W256" i="29" s="1"/>
  <c r="V256" i="29"/>
  <c r="X256" i="29" s="1"/>
  <c r="Y256" i="29" s="1"/>
  <c r="U236" i="29"/>
  <c r="AG236" i="29" s="1"/>
  <c r="V236" i="29"/>
  <c r="X236" i="29" s="1"/>
  <c r="Y236" i="29" s="1"/>
  <c r="U161" i="29"/>
  <c r="AG161" i="29" s="1"/>
  <c r="V161" i="29"/>
  <c r="U464" i="29"/>
  <c r="V464" i="29"/>
  <c r="U531" i="29"/>
  <c r="V531" i="29"/>
  <c r="AE20" i="29"/>
  <c r="X20" i="29"/>
  <c r="Y20" i="29" s="1"/>
  <c r="X515" i="29"/>
  <c r="Y515" i="29" s="1"/>
  <c r="AH515" i="29"/>
  <c r="W458" i="29"/>
  <c r="AG458" i="29"/>
  <c r="AD65" i="29"/>
  <c r="R106" i="23"/>
  <c r="N106" i="23"/>
  <c r="O106" i="23" s="1"/>
  <c r="P106" i="23" s="1"/>
  <c r="Q106" i="23" s="1"/>
  <c r="R51" i="23"/>
  <c r="N51" i="23"/>
  <c r="O51" i="23" s="1"/>
  <c r="P51" i="23" s="1"/>
  <c r="Q51" i="23" s="1"/>
  <c r="X604" i="29"/>
  <c r="Y604" i="29" s="1"/>
  <c r="I54" i="23"/>
  <c r="R95" i="23"/>
  <c r="U26" i="29"/>
  <c r="AG26" i="29" s="1"/>
  <c r="V26" i="29"/>
  <c r="V605" i="29"/>
  <c r="U605" i="29"/>
  <c r="V404" i="29"/>
  <c r="U404" i="29"/>
  <c r="V339" i="29"/>
  <c r="U339" i="29"/>
  <c r="V101" i="29"/>
  <c r="AH101" i="29" s="1"/>
  <c r="U101" i="29"/>
  <c r="W597" i="29"/>
  <c r="AG597" i="29"/>
  <c r="AH556" i="29"/>
  <c r="AD493" i="29"/>
  <c r="AD548" i="29"/>
  <c r="AD168" i="29"/>
  <c r="W168" i="29"/>
  <c r="AA168" i="29" s="1"/>
  <c r="R94" i="23"/>
  <c r="N94" i="23"/>
  <c r="O94" i="23" s="1"/>
  <c r="P94" i="23" s="1"/>
  <c r="Q94" i="23" s="1"/>
  <c r="R89" i="23"/>
  <c r="N89" i="23"/>
  <c r="O89" i="23" s="1"/>
  <c r="P89" i="23" s="1"/>
  <c r="Q89" i="23" s="1"/>
  <c r="R48" i="23"/>
  <c r="N48" i="23"/>
  <c r="O48" i="23" s="1"/>
  <c r="P48" i="23" s="1"/>
  <c r="Q48" i="23" s="1"/>
  <c r="W485" i="29"/>
  <c r="U581" i="29"/>
  <c r="V581" i="29"/>
  <c r="U595" i="29"/>
  <c r="V595" i="29"/>
  <c r="V269" i="29"/>
  <c r="X269" i="29" s="1"/>
  <c r="Y269" i="29" s="1"/>
  <c r="U269" i="29"/>
  <c r="AD601" i="29"/>
  <c r="AG417" i="29"/>
  <c r="W417" i="29"/>
  <c r="O270" i="25"/>
  <c r="R270" i="25" s="1"/>
  <c r="J9" i="23"/>
  <c r="K9" i="23" s="1"/>
  <c r="U359" i="29"/>
  <c r="AG359" i="29" s="1"/>
  <c r="U125" i="29"/>
  <c r="AG125" i="29" s="1"/>
  <c r="V125" i="29"/>
  <c r="X125" i="29" s="1"/>
  <c r="Y125" i="29" s="1"/>
  <c r="V507" i="29"/>
  <c r="U507" i="29"/>
  <c r="U284" i="29"/>
  <c r="W284" i="29" s="1"/>
  <c r="V284" i="29"/>
  <c r="X284" i="29" s="1"/>
  <c r="Y284" i="29" s="1"/>
  <c r="U345" i="29"/>
  <c r="V345" i="29"/>
  <c r="AD109" i="29"/>
  <c r="X276" i="29"/>
  <c r="Y276" i="29" s="1"/>
  <c r="AH276" i="29"/>
  <c r="AD514" i="29"/>
  <c r="AE548" i="29"/>
  <c r="AE68" i="29"/>
  <c r="AD20" i="29"/>
  <c r="AD45" i="29"/>
  <c r="W498" i="29"/>
  <c r="AG498"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X489" i="29"/>
  <c r="Y489" i="29" s="1"/>
  <c r="R70" i="23"/>
  <c r="N70" i="23"/>
  <c r="O70" i="23" s="1"/>
  <c r="P70" i="23" s="1"/>
  <c r="Q70" i="23" s="1"/>
  <c r="U553" i="29"/>
  <c r="V553" i="29"/>
  <c r="U286" i="29"/>
  <c r="AG286" i="29" s="1"/>
  <c r="V286" i="29"/>
  <c r="U443" i="29"/>
  <c r="V443" i="29"/>
  <c r="V398" i="29"/>
  <c r="X398" i="29" s="1"/>
  <c r="Y398" i="29" s="1"/>
  <c r="U398" i="29"/>
  <c r="U240" i="29"/>
  <c r="V240" i="29"/>
  <c r="X240" i="29" s="1"/>
  <c r="Y240" i="29" s="1"/>
  <c r="U343" i="29"/>
  <c r="V343" i="29"/>
  <c r="X343" i="29" s="1"/>
  <c r="Y343" i="29" s="1"/>
  <c r="W336" i="29"/>
  <c r="AG336" i="29"/>
  <c r="X144" i="29"/>
  <c r="Y144" i="29" s="1"/>
  <c r="AH144" i="29"/>
  <c r="AG482" i="29"/>
  <c r="W482" i="29"/>
  <c r="X209" i="29"/>
  <c r="Y209" i="29" s="1"/>
  <c r="AH209" i="29"/>
  <c r="AH424" i="29"/>
  <c r="X424" i="29"/>
  <c r="Y424" i="29" s="1"/>
  <c r="X314" i="29"/>
  <c r="Y314" i="29" s="1"/>
  <c r="AH314" i="29"/>
  <c r="AG334" i="29"/>
  <c r="W334" i="29"/>
  <c r="W290" i="29"/>
  <c r="AG290" i="29"/>
  <c r="AH338" i="29"/>
  <c r="X338" i="29"/>
  <c r="Y338" i="29" s="1"/>
  <c r="AG347" i="29"/>
  <c r="W347" i="29"/>
  <c r="AG274" i="29"/>
  <c r="X182" i="29"/>
  <c r="Y182" i="29" s="1"/>
  <c r="AH182" i="29"/>
  <c r="AG223" i="29"/>
  <c r="W223" i="29"/>
  <c r="AA223" i="29" s="1"/>
  <c r="AH231" i="29"/>
  <c r="X231" i="29"/>
  <c r="Y231" i="29" s="1"/>
  <c r="X41" i="29"/>
  <c r="Y41" i="29" s="1"/>
  <c r="AH41" i="29"/>
  <c r="W288" i="29"/>
  <c r="AG288" i="29"/>
  <c r="AG530" i="29"/>
  <c r="W530" i="29"/>
  <c r="X257" i="29"/>
  <c r="Y257" i="29" s="1"/>
  <c r="AH257" i="29"/>
  <c r="X238" i="29"/>
  <c r="Y238" i="29" s="1"/>
  <c r="AH238" i="29"/>
  <c r="AG547" i="29"/>
  <c r="W547" i="29"/>
  <c r="U573" i="29"/>
  <c r="V573" i="29"/>
  <c r="U376" i="29"/>
  <c r="V376" i="29"/>
  <c r="U606" i="29"/>
  <c r="W606" i="29" s="1"/>
  <c r="V606" i="29"/>
  <c r="U440" i="29"/>
  <c r="V440" i="29"/>
  <c r="W192" i="29"/>
  <c r="AG192" i="29"/>
  <c r="W542" i="29"/>
  <c r="AG542" i="29"/>
  <c r="AH112" i="29"/>
  <c r="X112" i="29"/>
  <c r="Y112" i="29" s="1"/>
  <c r="AH370" i="29"/>
  <c r="X370" i="29"/>
  <c r="Y370" i="29" s="1"/>
  <c r="W41" i="29"/>
  <c r="AG41" i="29"/>
  <c r="X50" i="29"/>
  <c r="Y50" i="29" s="1"/>
  <c r="AH50" i="29"/>
  <c r="AH535" i="29"/>
  <c r="X535" i="29"/>
  <c r="Y535" i="29" s="1"/>
  <c r="W270" i="29"/>
  <c r="AG270" i="29"/>
  <c r="AG226" i="29"/>
  <c r="W226" i="29"/>
  <c r="AG178" i="29"/>
  <c r="W178" i="29"/>
  <c r="AA178" i="29" s="1"/>
  <c r="AH184" i="29"/>
  <c r="X184" i="29"/>
  <c r="Y184" i="29" s="1"/>
  <c r="AG44" i="29"/>
  <c r="X335" i="29"/>
  <c r="Y335" i="29" s="1"/>
  <c r="AH335" i="29"/>
  <c r="X44" i="29"/>
  <c r="Y44" i="29" s="1"/>
  <c r="AH44" i="29"/>
  <c r="AG346" i="29"/>
  <c r="W346" i="29"/>
  <c r="X77" i="29"/>
  <c r="Y77" i="29" s="1"/>
  <c r="AH77" i="29"/>
  <c r="X273" i="29"/>
  <c r="Y273" i="29" s="1"/>
  <c r="AH273" i="29"/>
  <c r="AG282" i="29"/>
  <c r="W282" i="29"/>
  <c r="AO147" i="29"/>
  <c r="U537" i="29"/>
  <c r="V537" i="29"/>
  <c r="V508" i="29"/>
  <c r="U508" i="29"/>
  <c r="V496" i="29"/>
  <c r="U496" i="29"/>
  <c r="U603" i="29"/>
  <c r="V603" i="29"/>
  <c r="AE623" i="29"/>
  <c r="AH326" i="29"/>
  <c r="X326" i="29"/>
  <c r="Y326" i="29" s="1"/>
  <c r="W264" i="29"/>
  <c r="X239" i="29"/>
  <c r="Y239" i="29" s="1"/>
  <c r="AH239" i="29"/>
  <c r="AH296" i="29"/>
  <c r="X296" i="29"/>
  <c r="Y296" i="29" s="1"/>
  <c r="AH204" i="29"/>
  <c r="X204" i="29"/>
  <c r="Y204" i="29" s="1"/>
  <c r="W510" i="29"/>
  <c r="AG510" i="29"/>
  <c r="AG370" i="29"/>
  <c r="W370" i="29"/>
  <c r="X97" i="29"/>
  <c r="Y97" i="29" s="1"/>
  <c r="AH97" i="29"/>
  <c r="W94" i="29"/>
  <c r="AG94" i="29"/>
  <c r="X408" i="29"/>
  <c r="Y408" i="29" s="1"/>
  <c r="AH408" i="29"/>
  <c r="W575" i="29"/>
  <c r="AG575" i="29"/>
  <c r="AH321" i="29"/>
  <c r="X321" i="29"/>
  <c r="Y321" i="29" s="1"/>
  <c r="W318" i="29"/>
  <c r="AG318" i="29"/>
  <c r="AH302" i="29"/>
  <c r="X302" i="29"/>
  <c r="Y302" i="29" s="1"/>
  <c r="AH91" i="29"/>
  <c r="X91" i="29"/>
  <c r="Y91" i="29" s="1"/>
  <c r="W246" i="29"/>
  <c r="AG246" i="29"/>
  <c r="AH287" i="29"/>
  <c r="AG570" i="29"/>
  <c r="W570" i="29"/>
  <c r="AH300" i="29"/>
  <c r="X333" i="29"/>
  <c r="Y333" i="29" s="1"/>
  <c r="AH333" i="29"/>
  <c r="W215" i="29"/>
  <c r="AA215" i="29" s="1"/>
  <c r="AG215" i="29"/>
  <c r="U563" i="29"/>
  <c r="V563" i="29"/>
  <c r="X401" i="29"/>
  <c r="Y401" i="29" s="1"/>
  <c r="AH401" i="29"/>
  <c r="AH153" i="29"/>
  <c r="X23" i="29"/>
  <c r="Y23" i="29" s="1"/>
  <c r="AH23" i="29"/>
  <c r="W291" i="29"/>
  <c r="AG291" i="29"/>
  <c r="X331" i="29"/>
  <c r="Y331" i="29" s="1"/>
  <c r="AH331" i="29"/>
  <c r="W252" i="29"/>
  <c r="AG252" i="29"/>
  <c r="X232" i="29"/>
  <c r="Y232" i="29" s="1"/>
  <c r="AH232" i="29"/>
  <c r="X124" i="29"/>
  <c r="Y124" i="29" s="1"/>
  <c r="AH124" i="29"/>
  <c r="W418" i="29"/>
  <c r="AG418" i="29"/>
  <c r="X145" i="29"/>
  <c r="Y145" i="29" s="1"/>
  <c r="AH145" i="29"/>
  <c r="AG305" i="29"/>
  <c r="W305" i="29"/>
  <c r="X348" i="29"/>
  <c r="Y348" i="29" s="1"/>
  <c r="AH348" i="29"/>
  <c r="AH337" i="29"/>
  <c r="AH318" i="29"/>
  <c r="X318" i="29"/>
  <c r="Y318" i="29" s="1"/>
  <c r="AG143" i="29"/>
  <c r="W143" i="29"/>
  <c r="X56" i="29"/>
  <c r="Y56" i="29" s="1"/>
  <c r="AH347" i="29"/>
  <c r="X347" i="29"/>
  <c r="Y347" i="29" s="1"/>
  <c r="AG348" i="29"/>
  <c r="W348" i="29"/>
  <c r="W93" i="29"/>
  <c r="AA93" i="29" s="1"/>
  <c r="AG93" i="29"/>
  <c r="X45" i="29"/>
  <c r="Y45" i="29" s="1"/>
  <c r="AH45" i="29"/>
  <c r="AH292" i="29"/>
  <c r="U303" i="29"/>
  <c r="V303" i="29"/>
  <c r="AH303" i="29" s="1"/>
  <c r="AH94" i="29"/>
  <c r="X94" i="29"/>
  <c r="Y94" i="29" s="1"/>
  <c r="AH342" i="29"/>
  <c r="X342" i="29"/>
  <c r="Y342" i="29" s="1"/>
  <c r="W24" i="29"/>
  <c r="AG24" i="29"/>
  <c r="X169" i="29"/>
  <c r="Y169" i="29" s="1"/>
  <c r="AH169" i="29"/>
  <c r="X267" i="29"/>
  <c r="Y267" i="29" s="1"/>
  <c r="AH267" i="29"/>
  <c r="W280" i="29"/>
  <c r="AG280" i="29"/>
  <c r="X31" i="29"/>
  <c r="Y31" i="29" s="1"/>
  <c r="AH31" i="29"/>
  <c r="AG446" i="29"/>
  <c r="W446" i="29"/>
  <c r="AG225" i="29"/>
  <c r="W225" i="29"/>
  <c r="AA225" i="29" s="1"/>
  <c r="X60" i="29"/>
  <c r="Y60" i="29" s="1"/>
  <c r="AH60" i="29"/>
  <c r="AG460" i="29"/>
  <c r="AH150" i="29"/>
  <c r="X150" i="29"/>
  <c r="Y150" i="29" s="1"/>
  <c r="W70" i="29"/>
  <c r="AG70" i="29"/>
  <c r="X15" i="29"/>
  <c r="Y15" i="29" s="1"/>
  <c r="AH15" i="29"/>
  <c r="AG60" i="29"/>
  <c r="W60" i="29"/>
  <c r="AA60" i="29" s="1"/>
  <c r="AH72" i="29"/>
  <c r="X72" i="29"/>
  <c r="Y72" i="29" s="1"/>
  <c r="U522" i="29"/>
  <c r="W522" i="29" s="1"/>
  <c r="V522" i="29"/>
  <c r="AH132" i="29"/>
  <c r="X132" i="29"/>
  <c r="Y132" i="29" s="1"/>
  <c r="U78" i="29"/>
  <c r="V78" i="29"/>
  <c r="X78" i="29" s="1"/>
  <c r="Y78" i="29" s="1"/>
  <c r="X67" i="29"/>
  <c r="Y67" i="29" s="1"/>
  <c r="U378" i="29"/>
  <c r="V378" i="29"/>
  <c r="AG364" i="29"/>
  <c r="W364" i="29"/>
  <c r="AH71" i="29"/>
  <c r="AG338" i="29"/>
  <c r="W338" i="29"/>
  <c r="X278" i="29"/>
  <c r="Y278" i="29" s="1"/>
  <c r="AH278" i="29"/>
  <c r="X327" i="29"/>
  <c r="Y327" i="29" s="1"/>
  <c r="AH327" i="29"/>
  <c r="X137" i="29"/>
  <c r="Y137" i="29" s="1"/>
  <c r="AH198" i="29"/>
  <c r="X198" i="29"/>
  <c r="Y198" i="29" s="1"/>
  <c r="W342" i="29"/>
  <c r="AG342" i="29"/>
  <c r="AG243" i="29"/>
  <c r="W243" i="29"/>
  <c r="X248" i="29"/>
  <c r="Y248" i="29" s="1"/>
  <c r="AH248" i="29"/>
  <c r="AG108" i="29"/>
  <c r="AG382" i="29"/>
  <c r="X109" i="29"/>
  <c r="Y109" i="29" s="1"/>
  <c r="AH109" i="29"/>
  <c r="X503" i="29"/>
  <c r="Y503" i="29" s="1"/>
  <c r="AG238" i="29"/>
  <c r="W238" i="29"/>
  <c r="AH242" i="29"/>
  <c r="X242" i="29"/>
  <c r="Y242" i="29" s="1"/>
  <c r="W381" i="29"/>
  <c r="AG381" i="29"/>
  <c r="X254" i="29"/>
  <c r="Y254" i="29" s="1"/>
  <c r="AH254" i="29"/>
  <c r="X233" i="29"/>
  <c r="Y233" i="29" s="1"/>
  <c r="AH233" i="29"/>
  <c r="V250" i="29"/>
  <c r="U250" i="29"/>
  <c r="U83" i="29"/>
  <c r="V83" i="29"/>
  <c r="V179" i="29"/>
  <c r="U179" i="29"/>
  <c r="AH407" i="29"/>
  <c r="X407" i="29"/>
  <c r="Y407" i="29" s="1"/>
  <c r="AG66" i="29"/>
  <c r="W66" i="29"/>
  <c r="X114" i="29"/>
  <c r="Y114" i="29" s="1"/>
  <c r="AH114" i="29"/>
  <c r="AG322" i="29"/>
  <c r="W322" i="29"/>
  <c r="AG31" i="29"/>
  <c r="W31" i="29"/>
  <c r="AA31" i="29" s="1"/>
  <c r="X39" i="29"/>
  <c r="Y39" i="29" s="1"/>
  <c r="AH39" i="29"/>
  <c r="W306" i="29"/>
  <c r="AG306" i="29"/>
  <c r="AG509" i="29"/>
  <c r="W271" i="29"/>
  <c r="AG271" i="29"/>
  <c r="W195" i="29"/>
  <c r="AG195" i="29"/>
  <c r="W248" i="29"/>
  <c r="AG248" i="29"/>
  <c r="W326" i="29"/>
  <c r="AG326" i="29"/>
  <c r="AG124" i="29"/>
  <c r="W124" i="29"/>
  <c r="AA124" i="29" s="1"/>
  <c r="W278" i="29"/>
  <c r="AG278" i="29"/>
  <c r="W562" i="29"/>
  <c r="AG562" i="29"/>
  <c r="AH289" i="29"/>
  <c r="W254" i="29"/>
  <c r="AG254" i="29"/>
  <c r="AG428" i="29"/>
  <c r="W295" i="29"/>
  <c r="AG295" i="29"/>
  <c r="AH70" i="29"/>
  <c r="X70" i="29"/>
  <c r="Y70" i="29" s="1"/>
  <c r="V505" i="29"/>
  <c r="U505" i="29"/>
  <c r="U557" i="29"/>
  <c r="V557" i="29"/>
  <c r="V228" i="29"/>
  <c r="U228" i="29"/>
  <c r="U202" i="29"/>
  <c r="V202" i="29"/>
  <c r="U312" i="29"/>
  <c r="W312" i="29" s="1"/>
  <c r="V312" i="29"/>
  <c r="W426" i="29"/>
  <c r="AG426" i="29"/>
  <c r="AG447" i="29"/>
  <c r="W447" i="29"/>
  <c r="AG434" i="29"/>
  <c r="W434" i="29"/>
  <c r="X161" i="29"/>
  <c r="Y161" i="29" s="1"/>
  <c r="AH161" i="29"/>
  <c r="W158" i="29"/>
  <c r="AA158" i="29" s="1"/>
  <c r="AG158" i="29"/>
  <c r="X174" i="29"/>
  <c r="Y174" i="29" s="1"/>
  <c r="AH174" i="29"/>
  <c r="AG91" i="29"/>
  <c r="W18" i="29"/>
  <c r="AA18" i="29" s="1"/>
  <c r="AG18" i="29"/>
  <c r="W588" i="29"/>
  <c r="AG588" i="29"/>
  <c r="AH290" i="29"/>
  <c r="X290" i="29"/>
  <c r="Y290" i="29" s="1"/>
  <c r="X246" i="29"/>
  <c r="Y246" i="29" s="1"/>
  <c r="AH246" i="29"/>
  <c r="AG287" i="29"/>
  <c r="W287" i="29"/>
  <c r="AA287" i="29" s="1"/>
  <c r="AG445" i="29"/>
  <c r="W445" i="29"/>
  <c r="W131" i="29"/>
  <c r="W184" i="29"/>
  <c r="AG184" i="29"/>
  <c r="X329" i="29"/>
  <c r="Y329" i="29" s="1"/>
  <c r="AH329" i="29"/>
  <c r="AH316" i="29"/>
  <c r="X316" i="29"/>
  <c r="Y316" i="29" s="1"/>
  <c r="AH305" i="29"/>
  <c r="X305" i="29"/>
  <c r="Y305" i="29" s="1"/>
  <c r="W314" i="29"/>
  <c r="AG314" i="29"/>
  <c r="X498" i="29"/>
  <c r="Y498" i="29" s="1"/>
  <c r="AH498" i="29"/>
  <c r="AH471" i="29"/>
  <c r="X471" i="29"/>
  <c r="Y471" i="29" s="1"/>
  <c r="W206" i="29"/>
  <c r="AH178" i="29"/>
  <c r="X178" i="29"/>
  <c r="Y178" i="29" s="1"/>
  <c r="W114" i="29"/>
  <c r="AA114" i="29" s="1"/>
  <c r="AG114" i="29"/>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U103" i="29"/>
  <c r="V103" i="29"/>
  <c r="AO186" i="29"/>
  <c r="U120" i="29"/>
  <c r="V120" i="29"/>
  <c r="AH120" i="29" s="1"/>
  <c r="V167" i="29"/>
  <c r="AH167" i="29" s="1"/>
  <c r="U167" i="29"/>
  <c r="V75" i="29"/>
  <c r="U75" i="29"/>
  <c r="U142" i="29"/>
  <c r="AG142" i="29" s="1"/>
  <c r="V142" i="29"/>
  <c r="V152" i="29"/>
  <c r="U152" i="29"/>
  <c r="V165" i="29"/>
  <c r="U165" i="29"/>
  <c r="AO162" i="29"/>
  <c r="V22" i="29"/>
  <c r="U22" i="29"/>
  <c r="U188" i="29"/>
  <c r="V188" i="29"/>
  <c r="U102" i="29"/>
  <c r="V102" i="29"/>
  <c r="U208" i="29"/>
  <c r="V208" i="29"/>
  <c r="U585" i="29"/>
  <c r="V585" i="29"/>
  <c r="U423" i="29"/>
  <c r="V423" i="29"/>
  <c r="W456"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X279" i="29"/>
  <c r="Y279" i="29" s="1"/>
  <c r="AH279" i="29"/>
  <c r="AG610" i="29"/>
  <c r="W610" i="29"/>
  <c r="W286" i="29"/>
  <c r="U30" i="29"/>
  <c r="W30" i="29" s="1"/>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W354" i="29"/>
  <c r="AH334" i="29"/>
  <c r="X334" i="29"/>
  <c r="Y334" i="29" s="1"/>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X226" i="29"/>
  <c r="Y226" i="29" s="1"/>
  <c r="AH226" i="29"/>
  <c r="AH477" i="29"/>
  <c r="X477" i="29"/>
  <c r="Y477" i="29" s="1"/>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W239" i="29"/>
  <c r="AG239" i="29"/>
  <c r="X143" i="29"/>
  <c r="Y143" i="29" s="1"/>
  <c r="AH143" i="29"/>
  <c r="X140" i="29"/>
  <c r="Y140" i="29" s="1"/>
  <c r="AH140" i="29"/>
  <c r="X293" i="29"/>
  <c r="Y293" i="29" s="1"/>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AH155" i="29"/>
  <c r="X155" i="29"/>
  <c r="Y155" i="29" s="1"/>
  <c r="I145" i="25"/>
  <c r="O115" i="25"/>
  <c r="R115" i="25" s="1"/>
  <c r="BQ170" i="25"/>
  <c r="I96" i="25"/>
  <c r="I88" i="25"/>
  <c r="I69" i="25"/>
  <c r="U59" i="29"/>
  <c r="V59" i="29"/>
  <c r="V157" i="29"/>
  <c r="U157" i="29"/>
  <c r="U213" i="29"/>
  <c r="V213" i="29"/>
  <c r="AH213" i="29" s="1"/>
  <c r="U110" i="29"/>
  <c r="V110" i="29"/>
  <c r="U181" i="29"/>
  <c r="V181" i="29"/>
  <c r="V43" i="29"/>
  <c r="AH43" i="29" s="1"/>
  <c r="U43" i="29"/>
  <c r="V54" i="29"/>
  <c r="AH54" i="29" s="1"/>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AG297" i="29"/>
  <c r="W297" i="29"/>
  <c r="W39" i="29"/>
  <c r="AG39" i="29"/>
  <c r="AH322" i="29"/>
  <c r="X322" i="29"/>
  <c r="Y322" i="29" s="1"/>
  <c r="W227" i="29"/>
  <c r="AG227" i="29"/>
  <c r="AG220" i="29"/>
  <c r="W220" i="29"/>
  <c r="W154" i="29"/>
  <c r="AG154" i="29"/>
  <c r="A138" i="8"/>
  <c r="U277" i="29"/>
  <c r="V277" i="29"/>
  <c r="I98" i="25"/>
  <c r="O196" i="25"/>
  <c r="Q196" i="25" s="1"/>
  <c r="N24" i="23"/>
  <c r="O24" i="23" s="1"/>
  <c r="P24" i="23" s="1"/>
  <c r="Q24" i="23" s="1"/>
  <c r="V121" i="29"/>
  <c r="U121" i="29"/>
  <c r="V147" i="29"/>
  <c r="U147" i="29"/>
  <c r="V200" i="29"/>
  <c r="U200" i="29"/>
  <c r="U171" i="29"/>
  <c r="V171" i="29"/>
  <c r="U33" i="29"/>
  <c r="V33" i="29"/>
  <c r="AO80" i="29"/>
  <c r="U64" i="29"/>
  <c r="W64" i="29" s="1"/>
  <c r="V64" i="29"/>
  <c r="V104" i="29"/>
  <c r="U104" i="29"/>
  <c r="AO35" i="29"/>
  <c r="U113"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W415" i="29"/>
  <c r="X249" i="29"/>
  <c r="Y249" i="29" s="1"/>
  <c r="X66" i="29"/>
  <c r="Y66" i="29" s="1"/>
  <c r="AH66" i="29"/>
  <c r="AH310" i="29"/>
  <c r="X310" i="29"/>
  <c r="Y310" i="29" s="1"/>
  <c r="AH299" i="29"/>
  <c r="X299" i="29"/>
  <c r="Y299" i="29" s="1"/>
  <c r="A92" i="8"/>
  <c r="U16" i="29"/>
  <c r="V16" i="29"/>
  <c r="U197" i="29"/>
  <c r="V197" i="29"/>
  <c r="O298" i="25"/>
  <c r="Q298" i="25" s="1"/>
  <c r="U176" i="29"/>
  <c r="V176" i="29"/>
  <c r="V38" i="29"/>
  <c r="U38" i="29"/>
  <c r="V111" i="29"/>
  <c r="U111" i="29"/>
  <c r="V90" i="29"/>
  <c r="U90"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X215" i="29"/>
  <c r="Y215" i="29" s="1"/>
  <c r="AH215" i="29"/>
  <c r="W67" i="29"/>
  <c r="AG67" i="29"/>
  <c r="L122" i="25"/>
  <c r="BL122" i="25"/>
  <c r="N122" i="25"/>
  <c r="O122" i="25" s="1"/>
  <c r="Q122" i="25" s="1"/>
  <c r="I16" i="8"/>
  <c r="J16" i="8" s="1"/>
  <c r="D155" i="2" s="1"/>
  <c r="G155"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AH106" i="29"/>
  <c r="X106" i="29"/>
  <c r="Y106" i="29" s="1"/>
  <c r="U217" i="29"/>
  <c r="V217" i="29"/>
  <c r="U156" i="29"/>
  <c r="V156" i="29"/>
  <c r="V139" i="29"/>
  <c r="U139" i="29"/>
  <c r="U76" i="29"/>
  <c r="W76" i="29" s="1"/>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AH134" i="29" s="1"/>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AG522" i="29"/>
  <c r="X252" i="29"/>
  <c r="Y252" i="29" s="1"/>
  <c r="AH252" i="29"/>
  <c r="X225" i="29"/>
  <c r="Y225" i="29" s="1"/>
  <c r="AH225" i="29"/>
  <c r="W130" i="29"/>
  <c r="AG130" i="29"/>
  <c r="AG127" i="29"/>
  <c r="AG88" i="29"/>
  <c r="W88" i="29"/>
  <c r="AG182" i="29"/>
  <c r="W182"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AG332" i="29"/>
  <c r="W332" i="29"/>
  <c r="X213" i="29"/>
  <c r="Y213" i="29" s="1"/>
  <c r="AH265" i="29"/>
  <c r="X265" i="29"/>
  <c r="Y265" i="29" s="1"/>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7"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0" i="2"/>
  <c r="B38" i="2"/>
  <c r="B41"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4" i="2"/>
  <c r="C64"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X93" i="29" l="1"/>
  <c r="Y93" i="29" s="1"/>
  <c r="W525" i="29"/>
  <c r="AA525" i="29" s="1"/>
  <c r="W203" i="29"/>
  <c r="AA203" i="29" s="1"/>
  <c r="W302" i="29"/>
  <c r="AA302" i="29" s="1"/>
  <c r="AH547" i="29"/>
  <c r="X211" i="29"/>
  <c r="Y211" i="29" s="1"/>
  <c r="X484" i="29"/>
  <c r="Y484" i="29" s="1"/>
  <c r="X552" i="29"/>
  <c r="Y552" i="29" s="1"/>
  <c r="X555" i="29"/>
  <c r="Y555" i="29" s="1"/>
  <c r="W555" i="29"/>
  <c r="AA555" i="29" s="1"/>
  <c r="W473" i="29"/>
  <c r="AA473" i="29" s="1"/>
  <c r="AG556" i="29"/>
  <c r="AH543" i="29"/>
  <c r="X288" i="29"/>
  <c r="Y288" i="29" s="1"/>
  <c r="AG453" i="29"/>
  <c r="W599" i="29"/>
  <c r="AA599" i="29" s="1"/>
  <c r="L106" i="23"/>
  <c r="X442" i="29"/>
  <c r="Y442" i="29" s="1"/>
  <c r="AG56" i="29"/>
  <c r="AH367" i="29"/>
  <c r="W424" i="29"/>
  <c r="AA424" i="29" s="1"/>
  <c r="AG106" i="29"/>
  <c r="W548" i="29"/>
  <c r="AA548" i="29" s="1"/>
  <c r="AH475" i="29"/>
  <c r="W273" i="29"/>
  <c r="AA273" i="29" s="1"/>
  <c r="W263" i="29"/>
  <c r="AA263" i="29" s="1"/>
  <c r="AH530" i="29"/>
  <c r="X223" i="29"/>
  <c r="Y223" i="29" s="1"/>
  <c r="W474" i="29"/>
  <c r="AA474" i="29" s="1"/>
  <c r="AH148" i="29"/>
  <c r="X548" i="29"/>
  <c r="Y548" i="29" s="1"/>
  <c r="W183" i="29"/>
  <c r="AA183" i="29" s="1"/>
  <c r="AW99" i="25"/>
  <c r="W353" i="29"/>
  <c r="AA353" i="29" s="1"/>
  <c r="AG613" i="29"/>
  <c r="AG333" i="29"/>
  <c r="AW16" i="25"/>
  <c r="E59" i="1"/>
  <c r="E60" i="1" s="1"/>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J518" i="29" s="1"/>
  <c r="AK518" i="29" s="1"/>
  <c r="W587" i="29"/>
  <c r="AA587" i="29" s="1"/>
  <c r="W472" i="29"/>
  <c r="AA472" i="29" s="1"/>
  <c r="AH529" i="29"/>
  <c r="X325" i="29"/>
  <c r="Y325" i="29" s="1"/>
  <c r="W596" i="29"/>
  <c r="AA596" i="29" s="1"/>
  <c r="X379" i="29"/>
  <c r="Y379" i="29" s="1"/>
  <c r="W174" i="29"/>
  <c r="AA174"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96" i="29"/>
  <c r="AA96" i="29" s="1"/>
  <c r="W29" i="29"/>
  <c r="AA29" i="29" s="1"/>
  <c r="AH506" i="29"/>
  <c r="AH180" i="29"/>
  <c r="AW58" i="25"/>
  <c r="AG465" i="29"/>
  <c r="X610" i="29"/>
  <c r="Y610" i="29" s="1"/>
  <c r="W504" i="29"/>
  <c r="AA504" i="29" s="1"/>
  <c r="X512" i="29"/>
  <c r="Y512"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H96" i="29"/>
  <c r="AG310" i="29"/>
  <c r="W109" i="29"/>
  <c r="AA109" i="29" s="1"/>
  <c r="AH298" i="29"/>
  <c r="X487" i="29"/>
  <c r="Y487" i="29" s="1"/>
  <c r="X425" i="29"/>
  <c r="Y425" i="29" s="1"/>
  <c r="L628" i="29"/>
  <c r="J628" i="29"/>
  <c r="AH391" i="29"/>
  <c r="AH119" i="29"/>
  <c r="AH453" i="29"/>
  <c r="X291" i="29"/>
  <c r="Y291" i="29" s="1"/>
  <c r="AH356" i="29"/>
  <c r="X501" i="29"/>
  <c r="Y501" i="29" s="1"/>
  <c r="AG495" i="29"/>
  <c r="AH417" i="29"/>
  <c r="X458" i="29"/>
  <c r="Y458" i="29" s="1"/>
  <c r="X596" i="29"/>
  <c r="Y596" i="29" s="1"/>
  <c r="W231" i="29"/>
  <c r="AA231" i="29" s="1"/>
  <c r="W611" i="29"/>
  <c r="AA611" i="29" s="1"/>
  <c r="AH306" i="29"/>
  <c r="AH445" i="29"/>
  <c r="W425" i="29"/>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L60" i="1"/>
  <c r="L61" i="1" s="1"/>
  <c r="M60" i="1"/>
  <c r="AW45" i="25"/>
  <c r="AW22" i="25"/>
  <c r="AW18" i="25"/>
  <c r="AW36" i="25"/>
  <c r="AW10" i="25"/>
  <c r="AW105" i="25"/>
  <c r="AW53" i="25"/>
  <c r="AW32" i="25"/>
  <c r="AW51" i="25"/>
  <c r="AW44" i="25"/>
  <c r="AW79" i="25"/>
  <c r="AW6" i="25"/>
  <c r="AW70" i="25"/>
  <c r="AW41" i="25"/>
  <c r="AW31" i="25"/>
  <c r="AJ533" i="29"/>
  <c r="AK533" i="29" s="1"/>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5" i="2" s="1"/>
  <c r="U105" i="24"/>
  <c r="L19" i="1" s="1"/>
  <c r="L20" i="1" s="1"/>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233" i="29"/>
  <c r="AK233" i="29" s="1"/>
  <c r="AJ361" i="29"/>
  <c r="AK361" i="29" s="1"/>
  <c r="AA362" i="29"/>
  <c r="AJ467" i="29"/>
  <c r="AK467" i="29" s="1"/>
  <c r="AJ308" i="29"/>
  <c r="AK308" i="29" s="1"/>
  <c r="AJ470" i="29"/>
  <c r="AK470" i="29" s="1"/>
  <c r="AJ280" i="29"/>
  <c r="AK280" i="29" s="1"/>
  <c r="AA234" i="29"/>
  <c r="AJ395" i="29"/>
  <c r="AK395" i="29" s="1"/>
  <c r="AJ385" i="29"/>
  <c r="AK385" i="29" s="1"/>
  <c r="AA386" i="29"/>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260" i="29"/>
  <c r="AK260" i="29" s="1"/>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J388" i="29"/>
  <c r="AK388" i="29" s="1"/>
  <c r="AH47" i="29"/>
  <c r="AJ494" i="29"/>
  <c r="AK494" i="29" s="1"/>
  <c r="BB283" i="24"/>
  <c r="BB225" i="24"/>
  <c r="BB287" i="24"/>
  <c r="X53" i="29"/>
  <c r="Y53" i="29" s="1"/>
  <c r="W580" i="29"/>
  <c r="AA580" i="29" s="1"/>
  <c r="AH488" i="29"/>
  <c r="X433" i="29"/>
  <c r="Y433" i="29" s="1"/>
  <c r="X506" i="29"/>
  <c r="Y506" i="29" s="1"/>
  <c r="AJ356" i="29"/>
  <c r="AK356" i="29" s="1"/>
  <c r="AJ232" i="29"/>
  <c r="AK232" i="29" s="1"/>
  <c r="W479" i="29"/>
  <c r="AA479" i="29" s="1"/>
  <c r="AJ486" i="29"/>
  <c r="AK486" i="29" s="1"/>
  <c r="X613" i="29"/>
  <c r="Y613" i="29" s="1"/>
  <c r="BB252" i="24"/>
  <c r="AJ366" i="29"/>
  <c r="AK366" i="29" s="1"/>
  <c r="AJ469" i="29"/>
  <c r="AK469" i="29" s="1"/>
  <c r="BB282" i="24"/>
  <c r="BB297" i="24"/>
  <c r="AG294" i="29"/>
  <c r="AJ244" i="29"/>
  <c r="AK244" i="29" s="1"/>
  <c r="BB218" i="24"/>
  <c r="BB265" i="24"/>
  <c r="AG344" i="29"/>
  <c r="AA487" i="29"/>
  <c r="AG422" i="29"/>
  <c r="AJ582" i="29"/>
  <c r="AK582" i="29" s="1"/>
  <c r="BB285" i="24"/>
  <c r="X245" i="29"/>
  <c r="Y245" i="29" s="1"/>
  <c r="AH414" i="29"/>
  <c r="AG524" i="29"/>
  <c r="AG122" i="29"/>
  <c r="AJ555" i="29"/>
  <c r="AK555" i="29" s="1"/>
  <c r="BB262" i="24"/>
  <c r="AH491" i="29"/>
  <c r="AH194" i="29"/>
  <c r="S143" i="25"/>
  <c r="K143" i="25" s="1"/>
  <c r="AD143" i="25" s="1"/>
  <c r="AJ567" i="29"/>
  <c r="AK567" i="29" s="1"/>
  <c r="AJ315" i="29"/>
  <c r="AK315" i="29" s="1"/>
  <c r="AJ203" i="29"/>
  <c r="AK203" i="29" s="1"/>
  <c r="AJ512" i="29"/>
  <c r="AK512" i="29" s="1"/>
  <c r="AA534" i="29"/>
  <c r="AJ468" i="29"/>
  <c r="AK468" i="29" s="1"/>
  <c r="AA468" i="29"/>
  <c r="AJ499" i="29"/>
  <c r="AK499" i="29" s="1"/>
  <c r="AA470" i="29"/>
  <c r="AJ299" i="29"/>
  <c r="AK299" i="29" s="1"/>
  <c r="AA367" i="29"/>
  <c r="AJ473" i="29"/>
  <c r="AK473" i="29" s="1"/>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AJ568" i="29"/>
  <c r="AK568"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5"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AJ318" i="29" s="1"/>
  <c r="AK318" i="29" s="1"/>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AJ554" i="29"/>
  <c r="AK554"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1"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7" i="2"/>
  <c r="R138" i="25"/>
  <c r="R165" i="25"/>
  <c r="AJ498" i="29"/>
  <c r="AK498" i="29" s="1"/>
  <c r="AA356" i="29"/>
  <c r="AJ387" i="29"/>
  <c r="AK387" i="29" s="1"/>
  <c r="AJ592" i="29"/>
  <c r="AK592" i="29" s="1"/>
  <c r="AA499" i="29"/>
  <c r="AJ453" i="29"/>
  <c r="AK453" i="29" s="1"/>
  <c r="AJ163" i="29"/>
  <c r="AK163" i="29" s="1"/>
  <c r="AJ386" i="29"/>
  <c r="AK386" i="29" s="1"/>
  <c r="AA97" i="29"/>
  <c r="AJ396" i="29"/>
  <c r="AK396" i="29" s="1"/>
  <c r="AJ501" i="29"/>
  <c r="AK501" i="29" s="1"/>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A20" i="29"/>
  <c r="AJ20" i="29"/>
  <c r="AK20" i="29" s="1"/>
  <c r="AG612" i="29"/>
  <c r="W612" i="29"/>
  <c r="X493" i="29"/>
  <c r="Y493" i="29" s="1"/>
  <c r="AG367" i="29"/>
  <c r="X374" i="29"/>
  <c r="Y374" i="29" s="1"/>
  <c r="AH374" i="29"/>
  <c r="AH463" i="29"/>
  <c r="X463" i="29"/>
  <c r="Y463" i="29" s="1"/>
  <c r="AG520" i="29"/>
  <c r="W520" i="29"/>
  <c r="AJ168" i="29"/>
  <c r="AK168" i="29" s="1"/>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AJ576" i="29"/>
  <c r="AK576" i="29" s="1"/>
  <c r="AJ485" i="29"/>
  <c r="AK485" i="29" s="1"/>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AJ355" i="29"/>
  <c r="AK355"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AJ124" i="29" s="1"/>
  <c r="AK124" i="29" s="1"/>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AA391"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J455" i="29" s="1"/>
  <c r="AK455" i="29" s="1"/>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A309" i="29"/>
  <c r="AJ309" i="29"/>
  <c r="AK309"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A552" i="29"/>
  <c r="AJ551" i="29"/>
  <c r="AK551" i="29" s="1"/>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J317" i="29" s="1"/>
  <c r="AK317" i="29" s="1"/>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A545" i="29"/>
  <c r="AH78" i="29"/>
  <c r="AH430" i="29"/>
  <c r="X430" i="29"/>
  <c r="Y430" i="29" s="1"/>
  <c r="AA597" i="29"/>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A417" i="29"/>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206" i="29"/>
  <c r="AK206" i="29" s="1"/>
  <c r="AA206" i="29"/>
  <c r="AJ314" i="29"/>
  <c r="AK314" i="29" s="1"/>
  <c r="AA314" i="29"/>
  <c r="AJ313" i="29"/>
  <c r="AK313" i="29" s="1"/>
  <c r="AJ425" i="29"/>
  <c r="AK425" i="29" s="1"/>
  <c r="AA426" i="29"/>
  <c r="AJ426" i="29"/>
  <c r="AK426" i="29" s="1"/>
  <c r="AG557" i="29"/>
  <c r="W557" i="29"/>
  <c r="AA509" i="29"/>
  <c r="AJ321" i="29"/>
  <c r="AK321" i="29" s="1"/>
  <c r="AA322" i="29"/>
  <c r="AJ322" i="29"/>
  <c r="AK322" i="29" s="1"/>
  <c r="AJ381" i="29"/>
  <c r="AK381" i="29" s="1"/>
  <c r="AA382" i="29"/>
  <c r="AJ382" i="29"/>
  <c r="AK382" i="29" s="1"/>
  <c r="AA342" i="29"/>
  <c r="AG563" i="29"/>
  <c r="W563" i="29"/>
  <c r="AH508" i="29"/>
  <c r="X508" i="29"/>
  <c r="Y508" i="29" s="1"/>
  <c r="AH440" i="29"/>
  <c r="X440" i="29"/>
  <c r="Y440"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3" i="29"/>
  <c r="AK253" i="29" s="1"/>
  <c r="AJ254" i="29"/>
  <c r="AK254" i="29" s="1"/>
  <c r="AA254" i="29"/>
  <c r="AA326" i="29"/>
  <c r="AJ325" i="29"/>
  <c r="AK325" i="29" s="1"/>
  <c r="AA238" i="29"/>
  <c r="X378" i="29"/>
  <c r="Y378" i="29" s="1"/>
  <c r="AH378" i="29"/>
  <c r="X522" i="29"/>
  <c r="Y522" i="29" s="1"/>
  <c r="AH522" i="29"/>
  <c r="AA348" i="29"/>
  <c r="AJ348" i="29"/>
  <c r="AK348" i="29" s="1"/>
  <c r="AJ347" i="29"/>
  <c r="AK347" i="29" s="1"/>
  <c r="AG312" i="29"/>
  <c r="AJ255" i="29"/>
  <c r="AK255" i="29" s="1"/>
  <c r="AA256" i="29"/>
  <c r="AJ256" i="29"/>
  <c r="AK256" i="29" s="1"/>
  <c r="AJ93" i="29"/>
  <c r="AK93" i="29" s="1"/>
  <c r="AA94" i="29"/>
  <c r="AA350" i="29"/>
  <c r="AJ349" i="29"/>
  <c r="AK349" i="29" s="1"/>
  <c r="AA284" i="29"/>
  <c r="AJ283" i="29"/>
  <c r="AK283" i="29" s="1"/>
  <c r="AA270" i="29"/>
  <c r="AA450" i="29"/>
  <c r="AJ450" i="29"/>
  <c r="AK450" i="29" s="1"/>
  <c r="W440" i="29"/>
  <c r="AG440" i="29"/>
  <c r="AJ293" i="29"/>
  <c r="AK293" i="29" s="1"/>
  <c r="AA294" i="29"/>
  <c r="AA588" i="29"/>
  <c r="AJ587" i="29"/>
  <c r="AK587" i="29" s="1"/>
  <c r="AH505" i="29"/>
  <c r="X505" i="29"/>
  <c r="Y505" i="29" s="1"/>
  <c r="W179" i="29"/>
  <c r="AG179" i="29"/>
  <c r="AA108" i="29"/>
  <c r="W378" i="29"/>
  <c r="AG378" i="29"/>
  <c r="AA570" i="29"/>
  <c r="AJ569" i="29"/>
  <c r="AK569" i="29" s="1"/>
  <c r="AA535" i="29"/>
  <c r="AJ535" i="29"/>
  <c r="AK535" i="29" s="1"/>
  <c r="AJ534" i="29"/>
  <c r="AK534" i="29" s="1"/>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A434" i="29"/>
  <c r="AJ433" i="29"/>
  <c r="AK433" i="29"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J273" i="29"/>
  <c r="AK273" i="29" s="1"/>
  <c r="AJ333" i="29"/>
  <c r="AK333" i="29" s="1"/>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AA447" i="29"/>
  <c r="AJ446" i="29"/>
  <c r="AK446" i="29" s="1"/>
  <c r="W228" i="29"/>
  <c r="AA228" i="29" s="1"/>
  <c r="AG228" i="29"/>
  <c r="AA195" i="29"/>
  <c r="AG83" i="29"/>
  <c r="W83" i="29"/>
  <c r="AA243" i="29"/>
  <c r="AJ243" i="29"/>
  <c r="AK243" i="29" s="1"/>
  <c r="AJ242" i="29"/>
  <c r="AK242" i="29" s="1"/>
  <c r="AA351" i="29"/>
  <c r="AJ350" i="29"/>
  <c r="AK350" i="29" s="1"/>
  <c r="W303" i="29"/>
  <c r="AG303" i="29"/>
  <c r="AA305" i="29"/>
  <c r="AJ304" i="29"/>
  <c r="AK304" i="29" s="1"/>
  <c r="AA606" i="29"/>
  <c r="AJ575" i="29"/>
  <c r="AK575" i="29" s="1"/>
  <c r="AA575" i="29"/>
  <c r="AJ574" i="29"/>
  <c r="AK574" i="29" s="1"/>
  <c r="AG496" i="29"/>
  <c r="W496" i="29"/>
  <c r="AJ44" i="29"/>
  <c r="AK44" i="29" s="1"/>
  <c r="AA44" i="29"/>
  <c r="AA41" i="29"/>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AA131" i="29"/>
  <c r="AJ131" i="29"/>
  <c r="AK131" i="29" s="1"/>
  <c r="X228" i="29"/>
  <c r="Y228" i="29" s="1"/>
  <c r="AH228" i="29"/>
  <c r="AA66" i="29"/>
  <c r="W250" i="29"/>
  <c r="AG250" i="29"/>
  <c r="W78" i="29"/>
  <c r="AG78" i="29"/>
  <c r="AJ417" i="29"/>
  <c r="AK417" i="29" s="1"/>
  <c r="AA418" i="29"/>
  <c r="AJ252" i="29"/>
  <c r="AK252" i="29" s="1"/>
  <c r="AA252" i="29"/>
  <c r="AJ291" i="29"/>
  <c r="AK291" i="29" s="1"/>
  <c r="AA291" i="29"/>
  <c r="AJ290" i="29"/>
  <c r="AK290" i="29" s="1"/>
  <c r="AA370" i="29"/>
  <c r="AJ370" i="29"/>
  <c r="AK370" i="29" s="1"/>
  <c r="AJ369" i="29"/>
  <c r="AK369" i="29" s="1"/>
  <c r="AJ264" i="29"/>
  <c r="AK264" i="29" s="1"/>
  <c r="AJ263" i="29"/>
  <c r="AK263"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561" i="29"/>
  <c r="AK561" i="29" s="1"/>
  <c r="AA562" i="29"/>
  <c r="AJ270" i="29"/>
  <c r="AK270" i="29" s="1"/>
  <c r="AA271" i="29"/>
  <c r="AH250" i="29"/>
  <c r="X250" i="29"/>
  <c r="Y250" i="29" s="1"/>
  <c r="AA364" i="29"/>
  <c r="AA70" i="29"/>
  <c r="AJ70" i="29"/>
  <c r="AK70" i="29" s="1"/>
  <c r="AH563" i="29"/>
  <c r="X563" i="29"/>
  <c r="Y563" i="29" s="1"/>
  <c r="AA246" i="29"/>
  <c r="AJ245" i="29"/>
  <c r="AK245" i="29" s="1"/>
  <c r="AA318" i="29"/>
  <c r="W508" i="29"/>
  <c r="AG508" i="29"/>
  <c r="AA546" i="29"/>
  <c r="AJ545" i="29"/>
  <c r="AK545" i="29" s="1"/>
  <c r="AA542" i="29"/>
  <c r="AA422" i="29"/>
  <c r="AG573" i="29"/>
  <c r="W573" i="29"/>
  <c r="W240" i="29"/>
  <c r="AJ239" i="29" s="1"/>
  <c r="AK239" i="29" s="1"/>
  <c r="AG240" i="29"/>
  <c r="W553" i="29"/>
  <c r="AG553" i="29"/>
  <c r="Q186" i="25"/>
  <c r="R186" i="25"/>
  <c r="S186" i="25"/>
  <c r="K186" i="25" s="1"/>
  <c r="W186" i="25" s="1"/>
  <c r="Z186" i="25" s="1"/>
  <c r="AA186" i="25" s="1"/>
  <c r="AB186" i="25" s="1"/>
  <c r="AA76" i="29"/>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AJ210" i="29"/>
  <c r="AK210" i="29" s="1"/>
  <c r="S311" i="25"/>
  <c r="K311" i="25" s="1"/>
  <c r="W311" i="25" s="1"/>
  <c r="Z311" i="25" s="1"/>
  <c r="AA311" i="25" s="1"/>
  <c r="AB311" i="25" s="1"/>
  <c r="R311" i="25"/>
  <c r="Q311" i="25"/>
  <c r="AJ332" i="29"/>
  <c r="AK332" i="29" s="1"/>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5"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J39" i="29"/>
  <c r="AK39" i="29" s="1"/>
  <c r="AA39"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3" i="29"/>
  <c r="AK353" i="29" s="1"/>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J130" i="29"/>
  <c r="AK130" i="29" s="1"/>
  <c r="AA130"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A182" i="29"/>
  <c r="AJ182" i="29"/>
  <c r="AK182" i="29" s="1"/>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J75" i="29" s="1"/>
  <c r="AK75" i="29" s="1"/>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J466" i="29"/>
  <c r="AK466" i="29" s="1"/>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AA456" i="29"/>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6" i="2"/>
  <c r="I17" i="8" s="1"/>
  <c r="J17" i="8" s="1"/>
  <c r="D156"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J320" i="29"/>
  <c r="AK320"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3"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210" i="24"/>
  <c r="C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4"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CG185" i="24"/>
  <c r="C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H144" i="24"/>
  <c r="CG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CG159" i="24"/>
  <c r="C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CH131" i="24"/>
  <c r="CG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CG147" i="24"/>
  <c r="CH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CH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52" i="24"/>
  <c r="CH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119" i="24"/>
  <c r="CH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140" i="24"/>
  <c r="CH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CG192" i="24"/>
  <c r="CH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H134" i="24"/>
  <c r="CG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CG207" i="24"/>
  <c r="CH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H127" i="24"/>
  <c r="CG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CH128" i="24"/>
  <c r="CG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M106" i="23"/>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AJ424" i="29" l="1"/>
  <c r="AK424" i="29" s="1"/>
  <c r="AJ183" i="29"/>
  <c r="AK183" i="29" s="1"/>
  <c r="CH283" i="24"/>
  <c r="AJ547" i="29"/>
  <c r="AK547" i="29" s="1"/>
  <c r="AA478" i="29"/>
  <c r="AJ414" i="29"/>
  <c r="AK414" i="29" s="1"/>
  <c r="AJ267" i="29"/>
  <c r="AK267" i="29" s="1"/>
  <c r="AA519" i="29"/>
  <c r="AJ596" i="29"/>
  <c r="AK596" i="29" s="1"/>
  <c r="AJ40" i="29"/>
  <c r="AK40" i="29" s="1"/>
  <c r="E61" i="1"/>
  <c r="BI8" i="19"/>
  <c r="BC8" i="19"/>
  <c r="AJ389" i="29"/>
  <c r="AK389" i="29" s="1"/>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F60" i="1"/>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AJ544" i="29"/>
  <c r="AK544" i="29" s="1"/>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194" i="29"/>
  <c r="AK194" i="29" s="1"/>
  <c r="AJ248" i="29"/>
  <c r="AK248" i="29" s="1"/>
  <c r="Q254" i="24"/>
  <c r="Q270" i="24"/>
  <c r="AJ595" i="29"/>
  <c r="AK595" i="29" s="1"/>
  <c r="AJ601" i="29"/>
  <c r="AK601" i="29" s="1"/>
  <c r="Q298" i="24"/>
  <c r="AJ416" i="29"/>
  <c r="AK416" i="29" s="1"/>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J81" i="29"/>
  <c r="AK81" i="29" s="1"/>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275" i="29"/>
  <c r="AK275" i="29" s="1"/>
  <c r="AJ514" i="29"/>
  <c r="AK514" i="29" s="1"/>
  <c r="AJ566" i="29"/>
  <c r="AK566" i="29" s="1"/>
  <c r="Q284" i="24"/>
  <c r="AJ444" i="29"/>
  <c r="AK444" i="29" s="1"/>
  <c r="AJ358" i="29"/>
  <c r="AK358" i="29" s="1"/>
  <c r="AJ359" i="29"/>
  <c r="AK359" i="29" s="1"/>
  <c r="AJ246" i="29"/>
  <c r="AK246"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CG67" i="24"/>
  <c r="AO99" i="25"/>
  <c r="CD77" i="25"/>
  <c r="AO44" i="25"/>
  <c r="AO8" i="25"/>
  <c r="CG36" i="24"/>
  <c r="CH33"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AJ383" i="29"/>
  <c r="AK383" i="29" s="1"/>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J323" i="29"/>
  <c r="AK323"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4" i="2"/>
  <c r="G244" i="2"/>
  <c r="C244" i="2"/>
  <c r="H244" i="2"/>
  <c r="C43" i="16" s="1"/>
  <c r="F244"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96" i="24"/>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J268" i="29"/>
  <c r="AK268" i="29" s="1"/>
  <c r="AA365" i="29"/>
  <c r="AJ365" i="29"/>
  <c r="AK365" i="29" s="1"/>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J405" i="29"/>
  <c r="AK405"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CH30" i="24"/>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AJ179" i="29"/>
  <c r="AK179"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J276" i="29"/>
  <c r="AK276"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61" i="29"/>
  <c r="AK61" i="29" s="1"/>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6" i="2"/>
  <c r="E39" i="1" s="1"/>
  <c r="A203"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180" i="29"/>
  <c r="AK180" i="29" s="1"/>
  <c r="AJ204" i="29"/>
  <c r="AK204" i="29" s="1"/>
  <c r="AJ205" i="29"/>
  <c r="AK205" i="29" s="1"/>
  <c r="AA205" i="29"/>
  <c r="AJ222" i="29"/>
  <c r="AK222" i="29" s="1"/>
  <c r="AA222" i="29"/>
  <c r="AJ221" i="29"/>
  <c r="AK221" i="29" s="1"/>
  <c r="AA63" i="29"/>
  <c r="AJ62" i="29"/>
  <c r="AK62" i="29" s="1"/>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26" i="24"/>
  <c r="CH25" i="24"/>
  <c r="AH74" i="29"/>
  <c r="X74" i="29"/>
  <c r="Y74" i="29" s="1"/>
  <c r="AA69" i="29"/>
  <c r="AJ69" i="29"/>
  <c r="AK69" i="29" s="1"/>
  <c r="AJ68" i="29"/>
  <c r="AK68" i="29" s="1"/>
  <c r="AA196" i="29"/>
  <c r="AJ195" i="29"/>
  <c r="AK195" i="29" s="1"/>
  <c r="AJ63" i="29"/>
  <c r="AK63" i="29" s="1"/>
  <c r="AA46" i="29"/>
  <c r="AJ45" i="29"/>
  <c r="AK45" i="29" s="1"/>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6" i="2"/>
  <c r="CG30" i="24"/>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J181" i="29"/>
  <c r="AK181" i="29" s="1"/>
  <c r="AA199" i="29"/>
  <c r="AJ198" i="29"/>
  <c r="AK198" i="29" s="1"/>
  <c r="AA34" i="29"/>
  <c r="AJ33" i="29"/>
  <c r="AK33" i="29" s="1"/>
  <c r="AA52" i="29"/>
  <c r="AJ51" i="29"/>
  <c r="AK51" i="29" s="1"/>
  <c r="AJ52" i="29"/>
  <c r="AK52" i="29" s="1"/>
  <c r="AA134" i="29"/>
  <c r="AJ119" i="29"/>
  <c r="AK119" i="29" s="1"/>
  <c r="AA120" i="29"/>
  <c r="AJ112" i="29"/>
  <c r="AK112" i="29" s="1"/>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59"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58"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AJ38" i="29"/>
  <c r="AK38" i="29" s="1"/>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G33" i="24"/>
  <c r="CH23" i="24"/>
  <c r="CH96" i="24"/>
  <c r="CD16" i="25"/>
  <c r="AO16" i="25"/>
  <c r="AP226" i="24"/>
  <c r="AO269" i="25"/>
  <c r="AO41" i="25"/>
  <c r="CG101" i="24"/>
  <c r="CG48" i="24"/>
  <c r="CH48" i="24"/>
  <c r="CH55" i="24"/>
  <c r="CG66" i="24"/>
  <c r="CH67" i="24"/>
  <c r="CH9" i="24"/>
  <c r="CD37" i="25"/>
  <c r="CG84" i="24"/>
  <c r="CH19" i="24"/>
  <c r="AO130" i="25"/>
  <c r="CH14" i="24"/>
  <c r="CG25" i="24"/>
  <c r="CH6" i="24"/>
  <c r="CG12" i="24"/>
  <c r="CH66" i="24"/>
  <c r="CG104" i="24"/>
  <c r="CH84" i="24"/>
  <c r="CH104" i="24"/>
  <c r="CG14" i="24"/>
  <c r="Y5" i="24"/>
  <c r="CH32" i="24"/>
  <c r="CH17" i="24"/>
  <c r="CG35" i="24"/>
  <c r="CG74" i="24"/>
  <c r="CG93" i="24"/>
  <c r="CH74" i="24"/>
  <c r="CH29" i="24"/>
  <c r="CH21" i="24"/>
  <c r="CG19" i="24"/>
  <c r="CH57" i="24"/>
  <c r="CH58" i="24"/>
  <c r="CH40" i="24"/>
  <c r="CH73" i="24"/>
  <c r="CH39" i="24"/>
  <c r="CH35" i="24"/>
  <c r="CG63" i="24"/>
  <c r="CH34" i="24"/>
  <c r="CG78" i="24"/>
  <c r="CG83" i="24"/>
  <c r="CH27" i="24"/>
  <c r="CG59" i="24"/>
  <c r="CH62" i="24"/>
  <c r="CH7" i="24"/>
  <c r="CH65" i="24"/>
  <c r="CG39" i="24"/>
  <c r="CG17" i="24"/>
  <c r="CG68" i="24"/>
  <c r="CG61" i="24"/>
  <c r="CG58" i="24"/>
  <c r="CH59" i="24"/>
  <c r="CG32" i="24"/>
  <c r="CH10" i="24"/>
  <c r="CH5" i="24"/>
  <c r="CH61" i="24"/>
  <c r="CG34" i="24"/>
  <c r="CG52" i="24"/>
  <c r="CG29" i="24"/>
  <c r="CG5" i="24"/>
  <c r="CH52" i="24"/>
  <c r="CG65" i="24"/>
  <c r="CG73" i="24"/>
  <c r="CG13" i="24"/>
  <c r="CH15" i="24"/>
  <c r="CH100" i="24"/>
  <c r="CG18" i="24"/>
  <c r="CH11" i="24"/>
  <c r="CG27" i="24"/>
  <c r="CG21" i="24"/>
  <c r="CG40" i="24"/>
  <c r="CG15" i="24"/>
  <c r="CG62" i="24"/>
  <c r="CH68" i="24"/>
  <c r="CH13" i="24"/>
  <c r="CH93" i="24"/>
  <c r="CG11" i="24"/>
  <c r="CG100" i="24"/>
  <c r="CH63" i="24"/>
  <c r="CH78" i="24"/>
  <c r="CH83" i="24"/>
  <c r="CG10" i="24"/>
  <c r="CG23" i="24"/>
  <c r="CG26" i="24"/>
  <c r="CH43" i="24"/>
  <c r="CG6" i="24"/>
  <c r="CH8" i="24"/>
  <c r="V233" i="25"/>
  <c r="X233" i="25" s="1"/>
  <c r="CH9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3"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0" i="25"/>
  <c r="CJ123" i="25"/>
  <c r="CI113" i="25"/>
  <c r="CJ114" i="25"/>
  <c r="CJ113" i="25"/>
  <c r="CI114" i="25"/>
  <c r="CJ115" i="25"/>
  <c r="CJ130" i="25"/>
  <c r="CI120" i="25"/>
  <c r="CI117" i="25"/>
  <c r="CI116" i="25"/>
  <c r="CI118" i="25"/>
  <c r="CI124" i="25"/>
  <c r="CI123" i="25"/>
  <c r="CI172" i="25"/>
  <c r="CI133" i="25"/>
  <c r="CI204" i="25"/>
  <c r="CI208" i="25"/>
  <c r="CI115" i="25"/>
  <c r="CI129" i="25"/>
  <c r="CI127" i="25"/>
  <c r="CI130" i="25"/>
  <c r="CI182" i="25"/>
  <c r="CI177" i="25"/>
  <c r="CI110" i="25"/>
  <c r="CI144" i="25"/>
  <c r="CJ204" i="25"/>
  <c r="CI200" i="25"/>
  <c r="CJ118" i="25"/>
  <c r="CJ124" i="25"/>
  <c r="CJ127" i="25"/>
  <c r="CJ116" i="25"/>
  <c r="CJ117" i="25"/>
  <c r="CJ128" i="25"/>
  <c r="CI128" i="25"/>
  <c r="CJ172" i="25"/>
  <c r="CJ208" i="25"/>
  <c r="CJ133" i="25"/>
  <c r="CJ200" i="25"/>
  <c r="CJ182" i="25"/>
  <c r="CJ177" i="25"/>
  <c r="CJ144"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J30" i="25"/>
  <c r="CI18" i="25"/>
  <c r="CJ12" i="25"/>
  <c r="CJ24" i="25"/>
  <c r="CJ8" i="25"/>
  <c r="CI16" i="25"/>
  <c r="CI23" i="25"/>
  <c r="CJ43" i="25"/>
  <c r="CJ11" i="25"/>
  <c r="CJ23" i="25"/>
  <c r="CI8" i="25"/>
  <c r="CJ5" i="25"/>
  <c r="CJ79" i="25"/>
  <c r="CJ26" i="25"/>
  <c r="CJ33" i="25"/>
  <c r="CI27" i="25"/>
  <c r="CJ38" i="25"/>
  <c r="CI9" i="25"/>
  <c r="CI20" i="25"/>
  <c r="CI38" i="25"/>
  <c r="CJ22" i="25"/>
  <c r="CI24" i="25"/>
  <c r="CI5" i="25"/>
  <c r="CI26" i="25"/>
  <c r="CI102" i="25"/>
  <c r="CJ39" i="25"/>
  <c r="CJ27" i="25"/>
  <c r="CI10" i="25"/>
  <c r="CI30" i="25"/>
  <c r="CI93" i="25"/>
  <c r="CJ16" i="25"/>
  <c r="CI78" i="25"/>
  <c r="CI61" i="25"/>
  <c r="CI12" i="25"/>
  <c r="CI73" i="25"/>
  <c r="CI52" i="25"/>
  <c r="CI29" i="25"/>
  <c r="CI35" i="25"/>
  <c r="CI66" i="25"/>
  <c r="CI59" i="25"/>
  <c r="CI79" i="25"/>
  <c r="CI83" i="25"/>
  <c r="CI62" i="25"/>
  <c r="CI39" i="25"/>
  <c r="CI31" i="25"/>
  <c r="CI84" i="25"/>
  <c r="CI43" i="25"/>
  <c r="CI11" i="25"/>
  <c r="CI32" i="25"/>
  <c r="CI40" i="25"/>
  <c r="CI25" i="25"/>
  <c r="CI80" i="25"/>
  <c r="CI22" i="25"/>
  <c r="CI104" i="25"/>
  <c r="CI15" i="25"/>
  <c r="CI33" i="25"/>
  <c r="CJ10" i="25"/>
  <c r="CI13" i="25"/>
  <c r="CI55" i="25"/>
  <c r="CJ78" i="25"/>
  <c r="CJ61" i="25"/>
  <c r="CJ15" i="25"/>
  <c r="CJ25" i="25"/>
  <c r="CJ40" i="25"/>
  <c r="CJ20" i="25"/>
  <c r="CJ104" i="25"/>
  <c r="CJ80" i="25"/>
  <c r="CJ31" i="25"/>
  <c r="CJ66" i="25"/>
  <c r="CJ59" i="25"/>
  <c r="CJ62" i="25"/>
  <c r="CJ52" i="25"/>
  <c r="CJ55" i="25"/>
  <c r="CJ35" i="25"/>
  <c r="CJ73" i="25"/>
  <c r="CJ83" i="25"/>
  <c r="CJ102" i="25"/>
  <c r="CJ93" i="25"/>
  <c r="CJ13" i="25"/>
  <c r="CJ32" i="25"/>
  <c r="CJ84"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F136" i="25" l="1"/>
  <c r="AI136" i="25"/>
  <c r="AS136" i="25" s="1"/>
  <c r="AF232" i="25"/>
  <c r="AI194" i="25"/>
  <c r="BK110" i="24"/>
  <c r="AS110" i="24"/>
  <c r="AU110" i="24" s="1"/>
  <c r="BJ110" i="24"/>
  <c r="CG249" i="24"/>
  <c r="AX110" i="24"/>
  <c r="BW110" i="24"/>
  <c r="CG246" i="24"/>
  <c r="BY110" i="24"/>
  <c r="CG303" i="24"/>
  <c r="BL110" i="24"/>
  <c r="AQ110" i="24"/>
  <c r="AF143" i="25"/>
  <c r="AM143" i="25" s="1"/>
  <c r="CG254" i="24"/>
  <c r="CG225" i="24"/>
  <c r="CG233" i="24"/>
  <c r="CG258" i="24"/>
  <c r="CG217" i="24"/>
  <c r="CG235" i="24"/>
  <c r="AK110" i="24"/>
  <c r="AI143" i="25"/>
  <c r="AS143" i="25" s="1"/>
  <c r="AY143" i="25" s="1"/>
  <c r="AE132" i="25"/>
  <c r="AJ132" i="25" s="1"/>
  <c r="AF209" i="25"/>
  <c r="AM209" i="25" s="1"/>
  <c r="CG245" i="24"/>
  <c r="AE160" i="25"/>
  <c r="AM160" i="25" s="1"/>
  <c r="AI208" i="25"/>
  <c r="AS208" i="25" s="1"/>
  <c r="CG239" i="24"/>
  <c r="CG229" i="24"/>
  <c r="CG284" i="24"/>
  <c r="CG305" i="24"/>
  <c r="CG248" i="24"/>
  <c r="CG257" i="24"/>
  <c r="CG313" i="24"/>
  <c r="CG218" i="24"/>
  <c r="CG220" i="24"/>
  <c r="CG312" i="24"/>
  <c r="CG275" i="24"/>
  <c r="CG270" i="24"/>
  <c r="CG290" i="24"/>
  <c r="CG263" i="24"/>
  <c r="CG251" i="24"/>
  <c r="CG221" i="24"/>
  <c r="CG252" i="24"/>
  <c r="CG240" i="24"/>
  <c r="CG226" i="24"/>
  <c r="CG287" i="24"/>
  <c r="CG271" i="24"/>
  <c r="CG250" i="24"/>
  <c r="CG222" i="24"/>
  <c r="CG273" i="24"/>
  <c r="CG302" i="24"/>
  <c r="CG277" i="24"/>
  <c r="CG274" i="24"/>
  <c r="CG234" i="24"/>
  <c r="CG304" i="24"/>
  <c r="CG244" i="24"/>
  <c r="CG231" i="24"/>
  <c r="CG236" i="24"/>
  <c r="CG243" i="24"/>
  <c r="CG301" i="24"/>
  <c r="CG228" i="24"/>
  <c r="CG224" i="24"/>
  <c r="CG253" i="24"/>
  <c r="CG299" i="24"/>
  <c r="CG242" i="24"/>
  <c r="CG230" i="24"/>
  <c r="CG223" i="24"/>
  <c r="CG294" i="24"/>
  <c r="CG262"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AF127" i="25"/>
  <c r="AM127" i="25" s="1"/>
  <c r="B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AF149" i="25"/>
  <c r="AM149" i="25" s="1"/>
  <c r="Y199" i="24"/>
  <c r="AF170" i="25"/>
  <c r="AM170" i="25" s="1"/>
  <c r="AI149" i="25"/>
  <c r="AS149" i="25" s="1"/>
  <c r="AY149" i="25" s="1"/>
  <c r="AI46" i="25"/>
  <c r="AS46" i="25" s="1"/>
  <c r="AF177" i="25"/>
  <c r="AM177" i="25" s="1"/>
  <c r="BM177" i="25" s="1"/>
  <c r="AE257" i="25"/>
  <c r="AJ257" i="25" s="1"/>
  <c r="AE231" i="25"/>
  <c r="AM231" i="25" s="1"/>
  <c r="AF305" i="25"/>
  <c r="AM305" i="25" s="1"/>
  <c r="CI305" i="25" s="1"/>
  <c r="AE312" i="25"/>
  <c r="AM312" i="25" s="1"/>
  <c r="AI158" i="25"/>
  <c r="AS158" i="25" s="1"/>
  <c r="AY158" i="25" s="1"/>
  <c r="AF188" i="25"/>
  <c r="AJ188" i="25" s="1"/>
  <c r="AF166" i="25"/>
  <c r="AM166" i="25" s="1"/>
  <c r="AE147" i="25"/>
  <c r="AM147" i="25" s="1"/>
  <c r="AF181" i="25"/>
  <c r="AM181" i="25" s="1"/>
  <c r="AI240" i="25"/>
  <c r="AS240" i="25" s="1"/>
  <c r="AE250" i="25"/>
  <c r="AM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38" i="25"/>
  <c r="CI271" i="25"/>
  <c r="AF292" i="25"/>
  <c r="AM292" i="25" s="1"/>
  <c r="CI255" i="25"/>
  <c r="CI27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60" i="25"/>
  <c r="CI288" i="25"/>
  <c r="CI230" i="25"/>
  <c r="CI234" i="25"/>
  <c r="CI272" i="25"/>
  <c r="CI219" i="25"/>
  <c r="CI251" i="25"/>
  <c r="CI302" i="25"/>
  <c r="CI237" i="25"/>
  <c r="CI249" i="25"/>
  <c r="CI292" i="25"/>
  <c r="CI278" i="25"/>
  <c r="CI224" i="25"/>
  <c r="CI228" i="25"/>
  <c r="CI222" i="25"/>
  <c r="CI216" i="25"/>
  <c r="CI236" i="25"/>
  <c r="CI293" i="25"/>
  <c r="CI220" i="25"/>
  <c r="CI265" i="25"/>
  <c r="CI250" i="25"/>
  <c r="CI243" i="25"/>
  <c r="CI227" i="25"/>
  <c r="CI273" i="25"/>
  <c r="CI231" i="25"/>
  <c r="CI306" i="25"/>
  <c r="CI247" i="25"/>
  <c r="CI241" i="25"/>
  <c r="CI312" i="25"/>
  <c r="CI279" i="25"/>
  <c r="CI245" i="25"/>
  <c r="CI233" i="25"/>
  <c r="CI223" i="25"/>
  <c r="CI254" i="25"/>
  <c r="CI235" i="25"/>
  <c r="AF296" i="25"/>
  <c r="AM296" i="25" s="1"/>
  <c r="CI296" i="25" s="1"/>
  <c r="CI298" i="25"/>
  <c r="CI226" i="25"/>
  <c r="CI239" i="25"/>
  <c r="CI304" i="25"/>
  <c r="CI289" i="25"/>
  <c r="CI221" i="25"/>
  <c r="CI309" i="25"/>
  <c r="AF256" i="25"/>
  <c r="Y293" i="24"/>
  <c r="AI234" i="25"/>
  <c r="AS234" i="25" s="1"/>
  <c r="AI256" i="25"/>
  <c r="AS256" i="25" s="1"/>
  <c r="AF234" i="25"/>
  <c r="AM234" i="25" s="1"/>
  <c r="AE300" i="25"/>
  <c r="AE237" i="25"/>
  <c r="AM237" i="25" s="1"/>
  <c r="AE232" i="25"/>
  <c r="AE258" i="25"/>
  <c r="AM258" i="25" s="1"/>
  <c r="CI258" i="25" s="1"/>
  <c r="AF270" i="25"/>
  <c r="AM270" i="25" s="1"/>
  <c r="CI270" i="25" s="1"/>
  <c r="AI274" i="25"/>
  <c r="AS274" i="25" s="1"/>
  <c r="AF274" i="25"/>
  <c r="AM274" i="25" s="1"/>
  <c r="CI274" i="25" s="1"/>
  <c r="AI270" i="25"/>
  <c r="AS270" i="25" s="1"/>
  <c r="AF187" i="25"/>
  <c r="AE124" i="25"/>
  <c r="AJ124" i="25" s="1"/>
  <c r="AF172" i="25"/>
  <c r="AM172" i="25" s="1"/>
  <c r="B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BM204" i="25" s="1"/>
  <c r="AF161" i="25"/>
  <c r="AM161" i="25" s="1"/>
  <c r="AI15" i="25"/>
  <c r="AS15" i="25" s="1"/>
  <c r="Y198" i="24"/>
  <c r="AI88" i="25"/>
  <c r="AS88" i="25" s="1"/>
  <c r="AI89" i="25"/>
  <c r="AS89" i="25" s="1"/>
  <c r="AI67" i="25"/>
  <c r="AS67" i="25" s="1"/>
  <c r="AF144" i="25"/>
  <c r="AM144" i="25" s="1"/>
  <c r="B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CI276" i="25" s="1"/>
  <c r="M38" i="23"/>
  <c r="AF227" i="25"/>
  <c r="AJ227" i="25" s="1"/>
  <c r="AI230" i="25"/>
  <c r="AS230" i="25" s="1"/>
  <c r="AF277" i="25"/>
  <c r="AM277" i="25" s="1"/>
  <c r="CI277" i="25" s="1"/>
  <c r="AF230" i="25"/>
  <c r="AM230" i="25" s="1"/>
  <c r="Y250" i="24"/>
  <c r="AF271" i="25"/>
  <c r="AM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AF289" i="25"/>
  <c r="Y308" i="24"/>
  <c r="M12" i="23"/>
  <c r="AI279" i="25"/>
  <c r="AS279" i="25" s="1"/>
  <c r="AF220" i="25"/>
  <c r="AJ220" i="25" s="1"/>
  <c r="AF279" i="25"/>
  <c r="AM279" i="25" s="1"/>
  <c r="M60" i="23"/>
  <c r="AI297" i="25"/>
  <c r="AS297" i="25" s="1"/>
  <c r="AF297" i="25"/>
  <c r="AM297" i="25" s="1"/>
  <c r="CI297" i="25" s="1"/>
  <c r="AI316" i="25"/>
  <c r="AS316" i="25" s="1"/>
  <c r="M94" i="23"/>
  <c r="AF304" i="25"/>
  <c r="AM304" i="25" s="1"/>
  <c r="AI271" i="25"/>
  <c r="AS271" i="25" s="1"/>
  <c r="Y273" i="24"/>
  <c r="AI249" i="25"/>
  <c r="AS249" i="25" s="1"/>
  <c r="AF252" i="25"/>
  <c r="M26" i="23"/>
  <c r="M47" i="23"/>
  <c r="AE233" i="25"/>
  <c r="AM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CI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3" i="2"/>
  <c r="F243" i="2"/>
  <c r="H243" i="2"/>
  <c r="C42" i="16" s="1"/>
  <c r="Y31" i="24"/>
  <c r="A244" i="2"/>
  <c r="D43" i="16"/>
  <c r="B203"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3" i="2"/>
  <c r="A202"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9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Y136" i="25"/>
  <c r="AW136"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J251" i="25"/>
  <c r="AM251" i="25"/>
  <c r="AW126" i="25"/>
  <c r="AY126" i="25"/>
  <c r="AS105" i="25"/>
  <c r="B114"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M13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BM168" i="25" l="1"/>
  <c r="CI168" i="25"/>
  <c r="AJ312" i="25"/>
  <c r="BM191" i="25"/>
  <c r="CI191" i="25"/>
  <c r="BM163" i="25"/>
  <c r="CI163" i="25"/>
  <c r="AM294" i="25"/>
  <c r="CI294" i="25" s="1"/>
  <c r="BM132" i="25"/>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CI178"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R241" i="25" s="1"/>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R306" i="25" s="1"/>
  <c r="AJ249" i="25"/>
  <c r="AJ298" i="25"/>
  <c r="AJ304" i="25"/>
  <c r="AJ252" i="25"/>
  <c r="AJ282" i="25"/>
  <c r="AJ20" i="24"/>
  <c r="AV20" i="24" s="1"/>
  <c r="AM243" i="25"/>
  <c r="AR243" i="25" s="1"/>
  <c r="AJ126" i="24"/>
  <c r="AT126" i="24" s="1"/>
  <c r="AJ253" i="25"/>
  <c r="AJ308" i="25"/>
  <c r="AJ301" i="25"/>
  <c r="AJ306" i="24"/>
  <c r="AT306" i="24" s="1"/>
  <c r="AJ269" i="24"/>
  <c r="AT269" i="24" s="1"/>
  <c r="AM301" i="25"/>
  <c r="CI301" i="25" s="1"/>
  <c r="AJ272" i="24"/>
  <c r="AT272" i="24" s="1"/>
  <c r="A243" i="2"/>
  <c r="B202"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R102" i="25" s="1"/>
  <c r="AT102" i="25" s="1"/>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BM84" i="25" s="1"/>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BM62" i="25" s="1"/>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BM104" i="25" s="1"/>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AJ200" i="25"/>
  <c r="AM200" i="25"/>
  <c r="BM200" i="25" s="1"/>
  <c r="AM21" i="25"/>
  <c r="AJ21" i="25"/>
  <c r="AJ141" i="25"/>
  <c r="AM141" i="25"/>
  <c r="AJ184" i="25"/>
  <c r="AM184" i="25"/>
  <c r="BJ169" i="25"/>
  <c r="BK169" i="25"/>
  <c r="AR169" i="25"/>
  <c r="AP169" i="25"/>
  <c r="BX169" i="25"/>
  <c r="CA169" i="25"/>
  <c r="BI169" i="25"/>
  <c r="AJ247" i="25"/>
  <c r="AM247" i="25"/>
  <c r="B110"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BM26" i="25" s="1"/>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BM73" i="25" s="1"/>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AM79" i="25"/>
  <c r="BM79" i="25" s="1"/>
  <c r="AJ79" i="25"/>
  <c r="AJ275" i="25"/>
  <c r="AM275" i="25"/>
  <c r="AM101" i="25"/>
  <c r="AJ101" i="25"/>
  <c r="AR231" i="25"/>
  <c r="AP231" i="25"/>
  <c r="AR286" i="25"/>
  <c r="AP286" i="25"/>
  <c r="AR277" i="25"/>
  <c r="AP277" i="25"/>
  <c r="AJ22" i="25"/>
  <c r="AM22" i="25"/>
  <c r="BM22" i="25" s="1"/>
  <c r="AJ30" i="25"/>
  <c r="AM30" i="25"/>
  <c r="BM30" i="25" s="1"/>
  <c r="AM189" i="25"/>
  <c r="AJ189" i="25"/>
  <c r="AM45" i="25"/>
  <c r="AJ45" i="25"/>
  <c r="AR276" i="25"/>
  <c r="AP276" i="25"/>
  <c r="AJ89" i="25"/>
  <c r="AM89" i="25"/>
  <c r="AJ29" i="25"/>
  <c r="AM29" i="25"/>
  <c r="BM29" i="25" s="1"/>
  <c r="AJ262" i="25"/>
  <c r="AM262" i="25"/>
  <c r="CI262" i="25" s="1"/>
  <c r="AJ309" i="25"/>
  <c r="AM309" i="25"/>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BM93" i="25" s="1"/>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BM80" i="25" s="1"/>
  <c r="AM120" i="25"/>
  <c r="BM120" i="25" s="1"/>
  <c r="AJ120" i="25"/>
  <c r="AM290" i="25"/>
  <c r="CI290" i="25" s="1"/>
  <c r="AJ290" i="25"/>
  <c r="AJ69" i="25"/>
  <c r="AM69" i="25"/>
  <c r="AM39" i="25"/>
  <c r="BM39" i="25" s="1"/>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BM78" i="25" s="1"/>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BM130" i="25" s="1"/>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AM61" i="25"/>
  <c r="BM61" i="25" s="1"/>
  <c r="AJ61" i="25"/>
  <c r="AM208" i="25"/>
  <c r="BM208" i="25" s="1"/>
  <c r="AJ208" i="25"/>
  <c r="AM46" i="25"/>
  <c r="AJ46" i="25"/>
  <c r="AW123" i="25"/>
  <c r="AY123" i="25"/>
  <c r="AM19" i="25"/>
  <c r="AJ19" i="25"/>
  <c r="AM159" i="25"/>
  <c r="AJ159" i="25"/>
  <c r="AM17" i="25"/>
  <c r="AJ17" i="25"/>
  <c r="AY140" i="25"/>
  <c r="AW140" i="25"/>
  <c r="AM25" i="25"/>
  <c r="BM25" i="25" s="1"/>
  <c r="AJ25" i="25"/>
  <c r="AJ140" i="25"/>
  <c r="AM140" i="25"/>
  <c r="AJ293" i="25"/>
  <c r="AM293" i="25"/>
  <c r="AJ173" i="25"/>
  <c r="AM173" i="25"/>
  <c r="AM31" i="25"/>
  <c r="BM31" i="25" s="1"/>
  <c r="AJ31" i="25"/>
  <c r="AJ223" i="25"/>
  <c r="AM223" i="25"/>
  <c r="AM16" i="25"/>
  <c r="BM16" i="25" s="1"/>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R251" i="25"/>
  <c r="AP251" i="25"/>
  <c r="AM255" i="25"/>
  <c r="AJ255" i="25"/>
  <c r="AJ134" i="25"/>
  <c r="AM134" i="25"/>
  <c r="AM229" i="25"/>
  <c r="CI229" i="25" s="1"/>
  <c r="AJ229" i="25"/>
  <c r="AM32" i="25"/>
  <c r="BM32" i="25" s="1"/>
  <c r="AJ32" i="25"/>
  <c r="AJ66" i="25"/>
  <c r="AM66" i="25"/>
  <c r="BM66" i="25" s="1"/>
  <c r="AM41" i="25"/>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BM40" i="25" s="1"/>
  <c r="AM23" i="25"/>
  <c r="BM23" i="25" s="1"/>
  <c r="AJ23" i="25"/>
  <c r="AM190" i="25"/>
  <c r="AJ190" i="25"/>
  <c r="AR298" i="25"/>
  <c r="AP298" i="25"/>
  <c r="AJ246" i="25"/>
  <c r="AM246" i="25"/>
  <c r="CI246" i="25" s="1"/>
  <c r="AM90" i="25"/>
  <c r="AJ90" i="25"/>
  <c r="AJ20" i="25"/>
  <c r="AM20" i="25"/>
  <c r="BM20" i="25" s="1"/>
  <c r="AR132" i="25"/>
  <c r="BI132" i="25"/>
  <c r="BJ132" i="25"/>
  <c r="AP132" i="25"/>
  <c r="BK132" i="25"/>
  <c r="CA132" i="25"/>
  <c r="BX132" i="25"/>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BM55" i="25" s="1"/>
  <c r="AJ55" i="25"/>
  <c r="BJ163" i="25"/>
  <c r="AR163" i="25"/>
  <c r="BK163" i="25"/>
  <c r="AP163" i="25"/>
  <c r="BX163" i="25"/>
  <c r="BI163" i="25"/>
  <c r="CA163" i="25"/>
  <c r="AY194" i="25"/>
  <c r="AW194" i="25"/>
  <c r="AM103" i="25"/>
  <c r="AJ103" i="25"/>
  <c r="AM15" i="25"/>
  <c r="BM15" i="25" s="1"/>
  <c r="AJ15" i="25"/>
  <c r="AM97" i="25"/>
  <c r="AM182" i="25"/>
  <c r="BM182" i="25" s="1"/>
  <c r="AJ35" i="25"/>
  <c r="AM35" i="25"/>
  <c r="BM35" i="25" s="1"/>
  <c r="AM216" i="25"/>
  <c r="AJ216" i="25"/>
  <c r="BM100" i="25" l="1"/>
  <c r="CI100" i="25"/>
  <c r="BM54" i="25"/>
  <c r="CI54" i="25"/>
  <c r="AR257" i="25"/>
  <c r="CI257" i="25"/>
  <c r="BM67" i="25"/>
  <c r="CI67" i="25"/>
  <c r="BM74" i="25"/>
  <c r="CI74" i="25"/>
  <c r="BM72" i="25"/>
  <c r="CI72" i="25"/>
  <c r="AP294" i="25"/>
  <c r="BM41" i="25"/>
  <c r="CI41" i="25"/>
  <c r="AR252" i="25"/>
  <c r="AT252" i="25" s="1"/>
  <c r="CI252" i="25"/>
  <c r="AR294" i="25"/>
  <c r="AU294" i="25" s="1"/>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AS299" i="24" s="1"/>
  <c r="AU299" i="24" s="1"/>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A102" i="25"/>
  <c r="BB102"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0"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2"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BN127" i="24" s="1"/>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AK261" i="24"/>
  <c r="AN261" i="24"/>
  <c r="CG261" i="24" s="1"/>
  <c r="AK194" i="24"/>
  <c r="AN194" i="24"/>
  <c r="AK193" i="24"/>
  <c r="AN193" i="24"/>
  <c r="AK6" i="24"/>
  <c r="AN6" i="24"/>
  <c r="BN6" i="24" s="1"/>
  <c r="AK138" i="24"/>
  <c r="AN138" i="24"/>
  <c r="BN138" i="24" s="1"/>
  <c r="AV28" i="24"/>
  <c r="AT28" i="24"/>
  <c r="AN262" i="24"/>
  <c r="AK262" i="24"/>
  <c r="AN71" i="24"/>
  <c r="CG71" i="24" s="1"/>
  <c r="AK71" i="24"/>
  <c r="AN263" i="24"/>
  <c r="AK263" i="24"/>
  <c r="AN137" i="24"/>
  <c r="AK137" i="24"/>
  <c r="AK196" i="24"/>
  <c r="AN196" i="24"/>
  <c r="AV71" i="24"/>
  <c r="AT71" i="24"/>
  <c r="AN185" i="24"/>
  <c r="BN185" i="24" s="1"/>
  <c r="AK185" i="24"/>
  <c r="AN59" i="24"/>
  <c r="BN59" i="24" s="1"/>
  <c r="AK59" i="24"/>
  <c r="AN191" i="24"/>
  <c r="AK191" i="24"/>
  <c r="AK53" i="24"/>
  <c r="AN53" i="24"/>
  <c r="AK293" i="24"/>
  <c r="AN293" i="24"/>
  <c r="CG293" i="24" s="1"/>
  <c r="AK207" i="24"/>
  <c r="AN207" i="24"/>
  <c r="BN207" i="24" s="1"/>
  <c r="AK209" i="24"/>
  <c r="AN209" i="24"/>
  <c r="AT128" i="24"/>
  <c r="AK198" i="24"/>
  <c r="AN198" i="24"/>
  <c r="AK79" i="24"/>
  <c r="AN79" i="24"/>
  <c r="AN254" i="24"/>
  <c r="AK254" i="24"/>
  <c r="AT92" i="24"/>
  <c r="AV92" i="24"/>
  <c r="AX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AK279" i="24"/>
  <c r="AN279" i="24"/>
  <c r="CG279" i="24" s="1"/>
  <c r="AN266" i="24"/>
  <c r="CG266" i="24" s="1"/>
  <c r="AK266" i="24"/>
  <c r="AT174" i="24"/>
  <c r="AK244" i="24"/>
  <c r="AN244" i="24"/>
  <c r="AN94" i="24"/>
  <c r="CG94" i="24" s="1"/>
  <c r="AK94" i="24"/>
  <c r="AK164" i="24"/>
  <c r="AN164" i="24"/>
  <c r="AN113" i="24"/>
  <c r="AK113" i="24"/>
  <c r="AR259" i="25"/>
  <c r="AP259" i="25"/>
  <c r="AK89" i="24"/>
  <c r="AN89" i="24"/>
  <c r="CG89" i="24" s="1"/>
  <c r="AK234" i="24"/>
  <c r="AN234" i="24"/>
  <c r="AT80" i="24"/>
  <c r="AV80" i="24"/>
  <c r="AN101" i="24"/>
  <c r="BN101" i="24" s="1"/>
  <c r="AK101" i="24"/>
  <c r="AV63" i="24"/>
  <c r="AT63" i="24"/>
  <c r="AK200" i="24"/>
  <c r="AN200" i="24"/>
  <c r="AN252" i="24"/>
  <c r="AK252" i="24"/>
  <c r="AN280" i="24"/>
  <c r="CG280" i="24" s="1"/>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BN48" i="24" s="1"/>
  <c r="AK124" i="24"/>
  <c r="AN124" i="24"/>
  <c r="CG124" i="24" s="1"/>
  <c r="AK304" i="24"/>
  <c r="AN304" i="24"/>
  <c r="AK114" i="24"/>
  <c r="AN114" i="24"/>
  <c r="AN67" i="24"/>
  <c r="BN67" i="24" s="1"/>
  <c r="AK67" i="24"/>
  <c r="AN36" i="24"/>
  <c r="AK36" i="24"/>
  <c r="AT98" i="24"/>
  <c r="AV98" i="24"/>
  <c r="AN258" i="24"/>
  <c r="AK258" i="24"/>
  <c r="AV95" i="24"/>
  <c r="AT95" i="24"/>
  <c r="AK292" i="24"/>
  <c r="AN292" i="24"/>
  <c r="CG292" i="24" s="1"/>
  <c r="AN49" i="24"/>
  <c r="BN49" i="24" s="1"/>
  <c r="AK49" i="24"/>
  <c r="AK75" i="24"/>
  <c r="AN75" i="24"/>
  <c r="AK192" i="24"/>
  <c r="AN192" i="24"/>
  <c r="BN192" i="24" s="1"/>
  <c r="AV36" i="24"/>
  <c r="AT36" i="24"/>
  <c r="AK316" i="24"/>
  <c r="AN316" i="24"/>
  <c r="CG316" i="24" s="1"/>
  <c r="AT162" i="24"/>
  <c r="AT135" i="24"/>
  <c r="AV44" i="24"/>
  <c r="AT44" i="24"/>
  <c r="AK77" i="24"/>
  <c r="AN77" i="24"/>
  <c r="CG77" i="24" s="1"/>
  <c r="AK253" i="24"/>
  <c r="AN253" i="24"/>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AK72" i="24"/>
  <c r="AT122" i="24"/>
  <c r="AK84" i="24"/>
  <c r="AN84" i="24"/>
  <c r="BN84" i="24" s="1"/>
  <c r="AK131" i="24"/>
  <c r="AN131" i="24"/>
  <c r="BN131" i="24" s="1"/>
  <c r="AV18" i="24"/>
  <c r="AT18" i="24"/>
  <c r="AV39" i="24"/>
  <c r="AT39" i="24"/>
  <c r="AT117" i="24"/>
  <c r="AK63" i="24"/>
  <c r="AN63" i="24"/>
  <c r="AT121" i="24"/>
  <c r="AK105" i="24"/>
  <c r="AN105" i="24"/>
  <c r="AK115" i="24"/>
  <c r="AN115" i="24"/>
  <c r="BN115" i="24" s="1"/>
  <c r="AT149" i="24"/>
  <c r="AN38" i="24"/>
  <c r="BN38" i="24" s="1"/>
  <c r="AK38" i="24"/>
  <c r="AK205" i="24"/>
  <c r="AN205" i="24"/>
  <c r="AN29" i="24"/>
  <c r="BN29" i="24" s="1"/>
  <c r="AK29" i="24"/>
  <c r="AN57" i="24"/>
  <c r="AK57" i="24"/>
  <c r="AK119" i="24"/>
  <c r="AN119" i="24"/>
  <c r="AK44" i="24"/>
  <c r="AN44" i="24"/>
  <c r="CG44" i="24" s="1"/>
  <c r="AT158" i="24"/>
  <c r="AK223" i="24"/>
  <c r="AN223" i="24"/>
  <c r="AN202" i="24"/>
  <c r="AK202" i="24"/>
  <c r="AN73" i="24"/>
  <c r="BN73" i="24" s="1"/>
  <c r="AT119" i="24"/>
  <c r="AN217" i="24"/>
  <c r="AK217" i="24"/>
  <c r="AN313" i="24"/>
  <c r="AK313" i="24"/>
  <c r="AT114" i="24"/>
  <c r="AV45" i="24"/>
  <c r="AT45" i="24"/>
  <c r="AK126" i="24"/>
  <c r="AN126" i="24"/>
  <c r="AK161" i="24"/>
  <c r="AN161" i="24"/>
  <c r="AT160" i="24"/>
  <c r="AN32" i="24"/>
  <c r="BN32" i="24" s="1"/>
  <c r="AK32" i="24"/>
  <c r="AK134" i="24"/>
  <c r="AN134" i="24"/>
  <c r="AK96" i="24"/>
  <c r="AN96" i="24"/>
  <c r="BN96" i="24" s="1"/>
  <c r="AK99" i="24"/>
  <c r="AN99" i="24"/>
  <c r="CG99" i="24" s="1"/>
  <c r="AK17" i="24"/>
  <c r="AN17" i="24"/>
  <c r="BN17" i="24" s="1"/>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AV89" i="24"/>
  <c r="AT89" i="24"/>
  <c r="AK277" i="24"/>
  <c r="AN277" i="24"/>
  <c r="AN86" i="24"/>
  <c r="AK86" i="24"/>
  <c r="AK301" i="24"/>
  <c r="AN301" i="24"/>
  <c r="AK250" i="24"/>
  <c r="AN250" i="24"/>
  <c r="AK239" i="24"/>
  <c r="AN239" i="24"/>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BN78" i="24" s="1"/>
  <c r="AK148" i="24"/>
  <c r="AN148" i="24"/>
  <c r="AN34" i="24"/>
  <c r="BN34" i="24" s="1"/>
  <c r="AK34" i="24"/>
  <c r="AV23" i="24"/>
  <c r="AT23" i="24"/>
  <c r="AN125" i="24"/>
  <c r="AK125" i="24"/>
  <c r="AN129" i="24"/>
  <c r="CG129" i="24" s="1"/>
  <c r="AK129" i="24"/>
  <c r="AN235" i="24"/>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BN140" i="24" s="1"/>
  <c r="AK274" i="24"/>
  <c r="AN274" i="24"/>
  <c r="AV50" i="24"/>
  <c r="AT50" i="24"/>
  <c r="AK270" i="24"/>
  <c r="AN270" i="24"/>
  <c r="AK42" i="24"/>
  <c r="AN42" i="24"/>
  <c r="CG42" i="24" s="1"/>
  <c r="AN151" i="24"/>
  <c r="CG151" i="24" s="1"/>
  <c r="AK151" i="24"/>
  <c r="AN314" i="24"/>
  <c r="CG314" i="24" s="1"/>
  <c r="AK314" i="24"/>
  <c r="AN24" i="24"/>
  <c r="AK24" i="24"/>
  <c r="AK93" i="24"/>
  <c r="AN93" i="24"/>
  <c r="AK294" i="24"/>
  <c r="AN294" i="24"/>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AK243" i="24"/>
  <c r="AK300" i="24"/>
  <c r="AN300" i="24"/>
  <c r="CG300" i="24" s="1"/>
  <c r="AN37" i="24"/>
  <c r="AK37" i="24"/>
  <c r="AK278" i="24"/>
  <c r="AN278" i="24"/>
  <c r="CG278" i="24" s="1"/>
  <c r="AK230" i="24"/>
  <c r="AN230" i="24"/>
  <c r="AT116" i="24"/>
  <c r="AV82" i="24"/>
  <c r="AT82" i="24"/>
  <c r="AK80" i="24"/>
  <c r="AN80" i="24"/>
  <c r="CG80" i="24" s="1"/>
  <c r="AN144" i="24"/>
  <c r="BN144" i="24" s="1"/>
  <c r="AK144" i="24"/>
  <c r="AN183" i="24"/>
  <c r="AK183" i="24"/>
  <c r="AK275" i="24"/>
  <c r="AN275" i="24"/>
  <c r="AT169" i="24"/>
  <c r="AV42" i="24"/>
  <c r="AT42" i="24"/>
  <c r="AN40" i="24"/>
  <c r="BN40" i="24" s="1"/>
  <c r="AK40" i="24"/>
  <c r="AN187" i="24"/>
  <c r="AK187" i="24"/>
  <c r="AN171" i="24"/>
  <c r="AK171" i="24"/>
  <c r="AN74" i="24"/>
  <c r="AK74" i="24"/>
  <c r="AV69" i="24"/>
  <c r="AT69" i="24"/>
  <c r="AK152" i="24"/>
  <c r="AN152" i="24"/>
  <c r="BN152" i="24" s="1"/>
  <c r="AT209" i="24"/>
  <c r="AK60" i="24"/>
  <c r="AN60" i="24"/>
  <c r="CG60" i="24" s="1"/>
  <c r="AK186" i="24"/>
  <c r="AN186" i="24"/>
  <c r="AK297" i="24"/>
  <c r="AN297" i="24"/>
  <c r="CG297" i="24" s="1"/>
  <c r="AV74" i="24"/>
  <c r="AT74" i="24"/>
  <c r="AN283" i="24"/>
  <c r="CG283" i="24" s="1"/>
  <c r="AK283" i="24"/>
  <c r="AK175" i="24"/>
  <c r="AN175" i="24"/>
  <c r="AK61" i="24"/>
  <c r="AN61" i="24"/>
  <c r="BN61" i="24" s="1"/>
  <c r="AT99" i="24"/>
  <c r="AV99" i="24"/>
  <c r="AN147" i="24"/>
  <c r="AK147" i="24"/>
  <c r="AK25" i="24"/>
  <c r="AN25" i="24"/>
  <c r="AK95" i="24"/>
  <c r="AN95" i="24"/>
  <c r="CG95" i="24" s="1"/>
  <c r="AK172" i="24"/>
  <c r="AN172" i="24"/>
  <c r="AN47" i="24"/>
  <c r="AK271" i="24"/>
  <c r="AN271" i="24"/>
  <c r="AN246" i="24"/>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BN30" i="24" s="1"/>
  <c r="AK30" i="24"/>
  <c r="AN225" i="24"/>
  <c r="AK225" i="24"/>
  <c r="AN248" i="24"/>
  <c r="AK248" i="24"/>
  <c r="AK295" i="24"/>
  <c r="AN295" i="24"/>
  <c r="CG295" i="24" s="1"/>
  <c r="AK305" i="24"/>
  <c r="AN305" i="24"/>
  <c r="AV43" i="24"/>
  <c r="AT43" i="24"/>
  <c r="AN45" i="24"/>
  <c r="BN45" i="24" s="1"/>
  <c r="AK45" i="24"/>
  <c r="AK273" i="24"/>
  <c r="AN273" i="24"/>
  <c r="AK227" i="24"/>
  <c r="AN227" i="24"/>
  <c r="CG227" i="24" s="1"/>
  <c r="AK163" i="24"/>
  <c r="AN163" i="24"/>
  <c r="AK282" i="24"/>
  <c r="AN282" i="24"/>
  <c r="CG282" i="24" s="1"/>
  <c r="AN159" i="24"/>
  <c r="BN159" i="24" s="1"/>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AK68" i="24"/>
  <c r="AK50" i="24"/>
  <c r="AN50" i="24"/>
  <c r="CG50" i="24" s="1"/>
  <c r="AN12" i="24"/>
  <c r="AK12" i="24"/>
  <c r="AV13" i="24"/>
  <c r="AT13" i="24"/>
  <c r="AN76" i="24"/>
  <c r="AK76" i="24"/>
  <c r="AN43" i="24"/>
  <c r="AK43" i="24"/>
  <c r="AK251" i="24"/>
  <c r="AN251" i="24"/>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AN143" i="24"/>
  <c r="BN143" i="24" s="1"/>
  <c r="AK143" i="24"/>
  <c r="AK312" i="24"/>
  <c r="AN312" i="24"/>
  <c r="AK128" i="24"/>
  <c r="AN128" i="24"/>
  <c r="AK256" i="24"/>
  <c r="AN256" i="24"/>
  <c r="CG256" i="24" s="1"/>
  <c r="AN177" i="24"/>
  <c r="AK177" i="24"/>
  <c r="AN182" i="24"/>
  <c r="AK182" i="24"/>
  <c r="AK92" i="24"/>
  <c r="AK11" i="24"/>
  <c r="AN11" i="24"/>
  <c r="BN11" i="24" s="1"/>
  <c r="AK33" i="24"/>
  <c r="AN33" i="24"/>
  <c r="BN33" i="24" s="1"/>
  <c r="AK220" i="24"/>
  <c r="AN220" i="24"/>
  <c r="AK135" i="24"/>
  <c r="AN135" i="24"/>
  <c r="AK288" i="24"/>
  <c r="AN288" i="24"/>
  <c r="CG288" i="24" s="1"/>
  <c r="AT146" i="24"/>
  <c r="AT124" i="24"/>
  <c r="AK291" i="24"/>
  <c r="AN291" i="24"/>
  <c r="CG291" i="24" s="1"/>
  <c r="AV49" i="24"/>
  <c r="AT49" i="24"/>
  <c r="AN41" i="24"/>
  <c r="AK41" i="24"/>
  <c r="AK26" i="24"/>
  <c r="AN26" i="24"/>
  <c r="BN26" i="24" s="1"/>
  <c r="AK162" i="24"/>
  <c r="AN162" i="24"/>
  <c r="CG162" i="24" s="1"/>
  <c r="AK184" i="24"/>
  <c r="AN184" i="24"/>
  <c r="CG184" i="24" s="1"/>
  <c r="AK232" i="24"/>
  <c r="AN232" i="24"/>
  <c r="CG232" i="24" s="1"/>
  <c r="AK303" i="24"/>
  <c r="AN303" i="24"/>
  <c r="AT134" i="24"/>
  <c r="AK170" i="24"/>
  <c r="AN170" i="24"/>
  <c r="CG170" i="24" s="1"/>
  <c r="AN39" i="24"/>
  <c r="AK39" i="24"/>
  <c r="AK210" i="24"/>
  <c r="AN210" i="24"/>
  <c r="BN210" i="24" s="1"/>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T241" i="25"/>
  <c r="AU241"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243" i="25"/>
  <c r="AU243"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AT132" i="25"/>
  <c r="BA132" i="25" s="1"/>
  <c r="AU132" i="25"/>
  <c r="BK190" i="25"/>
  <c r="BJ190" i="25"/>
  <c r="AR190" i="25"/>
  <c r="AP190" i="25"/>
  <c r="CA190" i="25"/>
  <c r="BX190" i="25"/>
  <c r="BI190" i="25"/>
  <c r="AU271" i="25"/>
  <c r="AT271" i="25"/>
  <c r="BJ208" i="25"/>
  <c r="AR208" i="25"/>
  <c r="BK208" i="25"/>
  <c r="AP208" i="25"/>
  <c r="BI208" i="25"/>
  <c r="CA208" i="25"/>
  <c r="BX208"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T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AU102"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AU252" i="25" l="1"/>
  <c r="BN72" i="24"/>
  <c r="CG72" i="24"/>
  <c r="BN177" i="24"/>
  <c r="CG177" i="24"/>
  <c r="AT294" i="25"/>
  <c r="AU245" i="25"/>
  <c r="BN41" i="24"/>
  <c r="CG41" i="24"/>
  <c r="BN137" i="24"/>
  <c r="CG137" i="24"/>
  <c r="BN176" i="24"/>
  <c r="CG176"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299" i="24"/>
  <c r="BD299" i="24"/>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AW29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4"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D102" i="25"/>
  <c r="BE102" i="25"/>
  <c r="BP102" i="25" s="1"/>
  <c r="BF102" i="25"/>
  <c r="BQ102" i="25" s="1"/>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AW92" i="24" l="1"/>
  <c r="BG92" i="24" s="1"/>
  <c r="BD136" i="25"/>
  <c r="BH136" i="25" s="1"/>
  <c r="BN136" i="25" s="1"/>
  <c r="BF136" i="25"/>
  <c r="BW136" i="25" s="1"/>
  <c r="BD167" i="25"/>
  <c r="BU167" i="25" s="1"/>
  <c r="BF167" i="25"/>
  <c r="BW167" i="25" s="1"/>
  <c r="CA110" i="24"/>
  <c r="CC110" i="24" s="1"/>
  <c r="CD110" i="24" s="1"/>
  <c r="BD117" i="25"/>
  <c r="BU117" i="25" s="1"/>
  <c r="BE117" i="25"/>
  <c r="BV117" i="25" s="1"/>
  <c r="BE165" i="25"/>
  <c r="BV165" i="25" s="1"/>
  <c r="BD165" i="25"/>
  <c r="BH165" i="25" s="1"/>
  <c r="BN165" i="25" s="1"/>
  <c r="BW102" i="25"/>
  <c r="BV102" i="25"/>
  <c r="BT102" i="25"/>
  <c r="BD158" i="25"/>
  <c r="BH158" i="25" s="1"/>
  <c r="BN158" i="25" s="1"/>
  <c r="BF158" i="25"/>
  <c r="BW158" i="25" s="1"/>
  <c r="BE128" i="25"/>
  <c r="BV128" i="25" s="1"/>
  <c r="BD128" i="25"/>
  <c r="BU128" i="25" s="1"/>
  <c r="B141" i="2"/>
  <c r="E31" i="1" s="1"/>
  <c r="C34" i="16"/>
  <c r="B251" i="2"/>
  <c r="D251"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BF92" i="24"/>
  <c r="AY92" i="24"/>
  <c r="AZ92" i="24" s="1"/>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2"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2"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U102"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B209" i="2" l="1"/>
  <c r="BU136" i="25"/>
  <c r="BY136" i="25" s="1"/>
  <c r="BH167" i="25"/>
  <c r="BN167" i="25" s="1"/>
  <c r="BH117" i="25"/>
  <c r="BN117" i="25" s="1"/>
  <c r="BU165" i="25"/>
  <c r="BZ165" i="25" s="1"/>
  <c r="BD5" i="25"/>
  <c r="BH5" i="25" s="1"/>
  <c r="BN5" i="25" s="1"/>
  <c r="BE5" i="25"/>
  <c r="BP5" i="25" s="1"/>
  <c r="A209"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CF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CF204" i="25" s="1"/>
  <c r="BZ197" i="25"/>
  <c r="BY197" i="25"/>
  <c r="BZ161" i="25"/>
  <c r="BY161" i="25"/>
  <c r="CC161" i="25" s="1"/>
  <c r="CE161" i="25" s="1"/>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4" i="2" s="1"/>
  <c r="B125" i="2" s="1"/>
  <c r="E17" i="1" s="1"/>
  <c r="BD105" i="24"/>
  <c r="B134"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3"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BI92" i="24"/>
  <c r="BO92" i="24" s="1"/>
  <c r="BU92"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67" i="25"/>
  <c r="BO171" i="25"/>
  <c r="BU58" i="25"/>
  <c r="BH58" i="25"/>
  <c r="BN58" i="25" s="1"/>
  <c r="BU53" i="25"/>
  <c r="BH53" i="25"/>
  <c r="BN53" i="25" s="1"/>
  <c r="BO193" i="25"/>
  <c r="BU72" i="25"/>
  <c r="BH72" i="25"/>
  <c r="BN72" i="25" s="1"/>
  <c r="BU10" i="25"/>
  <c r="BH10" i="25"/>
  <c r="BN10" i="25" s="1"/>
  <c r="BU183" i="25"/>
  <c r="BH183" i="25"/>
  <c r="BN183" i="25" s="1"/>
  <c r="BU5" i="25"/>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BZ136" i="25" l="1"/>
  <c r="CB136" i="25" s="1"/>
  <c r="BV5" i="25"/>
  <c r="BZ5" i="25" s="1"/>
  <c r="CC117" i="25"/>
  <c r="CE117" i="25" s="1"/>
  <c r="CF117" i="25" s="1"/>
  <c r="BO117" i="25"/>
  <c r="CF168" i="25"/>
  <c r="CJ168" i="25"/>
  <c r="CF191" i="25"/>
  <c r="CJ191"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F144" i="25" s="1"/>
  <c r="CB172" i="25"/>
  <c r="CB138" i="25"/>
  <c r="CB115" i="25"/>
  <c r="CC149" i="25"/>
  <c r="CE149" i="25" s="1"/>
  <c r="CB163" i="25"/>
  <c r="CB155" i="25"/>
  <c r="CB166" i="25"/>
  <c r="CB146" i="25"/>
  <c r="CB209" i="25"/>
  <c r="CC172" i="25"/>
  <c r="CE172" i="25" s="1"/>
  <c r="CF172" i="25" s="1"/>
  <c r="CB119" i="25"/>
  <c r="CB168" i="25"/>
  <c r="CB191" i="25"/>
  <c r="CC197" i="25"/>
  <c r="CE197" i="25" s="1"/>
  <c r="CB161" i="25"/>
  <c r="CC102" i="25"/>
  <c r="CE102" i="25" s="1"/>
  <c r="CF102" i="25" s="1"/>
  <c r="BU35" i="24"/>
  <c r="BX35" i="24" s="1"/>
  <c r="BZ35" i="24" s="1"/>
  <c r="CB181" i="25"/>
  <c r="CB185" i="25"/>
  <c r="CB206" i="25"/>
  <c r="CB124" i="25"/>
  <c r="CB207" i="25"/>
  <c r="CC177" i="25"/>
  <c r="CE177" i="25" s="1"/>
  <c r="CF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CF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5" i="25"/>
  <c r="CB5" i="25" s="1"/>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CF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CF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28" i="2"/>
  <c r="BU16" i="24"/>
  <c r="BI147" i="24"/>
  <c r="BI151" i="24"/>
  <c r="CJ136" i="25"/>
  <c r="BU85" i="24"/>
  <c r="BU18" i="24"/>
  <c r="BU57" i="24"/>
  <c r="BU45" i="24"/>
  <c r="BI134" i="24"/>
  <c r="BI160" i="24"/>
  <c r="CJ202" i="25"/>
  <c r="BI142" i="24"/>
  <c r="CF196" i="25"/>
  <c r="CJ196" i="25"/>
  <c r="BI94" i="24"/>
  <c r="CJ207" i="25"/>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F163" i="25" l="1"/>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H158" i="24"/>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CD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C69" i="25"/>
  <c r="CE69" i="25" s="1"/>
  <c r="CC18" i="25"/>
  <c r="CE18" i="25" s="1"/>
  <c r="CF18" i="25" s="1"/>
  <c r="CC100" i="25"/>
  <c r="CE100" i="25" s="1"/>
  <c r="CC38" i="25"/>
  <c r="CE38" i="25" s="1"/>
  <c r="CF38" i="25" s="1"/>
  <c r="CC94" i="25"/>
  <c r="CE94" i="25" s="1"/>
  <c r="CC17" i="25"/>
  <c r="CE17" i="25" s="1"/>
  <c r="CC35" i="25"/>
  <c r="CE35" i="25" s="1"/>
  <c r="CF35" i="25" s="1"/>
  <c r="CC79" i="25"/>
  <c r="CE79" i="25" s="1"/>
  <c r="CF79" i="25" s="1"/>
  <c r="CC70" i="25"/>
  <c r="CE70" i="25" s="1"/>
  <c r="CF70" i="25" s="1"/>
  <c r="CC68" i="25"/>
  <c r="CE68" i="25" s="1"/>
  <c r="CF68" i="25" s="1"/>
  <c r="CC45" i="25"/>
  <c r="CE45" i="25" s="1"/>
  <c r="CF45" i="25" s="1"/>
  <c r="CC60" i="25"/>
  <c r="CE60" i="25" s="1"/>
  <c r="CC90" i="25"/>
  <c r="CE90" i="25" s="1"/>
  <c r="CA99" i="24"/>
  <c r="CC99" i="24" s="1"/>
  <c r="CC84" i="25"/>
  <c r="CE84" i="25" s="1"/>
  <c r="CF84" i="25" s="1"/>
  <c r="CC93" i="25"/>
  <c r="CE93" i="25" s="1"/>
  <c r="CF93" i="25" s="1"/>
  <c r="CC10" i="25"/>
  <c r="CE10" i="25" s="1"/>
  <c r="CF10" i="25" s="1"/>
  <c r="CB131" i="25"/>
  <c r="CC48" i="25"/>
  <c r="CE48" i="25" s="1"/>
  <c r="CF48" i="25" s="1"/>
  <c r="CC105" i="25"/>
  <c r="CE105" i="25" s="1"/>
  <c r="CC39" i="25"/>
  <c r="CE39" i="25" s="1"/>
  <c r="CF39" i="25" s="1"/>
  <c r="CC19" i="25"/>
  <c r="CE19" i="25" s="1"/>
  <c r="CC96" i="25"/>
  <c r="CE96" i="25" s="1"/>
  <c r="CF96" i="25" s="1"/>
  <c r="CC37" i="25"/>
  <c r="CE37" i="25" s="1"/>
  <c r="CC33" i="25"/>
  <c r="CE33" i="25" s="1"/>
  <c r="CF33" i="25" s="1"/>
  <c r="CC32" i="25"/>
  <c r="CE32" i="25" s="1"/>
  <c r="CF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F78" i="25" s="1"/>
  <c r="CB173" i="25"/>
  <c r="CC103" i="25"/>
  <c r="CE103" i="25" s="1"/>
  <c r="CC62" i="25"/>
  <c r="CE62" i="25" s="1"/>
  <c r="CF62" i="25" s="1"/>
  <c r="CC27" i="25"/>
  <c r="CE27" i="25" s="1"/>
  <c r="CF27" i="25" s="1"/>
  <c r="CC58" i="25"/>
  <c r="CE58" i="25" s="1"/>
  <c r="CC5" i="25"/>
  <c r="CE5" i="25" s="1"/>
  <c r="CF5" i="25" s="1"/>
  <c r="CC192" i="25"/>
  <c r="CE192" i="25" s="1"/>
  <c r="CC12" i="25"/>
  <c r="CE12" i="25" s="1"/>
  <c r="CF12" i="25" s="1"/>
  <c r="CC86" i="25"/>
  <c r="CE86" i="25" s="1"/>
  <c r="CB140" i="25"/>
  <c r="CB208" i="25"/>
  <c r="CC15" i="25"/>
  <c r="CE15" i="25" s="1"/>
  <c r="CF15" i="25" s="1"/>
  <c r="CC53" i="25"/>
  <c r="CE53" i="25" s="1"/>
  <c r="CC30" i="25"/>
  <c r="CE30" i="25" s="1"/>
  <c r="CF30" i="25" s="1"/>
  <c r="CC75" i="25"/>
  <c r="CE75" i="25" s="1"/>
  <c r="CC8" i="25"/>
  <c r="CE8" i="25" s="1"/>
  <c r="CF8" i="25" s="1"/>
  <c r="CC73" i="25"/>
  <c r="CE73" i="25" s="1"/>
  <c r="CF73" i="25" s="1"/>
  <c r="CB133" i="25"/>
  <c r="CC52" i="25"/>
  <c r="CE52" i="25" s="1"/>
  <c r="CF52" i="25" s="1"/>
  <c r="CC6" i="25"/>
  <c r="CE6" i="25" s="1"/>
  <c r="CC99" i="25"/>
  <c r="CE99" i="25" s="1"/>
  <c r="CC41" i="25"/>
  <c r="CE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F40" i="25" s="1"/>
  <c r="CC55" i="25"/>
  <c r="CE55" i="25" s="1"/>
  <c r="CF55" i="25" s="1"/>
  <c r="CC97" i="25"/>
  <c r="CE97" i="25" s="1"/>
  <c r="CC80" i="25"/>
  <c r="CE80" i="25" s="1"/>
  <c r="CF80" i="25" s="1"/>
  <c r="CB153" i="25"/>
  <c r="CB190" i="25"/>
  <c r="CB120" i="25"/>
  <c r="CC25" i="25"/>
  <c r="CE25" i="25" s="1"/>
  <c r="CF25" i="25" s="1"/>
  <c r="CC83" i="25"/>
  <c r="CE83" i="25" s="1"/>
  <c r="CF83" i="25" s="1"/>
  <c r="CC85" i="25"/>
  <c r="CE85" i="25" s="1"/>
  <c r="CB200" i="25"/>
  <c r="CC194" i="25"/>
  <c r="CE194" i="25" s="1"/>
  <c r="CF194" i="25" s="1"/>
  <c r="CB141" i="25"/>
  <c r="CC64" i="25"/>
  <c r="CE64" i="25" s="1"/>
  <c r="CC28" i="25"/>
  <c r="CE28" i="25" s="1"/>
  <c r="CC121" i="25"/>
  <c r="CE121" i="25" s="1"/>
  <c r="CC208" i="25"/>
  <c r="CE208" i="25" s="1"/>
  <c r="CF208" i="25" s="1"/>
  <c r="CB150" i="25"/>
  <c r="CC7" i="25"/>
  <c r="CE7" i="25" s="1"/>
  <c r="CC63" i="25"/>
  <c r="CE63" i="25" s="1"/>
  <c r="CC23" i="25"/>
  <c r="CE23" i="25" s="1"/>
  <c r="CF23" i="25" s="1"/>
  <c r="CC153" i="25"/>
  <c r="CE153" i="25" s="1"/>
  <c r="CB184" i="25"/>
  <c r="CB179" i="25"/>
  <c r="CC65" i="25"/>
  <c r="CE65" i="25" s="1"/>
  <c r="CC36" i="25"/>
  <c r="CE36" i="25" s="1"/>
  <c r="CB210" i="25"/>
  <c r="CC120" i="25"/>
  <c r="CE120" i="25" s="1"/>
  <c r="CF120" i="25" s="1"/>
  <c r="CC16" i="25"/>
  <c r="CE16" i="25" s="1"/>
  <c r="CF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F61" i="25" s="1"/>
  <c r="CC139" i="25"/>
  <c r="CE139" i="25" s="1"/>
  <c r="CC82" i="25"/>
  <c r="CE82" i="25" s="1"/>
  <c r="CC57" i="25"/>
  <c r="CE57" i="25" s="1"/>
  <c r="CC110" i="25"/>
  <c r="CE110" i="25" s="1"/>
  <c r="CF110" i="25" s="1"/>
  <c r="CC22" i="25"/>
  <c r="CE22" i="25" s="1"/>
  <c r="CF22" i="25" s="1"/>
  <c r="CC54" i="25"/>
  <c r="CE54" i="25" s="1"/>
  <c r="CB113" i="25"/>
  <c r="CC133" i="25"/>
  <c r="CE133" i="25" s="1"/>
  <c r="CF133" i="25" s="1"/>
  <c r="CB159" i="25"/>
  <c r="CC66" i="25"/>
  <c r="CE66" i="25" s="1"/>
  <c r="CF66" i="25" s="1"/>
  <c r="CC50" i="25"/>
  <c r="CE50" i="25" s="1"/>
  <c r="CB183" i="25"/>
  <c r="CC46" i="25"/>
  <c r="CE46" i="25" s="1"/>
  <c r="CC31" i="25"/>
  <c r="CE31" i="25" s="1"/>
  <c r="CF31" i="25" s="1"/>
  <c r="CC77" i="25"/>
  <c r="CE77" i="25" s="1"/>
  <c r="CC180" i="25"/>
  <c r="CE180" i="25" s="1"/>
  <c r="CC42" i="25"/>
  <c r="CE42" i="25" s="1"/>
  <c r="CC44" i="25"/>
  <c r="CE44" i="25" s="1"/>
  <c r="CC104" i="25"/>
  <c r="CE104" i="25" s="1"/>
  <c r="CF104" i="25" s="1"/>
  <c r="CA93" i="24"/>
  <c r="CC93" i="24" s="1"/>
  <c r="CD93" i="24" s="1"/>
  <c r="BO95" i="25"/>
  <c r="CC95" i="25"/>
  <c r="CE95" i="25" s="1"/>
  <c r="BO29" i="25"/>
  <c r="CC29" i="25"/>
  <c r="CE29" i="25" s="1"/>
  <c r="CF29" i="25" s="1"/>
  <c r="BO26" i="25"/>
  <c r="CC26" i="25"/>
  <c r="CE26" i="25" s="1"/>
  <c r="CF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D74" i="24" s="1"/>
  <c r="CA134" i="24"/>
  <c r="CC134" i="24" s="1"/>
  <c r="CD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J48" i="25"/>
  <c r="BP142" i="24"/>
  <c r="CA178" i="24"/>
  <c r="CC178" i="24" s="1"/>
  <c r="CA113" i="24"/>
  <c r="CC113" i="24" s="1"/>
  <c r="CD113" i="24" s="1"/>
  <c r="CH209" i="24"/>
  <c r="CJ101" i="25"/>
  <c r="CJ194" i="25"/>
  <c r="CA130" i="24"/>
  <c r="CC130" i="24" s="1"/>
  <c r="CJ68" i="25"/>
  <c r="BP81" i="24"/>
  <c r="BP187" i="24"/>
  <c r="CA187" i="24"/>
  <c r="CC187" i="24" s="1"/>
  <c r="BP26" i="24"/>
  <c r="BP105" i="24"/>
  <c r="E46" i="1" s="1"/>
  <c r="E47" i="1" s="1"/>
  <c r="BP166" i="24"/>
  <c r="CA166" i="24"/>
  <c r="CC166" i="24" s="1"/>
  <c r="CA152" i="24"/>
  <c r="CC152" i="24" s="1"/>
  <c r="CD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CD119" i="24" s="1"/>
  <c r="BP10" i="24"/>
  <c r="BP185" i="24"/>
  <c r="CA185" i="24"/>
  <c r="CC185" i="24" s="1"/>
  <c r="CD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CD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CD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CD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CD128" i="24" s="1"/>
  <c r="BP91" i="24"/>
  <c r="BP126" i="24"/>
  <c r="CA126" i="24"/>
  <c r="CC126" i="24" s="1"/>
  <c r="BP96" i="24"/>
  <c r="BP90" i="24"/>
  <c r="CA132" i="24"/>
  <c r="CC132" i="24" s="1"/>
  <c r="BP132" i="24"/>
  <c r="BP207" i="24"/>
  <c r="CA207" i="24"/>
  <c r="CC207" i="24" s="1"/>
  <c r="CD207" i="24" s="1"/>
  <c r="BP84" i="24"/>
  <c r="BP61" i="24"/>
  <c r="CA192" i="24"/>
  <c r="CC192" i="24" s="1"/>
  <c r="CD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CD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CD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CD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F100" i="25" l="1"/>
  <c r="CJ100" i="25"/>
  <c r="CF54" i="25"/>
  <c r="CJ54" i="25"/>
  <c r="CF67" i="25"/>
  <c r="CJ67" i="25"/>
  <c r="CD80" i="24"/>
  <c r="CH80" i="24"/>
  <c r="CF74" i="25"/>
  <c r="CJ74" i="25"/>
  <c r="CD177" i="24"/>
  <c r="CH177" i="24"/>
  <c r="CF72" i="25"/>
  <c r="CJ72" i="25"/>
  <c r="CF41" i="25"/>
  <c r="CJ41" i="25"/>
  <c r="CD137" i="24"/>
  <c r="CH137" i="24"/>
  <c r="CD176" i="24"/>
  <c r="CH176"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D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D73" i="24" s="1"/>
  <c r="CA41" i="24"/>
  <c r="CC41" i="24" s="1"/>
  <c r="CA23" i="24"/>
  <c r="CC23" i="24" s="1"/>
  <c r="CD23" i="24" s="1"/>
  <c r="CA45" i="24"/>
  <c r="CC45" i="24" s="1"/>
  <c r="CD45" i="24" s="1"/>
  <c r="CA56" i="24"/>
  <c r="CC56" i="24" s="1"/>
  <c r="CA7" i="24"/>
  <c r="CC7" i="24" s="1"/>
  <c r="CD7" i="24" s="1"/>
  <c r="CA101" i="24"/>
  <c r="CC101" i="24" s="1"/>
  <c r="CD101" i="24" s="1"/>
  <c r="CA60" i="24"/>
  <c r="CC60" i="24" s="1"/>
  <c r="CA84" i="24"/>
  <c r="CC84" i="24" s="1"/>
  <c r="CD84" i="24" s="1"/>
  <c r="CA25" i="24"/>
  <c r="CC25" i="24" s="1"/>
  <c r="CD25" i="24" s="1"/>
  <c r="CD160" i="24"/>
  <c r="CH160" i="24"/>
  <c r="CF64" i="25"/>
  <c r="CJ64" i="25"/>
  <c r="CA44" i="24"/>
  <c r="CC44" i="24" s="1"/>
  <c r="CA20" i="24"/>
  <c r="CC20" i="24" s="1"/>
  <c r="CA95" i="24"/>
  <c r="CC95" i="24" s="1"/>
  <c r="CD161" i="24"/>
  <c r="CH161" i="24"/>
  <c r="CF103" i="25"/>
  <c r="CJ103" i="25"/>
  <c r="CA29" i="24"/>
  <c r="CC29" i="24" s="1"/>
  <c r="CD29" i="24" s="1"/>
  <c r="CA22" i="24"/>
  <c r="CC22" i="24" s="1"/>
  <c r="CA70" i="24"/>
  <c r="CC70" i="24" s="1"/>
  <c r="CD70" i="24" s="1"/>
  <c r="CF37" i="25"/>
  <c r="CJ37" i="25"/>
  <c r="CD133" i="24"/>
  <c r="CH133" i="24"/>
  <c r="CA76" i="24"/>
  <c r="CC76" i="24" s="1"/>
  <c r="CA32" i="24"/>
  <c r="CC32" i="24" s="1"/>
  <c r="CD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A26" i="24"/>
  <c r="CC26" i="24" s="1"/>
  <c r="CD26" i="24" s="1"/>
  <c r="CA9" i="24"/>
  <c r="CC9" i="24" s="1"/>
  <c r="CD9" i="24" s="1"/>
  <c r="CA102" i="24"/>
  <c r="CC102" i="24" s="1"/>
  <c r="CD102" i="24" s="1"/>
  <c r="CA61" i="24"/>
  <c r="CC61" i="24" s="1"/>
  <c r="CD61" i="24" s="1"/>
  <c r="CA36" i="24"/>
  <c r="CC36" i="24" s="1"/>
  <c r="CD36" i="24" s="1"/>
  <c r="CA30" i="24"/>
  <c r="CC30" i="24" s="1"/>
  <c r="CD30" i="24" s="1"/>
  <c r="CD172" i="24"/>
  <c r="CH172" i="24"/>
  <c r="CA11" i="24"/>
  <c r="CC11" i="24" s="1"/>
  <c r="CD11" i="24" s="1"/>
  <c r="CA8" i="24"/>
  <c r="CC8" i="24" s="1"/>
  <c r="CD8" i="24" s="1"/>
  <c r="CA42" i="24"/>
  <c r="CC42" i="24" s="1"/>
  <c r="CA13" i="24"/>
  <c r="CC13" i="24" s="1"/>
  <c r="CD13" i="24" s="1"/>
  <c r="CA34" i="24"/>
  <c r="CC34" i="24" s="1"/>
  <c r="CD34" i="24" s="1"/>
  <c r="CA59" i="24"/>
  <c r="CC59" i="24" s="1"/>
  <c r="CD59" i="24" s="1"/>
  <c r="CA27" i="24"/>
  <c r="CC27" i="24" s="1"/>
  <c r="CD27" i="24" s="1"/>
  <c r="CA40" i="24"/>
  <c r="CC40" i="24" s="1"/>
  <c r="CD40" i="24" s="1"/>
  <c r="CA21" i="24"/>
  <c r="CC21" i="24" s="1"/>
  <c r="CD21" i="24" s="1"/>
  <c r="CA39" i="24"/>
  <c r="CC39" i="24" s="1"/>
  <c r="CD39" i="24" s="1"/>
  <c r="CA33" i="24"/>
  <c r="CC33" i="24" s="1"/>
  <c r="CD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2" i="2" s="1"/>
  <c r="CA63" i="24"/>
  <c r="CC63" i="24" s="1"/>
  <c r="CD63" i="24" s="1"/>
  <c r="CA96" i="24"/>
  <c r="CC96" i="24" s="1"/>
  <c r="CD96" i="24" s="1"/>
  <c r="CD169" i="24"/>
  <c r="CH169" i="24"/>
  <c r="CA65" i="24"/>
  <c r="CC65" i="24" s="1"/>
  <c r="CD65" i="24" s="1"/>
  <c r="CA57" i="24"/>
  <c r="CC57" i="24" s="1"/>
  <c r="CD57" i="24" s="1"/>
  <c r="CA77" i="24"/>
  <c r="CC77" i="24" s="1"/>
  <c r="CF86" i="25"/>
  <c r="CJ86" i="25"/>
  <c r="CA98" i="24"/>
  <c r="CC98" i="24" s="1"/>
  <c r="CA78" i="24"/>
  <c r="CC78" i="24" s="1"/>
  <c r="CD78" i="24" s="1"/>
  <c r="CA55" i="24"/>
  <c r="CC55" i="24" s="1"/>
  <c r="CD55" i="24" s="1"/>
  <c r="B261"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D48" i="24" s="1"/>
  <c r="CA67" i="24"/>
  <c r="CC67" i="24" s="1"/>
  <c r="CD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72" i="24" l="1"/>
  <c r="CH72" i="24"/>
  <c r="CD41" i="24"/>
  <c r="CH41"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0"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Hegarty, Timothy</author>
  </authors>
  <commentList>
    <comment ref="A3" authorId="0" shapeId="0" xr:uid="{00000000-0006-0000-0000-00000100000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A2, Youhao Xi, Texas Instruments, Inc., September 2022</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4.5V</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5" authorId="0" shapeId="0" xr:uid="{00000000-0006-0000-0000-00000C00000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xr:uid="{00000000-0006-0000-0000-00000D00000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xr:uid="{00000000-0006-0000-0000-00000E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xr:uid="{00000000-0006-0000-0000-00000F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xr:uid="{00000000-0006-0000-0000-000010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xr:uid="{00000000-0006-0000-0000-000011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xr:uid="{00000000-0006-0000-0000-000012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xr:uid="{00000000-0006-0000-0000-000013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xr:uid="{00000000-0006-0000-0000-000014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xr:uid="{00000000-0006-0000-0000-000015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42" authorId="1" shapeId="0" xr:uid="{00000000-0006-0000-0000-000016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1" shapeId="0" xr:uid="{00000000-0006-0000-0000-000017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xr:uid="{00000000-0006-0000-0000-000018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xr:uid="{00000000-0006-0000-0000-000019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xr:uid="{00000000-0006-0000-0000-00001A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8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8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<sst xmlns="http://schemas.openxmlformats.org/spreadsheetml/2006/main" count="1551" uniqueCount="859">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</sst>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86"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sz val="10"/>
      <color theme="1"/>
      <name val="Calibri"/>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69" fillId="0" borderId="0" applyFont="0" applyFill="0" applyBorder="0" applyAlignment="0" applyProtection="0"/>
  </cellStyleXfs>
  <cellXfs count="857">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1"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4" fillId="8" borderId="0" xfId="0" applyFont="1" applyFill="1" applyBorder="1" applyProtection="1"/>
    <xf numFmtId="0" fontId="45" fillId="8" borderId="0" xfId="0" applyFont="1" applyFill="1" applyBorder="1" applyProtection="1"/>
    <xf numFmtId="0" fontId="46"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6"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3" fillId="8" borderId="0" xfId="0" applyNumberFormat="1" applyFont="1" applyFill="1" applyBorder="1" applyAlignment="1" applyProtection="1">
      <alignment horizontal="right"/>
    </xf>
    <xf numFmtId="0" fontId="49"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2"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49"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49"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49"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0"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2"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2"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7" fillId="0" borderId="0" xfId="4" applyNumberFormat="1" applyFont="1"/>
    <xf numFmtId="0" fontId="57" fillId="0" borderId="0" xfId="4" applyFont="1"/>
    <xf numFmtId="0" fontId="47"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7"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3" fillId="0" borderId="0" xfId="0" applyFont="1" applyFill="1"/>
    <xf numFmtId="0" fontId="0" fillId="0" borderId="0" xfId="0" applyFill="1" applyAlignment="1"/>
    <xf numFmtId="0" fontId="15" fillId="0" borderId="0" xfId="0" applyFont="1" applyFill="1"/>
    <xf numFmtId="0" fontId="61"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8"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7" fillId="0" borderId="0" xfId="0" applyFont="1" applyBorder="1" applyAlignment="1">
      <alignment horizontal="left"/>
    </xf>
    <xf numFmtId="0" fontId="47"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7" fillId="0" borderId="0" xfId="4" applyFont="1" applyBorder="1" applyAlignment="1">
      <alignment horizontal="left"/>
    </xf>
    <xf numFmtId="0" fontId="47"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1"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9"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7" fillId="0" borderId="0" xfId="4" applyFont="1" applyBorder="1" applyAlignment="1">
      <alignment horizontal="center"/>
    </xf>
    <xf numFmtId="0" fontId="47" fillId="0" borderId="0" xfId="0" applyFont="1" applyAlignment="1">
      <alignment horizontal="center"/>
    </xf>
    <xf numFmtId="0" fontId="68" fillId="0" borderId="0" xfId="4" applyFont="1" applyBorder="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8"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7"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7"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7" fontId="73" fillId="8" borderId="0" xfId="4" applyNumberFormat="1" applyFont="1" applyFill="1" applyAlignment="1">
      <alignment horizontal="right"/>
    </xf>
    <xf numFmtId="0" fontId="73" fillId="8" borderId="0" xfId="4" applyFont="1" applyFill="1" applyAlignment="1">
      <alignment horizontal="left" vertical="center"/>
    </xf>
    <xf numFmtId="165" fontId="73"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7" fontId="74" fillId="0" borderId="0" xfId="4" applyNumberFormat="1" applyFont="1" applyFill="1" applyAlignment="1">
      <alignment horizontal="right" vertical="center"/>
    </xf>
    <xf numFmtId="165" fontId="74" fillId="8" borderId="0" xfId="4" applyNumberFormat="1" applyFont="1" applyFill="1" applyAlignment="1">
      <alignment vertical="center"/>
    </xf>
    <xf numFmtId="0" fontId="54" fillId="12" borderId="0" xfId="0" applyFont="1" applyFill="1" applyAlignment="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24" borderId="0" xfId="0" applyFont="1" applyFill="1" applyProtection="1"/>
    <xf numFmtId="0" fontId="17" fillId="12" borderId="35" xfId="0" applyFont="1" applyFill="1" applyBorder="1" applyProtection="1"/>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49"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1" fontId="48"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59" fillId="13" borderId="35" xfId="0" applyFont="1" applyFill="1" applyBorder="1" applyAlignment="1" applyProtection="1">
      <alignment vertical="center"/>
    </xf>
    <xf numFmtId="0" fontId="17" fillId="13" borderId="35" xfId="0" applyFont="1" applyFill="1" applyBorder="1" applyProtection="1"/>
    <xf numFmtId="0" fontId="76"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3" fillId="0" borderId="0" xfId="0" applyNumberFormat="1" applyFont="1"/>
    <xf numFmtId="0" fontId="77" fillId="0" borderId="0" xfId="0" applyFont="1" applyAlignment="1">
      <alignment horizontal="right"/>
    </xf>
    <xf numFmtId="1" fontId="3" fillId="0" borderId="0" xfId="0" applyNumberFormat="1" applyFont="1"/>
    <xf numFmtId="167" fontId="3" fillId="0" borderId="0" xfId="0" applyNumberFormat="1" applyFont="1"/>
    <xf numFmtId="1" fontId="49"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8"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8"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4" fillId="8" borderId="75" xfId="0" applyFont="1" applyFill="1" applyBorder="1" applyProtection="1"/>
    <xf numFmtId="0" fontId="44" fillId="8" borderId="76" xfId="0" applyFont="1" applyFill="1" applyBorder="1" applyProtection="1"/>
    <xf numFmtId="0" fontId="44"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7"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47" fillId="0" borderId="0" xfId="0" applyFont="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6" fontId="47" fillId="0" borderId="0" xfId="0" applyNumberFormat="1" applyFont="1" applyAlignment="1">
      <alignment horizontal="left"/>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166" fontId="3" fillId="0" borderId="0" xfId="4" applyNumberFormat="1" applyFill="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7"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1" fillId="0" borderId="79" xfId="4" applyFont="1" applyBorder="1"/>
    <xf numFmtId="0" fontId="47" fillId="0" borderId="0" xfId="4" applyFont="1"/>
    <xf numFmtId="0" fontId="3" fillId="0" borderId="80" xfId="4" applyFill="1" applyBorder="1"/>
    <xf numFmtId="0" fontId="3" fillId="0" borderId="15" xfId="4" applyFill="1" applyBorder="1"/>
    <xf numFmtId="0" fontId="3" fillId="8" borderId="22" xfId="0" applyFont="1" applyFill="1" applyBorder="1" applyAlignment="1" applyProtection="1">
      <alignment horizontal="right"/>
    </xf>
    <xf numFmtId="0" fontId="4" fillId="0" borderId="0" xfId="0" applyNumberFormat="1" applyFont="1" applyAlignment="1">
      <alignment horizontal="right"/>
    </xf>
    <xf numFmtId="167" fontId="3" fillId="18" borderId="0" xfId="0" applyNumberFormat="1" applyFont="1" applyFill="1" applyBorder="1" applyAlignment="1"/>
    <xf numFmtId="167" fontId="3" fillId="0" borderId="0" xfId="0" applyNumberFormat="1" applyFont="1" applyFill="1" applyBorder="1"/>
    <xf numFmtId="167" fontId="48" fillId="8" borderId="35" xfId="2" applyNumberFormat="1" applyFont="1" applyFill="1" applyBorder="1" applyAlignment="1" applyProtection="1">
      <alignment horizontal="right" vertical="center"/>
    </xf>
    <xf numFmtId="167" fontId="7" fillId="10" borderId="0" xfId="0" applyNumberFormat="1" applyFont="1" applyFill="1" applyBorder="1"/>
    <xf numFmtId="1" fontId="3" fillId="8" borderId="63" xfId="0" applyNumberFormat="1" applyFont="1" applyFill="1" applyBorder="1" applyAlignment="1" applyProtection="1">
      <alignment horizontal="right" vertical="center"/>
    </xf>
    <xf numFmtId="0" fontId="48" fillId="8" borderId="0" xfId="0" applyFont="1" applyFill="1" applyBorder="1" applyAlignment="1" applyProtection="1">
      <alignment horizontal="right" vertical="center"/>
    </xf>
    <xf numFmtId="1" fontId="3" fillId="8" borderId="0" xfId="0" applyNumberFormat="1" applyFont="1" applyFill="1" applyBorder="1" applyProtection="1"/>
    <xf numFmtId="2" fontId="3" fillId="8" borderId="0" xfId="0" applyNumberFormat="1" applyFont="1" applyFill="1" applyBorder="1" applyProtection="1"/>
    <xf numFmtId="0" fontId="48" fillId="8" borderId="39" xfId="0" applyFont="1" applyFill="1" applyBorder="1" applyAlignment="1" applyProtection="1">
      <alignment horizontal="right" vertical="center"/>
    </xf>
    <xf numFmtId="2" fontId="3" fillId="8" borderId="39" xfId="0" applyNumberFormat="1" applyFont="1" applyFill="1" applyBorder="1" applyProtection="1"/>
    <xf numFmtId="2" fontId="3" fillId="12" borderId="0" xfId="0" applyNumberFormat="1" applyFont="1" applyFill="1" applyAlignment="1" applyProtection="1">
      <alignment horizontal="right"/>
    </xf>
    <xf numFmtId="167" fontId="3" fillId="8" borderId="39" xfId="0" applyNumberFormat="1" applyFont="1" applyFill="1" applyBorder="1" applyAlignment="1" applyProtection="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4" fillId="0" borderId="25" xfId="0" applyFont="1" applyFill="1" applyBorder="1"/>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applyProtection="1"/>
    <xf numFmtId="1" fontId="48" fillId="8" borderId="39" xfId="0" applyNumberFormat="1" applyFont="1" applyFill="1" applyBorder="1" applyAlignment="1" applyProtection="1">
      <alignment horizontal="right"/>
    </xf>
    <xf numFmtId="0" fontId="3" fillId="12" borderId="0" xfId="0" applyFont="1" applyFill="1" applyBorder="1" applyProtection="1"/>
    <xf numFmtId="2" fontId="48" fillId="8" borderId="0" xfId="0" applyNumberFormat="1" applyFont="1" applyFill="1" applyBorder="1" applyAlignment="1" applyProtection="1">
      <alignment horizontal="right"/>
    </xf>
    <xf numFmtId="11" fontId="0" fillId="0" borderId="0" xfId="0" applyNumberFormat="1"/>
    <xf numFmtId="166" fontId="0" fillId="30" borderId="0" xfId="0" applyNumberFormat="1" applyFill="1"/>
    <xf numFmtId="2" fontId="78" fillId="8" borderId="0" xfId="0" applyNumberFormat="1" applyFont="1" applyFill="1" applyBorder="1" applyAlignment="1" applyProtection="1">
      <alignment horizontal="right"/>
    </xf>
    <xf numFmtId="0" fontId="3" fillId="8" borderId="48" xfId="0" applyFont="1" applyFill="1" applyBorder="1" applyProtection="1"/>
    <xf numFmtId="0" fontId="3" fillId="8" borderId="4" xfId="0" applyFont="1" applyFill="1" applyBorder="1" applyProtection="1"/>
    <xf numFmtId="2" fontId="48" fillId="8" borderId="4" xfId="0" applyNumberFormat="1" applyFont="1" applyFill="1" applyBorder="1" applyAlignment="1" applyProtection="1">
      <alignment horizontal="right"/>
    </xf>
    <xf numFmtId="0" fontId="3" fillId="12" borderId="16" xfId="0" applyFont="1" applyFill="1" applyBorder="1" applyProtection="1"/>
    <xf numFmtId="0" fontId="3" fillId="8" borderId="88" xfId="0" applyFont="1" applyFill="1" applyBorder="1" applyProtection="1"/>
    <xf numFmtId="0" fontId="3" fillId="8" borderId="10" xfId="0" applyFont="1" applyFill="1" applyBorder="1" applyProtection="1"/>
    <xf numFmtId="0" fontId="49" fillId="8" borderId="10" xfId="0" applyFont="1" applyFill="1" applyBorder="1" applyAlignment="1" applyProtection="1">
      <alignment horizontal="right" vertical="center"/>
    </xf>
    <xf numFmtId="0" fontId="3" fillId="12" borderId="89" xfId="0" applyFont="1" applyFill="1" applyBorder="1" applyProtection="1"/>
    <xf numFmtId="0" fontId="3" fillId="8" borderId="90" xfId="0" applyFont="1" applyFill="1" applyBorder="1" applyProtection="1"/>
    <xf numFmtId="0" fontId="3" fillId="12" borderId="91" xfId="0" applyFont="1" applyFill="1" applyBorder="1" applyProtection="1"/>
    <xf numFmtId="0" fontId="17" fillId="12" borderId="91" xfId="0" applyFont="1" applyFill="1" applyBorder="1" applyProtection="1"/>
    <xf numFmtId="0" fontId="17" fillId="8" borderId="10" xfId="0" applyFont="1" applyFill="1" applyBorder="1" applyProtection="1"/>
    <xf numFmtId="0" fontId="17" fillId="8" borderId="89" xfId="0" applyFont="1" applyFill="1" applyBorder="1" applyProtection="1"/>
    <xf numFmtId="0" fontId="17" fillId="8" borderId="91" xfId="0" applyFont="1" applyFill="1" applyBorder="1" applyProtection="1"/>
    <xf numFmtId="0" fontId="17" fillId="8" borderId="4" xfId="0" applyFont="1" applyFill="1" applyBorder="1" applyProtection="1"/>
    <xf numFmtId="0" fontId="47" fillId="8" borderId="0" xfId="0" applyFont="1" applyFill="1" applyBorder="1" applyAlignment="1" applyProtection="1">
      <alignment horizontal="center"/>
    </xf>
    <xf numFmtId="0" fontId="3" fillId="8" borderId="0" xfId="0" applyFont="1" applyFill="1" applyBorder="1" applyAlignment="1" applyProtection="1">
      <alignment horizontal="left"/>
    </xf>
    <xf numFmtId="0" fontId="3" fillId="8" borderId="10" xfId="0" applyFont="1" applyFill="1" applyBorder="1" applyAlignment="1" applyProtection="1">
      <alignment horizontal="right"/>
    </xf>
    <xf numFmtId="1" fontId="48" fillId="8" borderId="10" xfId="0" applyNumberFormat="1" applyFont="1" applyFill="1" applyBorder="1" applyAlignment="1" applyProtection="1">
      <alignment horizontal="right"/>
    </xf>
    <xf numFmtId="0" fontId="3" fillId="8" borderId="4" xfId="0" applyFont="1" applyFill="1" applyBorder="1" applyAlignment="1" applyProtection="1">
      <alignment horizontal="right"/>
    </xf>
    <xf numFmtId="166" fontId="48" fillId="8" borderId="4" xfId="0" applyNumberFormat="1" applyFont="1" applyFill="1" applyBorder="1" applyAlignment="1" applyProtection="1">
      <alignment horizontal="right"/>
    </xf>
    <xf numFmtId="166" fontId="48" fillId="15" borderId="10" xfId="0" applyNumberFormat="1" applyFont="1" applyFill="1" applyBorder="1" applyAlignment="1" applyProtection="1">
      <alignment horizontal="right"/>
      <protection locked="0"/>
    </xf>
    <xf numFmtId="2" fontId="48" fillId="15" borderId="0" xfId="0" applyNumberFormat="1" applyFont="1" applyFill="1" applyBorder="1" applyAlignment="1" applyProtection="1">
      <alignment horizontal="right"/>
      <protection locked="0"/>
    </xf>
    <xf numFmtId="0" fontId="0" fillId="0" borderId="0" xfId="0" quotePrefix="1"/>
    <xf numFmtId="0" fontId="85" fillId="0" borderId="10" xfId="0" applyFont="1" applyFill="1" applyBorder="1" applyProtection="1">
      <protection locked="0"/>
    </xf>
    <xf numFmtId="0" fontId="85" fillId="0" borderId="0" xfId="0" applyFont="1" applyFill="1" applyBorder="1" applyProtection="1">
      <protection locked="0"/>
    </xf>
    <xf numFmtId="0" fontId="74"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84" fillId="12" borderId="22" xfId="0" applyFont="1" applyFill="1" applyBorder="1" applyAlignment="1" applyProtection="1">
      <alignment horizontal="left" vertical="center"/>
    </xf>
    <xf numFmtId="0" fontId="84"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81" xfId="4" applyFont="1" applyFill="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4">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color theme="0"/>
      </font>
    </dxf>
    <dxf>
      <font>
        <color theme="1"/>
      </font>
      <fill>
        <patternFill>
          <fgColor rgb="FFFFFF00"/>
          <bgColor rgb="FFFFFF00"/>
        </patternFill>
      </fill>
    </dxf>
    <dxf>
      <font>
        <color theme="0"/>
      </font>
    </dxf>
    <dxf>
      <font>
        <color theme="0"/>
      </font>
    </dxf>
    <dxf>
      <font>
        <b/>
        <i val="0"/>
        <color theme="0"/>
      </font>
      <fill>
        <patternFill>
          <bgColor rgb="FFFF0000"/>
        </patternFill>
      </fill>
    </dxf>
    <dxf>
      <font>
        <strike val="0"/>
        <color theme="0"/>
      </font>
      <fill>
        <patternFill>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color rgb="FFFF0000"/>
      </font>
    </dxf>
    <dxf>
      <font>
        <color rgb="FFFF0000"/>
      </font>
    </dxf>
    <dxf>
      <font>
        <color rgb="FFFF0000"/>
      </font>
    </dxf>
    <dxf>
      <font>
        <color rgb="FFFF0000"/>
      </font>
    </dxf>
    <dxf>
      <font>
        <b/>
        <i val="0"/>
        <color rgb="FFFF0000"/>
      </font>
    </dxf>
    <dxf>
      <font>
        <b/>
        <i val="0"/>
        <condense val="0"/>
        <extend val="0"/>
        <color indexed="10"/>
      </font>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96.720751086805052</c:v>
                </c:pt>
                <c:pt idx="1">
                  <c:v>89.926076113730034</c:v>
                </c:pt>
                <c:pt idx="2">
                  <c:v>89.276580319790909</c:v>
                </c:pt>
                <c:pt idx="3">
                  <c:v>88.605899560770638</c:v>
                </c:pt>
                <c:pt idx="4">
                  <c:v>87.916953347786361</c:v>
                </c:pt>
                <c:pt idx="5">
                  <c:v>87.210902325876262</c:v>
                </c:pt>
                <c:pt idx="6">
                  <c:v>86.490870394385482</c:v>
                </c:pt>
                <c:pt idx="7">
                  <c:v>85.758324250023762</c:v>
                </c:pt>
                <c:pt idx="8">
                  <c:v>85.015533598384508</c:v>
                </c:pt>
                <c:pt idx="9">
                  <c:v>84.263469927321552</c:v>
                </c:pt>
                <c:pt idx="10">
                  <c:v>83.503904944202901</c:v>
                </c:pt>
                <c:pt idx="11">
                  <c:v>82.737897454071842</c:v>
                </c:pt>
                <c:pt idx="12">
                  <c:v>81.966041968950407</c:v>
                </c:pt>
                <c:pt idx="13">
                  <c:v>81.189939714436562</c:v>
                </c:pt>
                <c:pt idx="14">
                  <c:v>80.409705513733925</c:v>
                </c:pt>
                <c:pt idx="15">
                  <c:v>79.626260525483872</c:v>
                </c:pt>
                <c:pt idx="16">
                  <c:v>78.840068579964381</c:v>
                </c:pt>
                <c:pt idx="17">
                  <c:v>78.051686099733985</c:v>
                </c:pt>
                <c:pt idx="18">
                  <c:v>77.261257677661888</c:v>
                </c:pt>
                <c:pt idx="19">
                  <c:v>76.46930897543406</c:v>
                </c:pt>
                <c:pt idx="20">
                  <c:v>75.675944475149763</c:v>
                </c:pt>
                <c:pt idx="21">
                  <c:v>74.8815451404745</c:v>
                </c:pt>
                <c:pt idx="22">
                  <c:v>74.086124058933322</c:v>
                </c:pt>
                <c:pt idx="23">
                  <c:v>73.290030313565836</c:v>
                </c:pt>
                <c:pt idx="24">
                  <c:v>72.493187997574054</c:v>
                </c:pt>
                <c:pt idx="25">
                  <c:v>71.695825644864172</c:v>
                </c:pt>
                <c:pt idx="26">
                  <c:v>70.897844753894944</c:v>
                </c:pt>
                <c:pt idx="27">
                  <c:v>70.099571747394918</c:v>
                </c:pt>
                <c:pt idx="28">
                  <c:v>69.301035624001656</c:v>
                </c:pt>
                <c:pt idx="29">
                  <c:v>68.502782239799799</c:v>
                </c:pt>
                <c:pt idx="30">
                  <c:v>67.70350249262782</c:v>
                </c:pt>
                <c:pt idx="31">
                  <c:v>66.904346622602716</c:v>
                </c:pt>
                <c:pt idx="32">
                  <c:v>66.104800032663206</c:v>
                </c:pt>
                <c:pt idx="33">
                  <c:v>65.305454731248304</c:v>
                </c:pt>
                <c:pt idx="34">
                  <c:v>64.505712097570921</c:v>
                </c:pt>
                <c:pt idx="35">
                  <c:v>63.706036084330748</c:v>
                </c:pt>
                <c:pt idx="36">
                  <c:v>62.906314648624075</c:v>
                </c:pt>
                <c:pt idx="37">
                  <c:v>62.106124083110402</c:v>
                </c:pt>
                <c:pt idx="38">
                  <c:v>61.306230175399477</c:v>
                </c:pt>
                <c:pt idx="39">
                  <c:v>60.505988941972177</c:v>
                </c:pt>
                <c:pt idx="40">
                  <c:v>59.705699836489586</c:v>
                </c:pt>
                <c:pt idx="41">
                  <c:v>58.905286865997112</c:v>
                </c:pt>
                <c:pt idx="42">
                  <c:v>58.104848726586631</c:v>
                </c:pt>
                <c:pt idx="43">
                  <c:v>57.30413355763244</c:v>
                </c:pt>
                <c:pt idx="44">
                  <c:v>56.503332096268899</c:v>
                </c:pt>
                <c:pt idx="45">
                  <c:v>55.70225444072954</c:v>
                </c:pt>
                <c:pt idx="46">
                  <c:v>54.901027035571914</c:v>
                </c:pt>
                <c:pt idx="47">
                  <c:v>54.099434022963997</c:v>
                </c:pt>
                <c:pt idx="48">
                  <c:v>53.297620071476608</c:v>
                </c:pt>
                <c:pt idx="49">
                  <c:v>52.495316937695698</c:v>
                </c:pt>
                <c:pt idx="50">
                  <c:v>51.69257225699198</c:v>
                </c:pt>
                <c:pt idx="51">
                  <c:v>50.889107894392183</c:v>
                </c:pt>
                <c:pt idx="52">
                  <c:v>50.08507163504418</c:v>
                </c:pt>
                <c:pt idx="53">
                  <c:v>49.280304700096053</c:v>
                </c:pt>
                <c:pt idx="54">
                  <c:v>48.475157433045062</c:v>
                </c:pt>
                <c:pt idx="55">
                  <c:v>47.668090761945777</c:v>
                </c:pt>
                <c:pt idx="56">
                  <c:v>46.860023912762088</c:v>
                </c:pt>
                <c:pt idx="57">
                  <c:v>46.050166860096112</c:v>
                </c:pt>
                <c:pt idx="58">
                  <c:v>45.238816516427832</c:v>
                </c:pt>
                <c:pt idx="59">
                  <c:v>44.425024445263155</c:v>
                </c:pt>
                <c:pt idx="60">
                  <c:v>43.608879856871198</c:v>
                </c:pt>
                <c:pt idx="61">
                  <c:v>42.789843237476212</c:v>
                </c:pt>
                <c:pt idx="62">
                  <c:v>41.967008654255828</c:v>
                </c:pt>
                <c:pt idx="63">
                  <c:v>41.140653212991253</c:v>
                </c:pt>
                <c:pt idx="64">
                  <c:v>40.30956944039999</c:v>
                </c:pt>
                <c:pt idx="65">
                  <c:v>39.473504782350005</c:v>
                </c:pt>
                <c:pt idx="66">
                  <c:v>38.631820634097103</c:v>
                </c:pt>
                <c:pt idx="67">
                  <c:v>37.784094196470598</c:v>
                </c:pt>
                <c:pt idx="68">
                  <c:v>36.92960131407105</c:v>
                </c:pt>
                <c:pt idx="69">
                  <c:v>36.068205314570243</c:v>
                </c:pt>
                <c:pt idx="70">
                  <c:v>35.199532606304516</c:v>
                </c:pt>
                <c:pt idx="71">
                  <c:v>34.323775762530843</c:v>
                </c:pt>
                <c:pt idx="72">
                  <c:v>33.441028504494057</c:v>
                </c:pt>
                <c:pt idx="73">
                  <c:v>32.552090828549886</c:v>
                </c:pt>
                <c:pt idx="74">
                  <c:v>31.657631833291227</c:v>
                </c:pt>
                <c:pt idx="75">
                  <c:v>30.758982683841232</c:v>
                </c:pt>
                <c:pt idx="76">
                  <c:v>29.857377480961578</c:v>
                </c:pt>
                <c:pt idx="77">
                  <c:v>28.954720164690183</c:v>
                </c:pt>
                <c:pt idx="78">
                  <c:v>28.052665567391671</c:v>
                </c:pt>
                <c:pt idx="79">
                  <c:v>27.153423421864463</c:v>
                </c:pt>
                <c:pt idx="80">
                  <c:v>26.256983841911492</c:v>
                </c:pt>
                <c:pt idx="81">
                  <c:v>25.365883441939438</c:v>
                </c:pt>
                <c:pt idx="82">
                  <c:v>24.480510680051687</c:v>
                </c:pt>
                <c:pt idx="83">
                  <c:v>23.602174401964149</c:v>
                </c:pt>
                <c:pt idx="84">
                  <c:v>22.730565858659656</c:v>
                </c:pt>
                <c:pt idx="85">
                  <c:v>21.866264423071392</c:v>
                </c:pt>
                <c:pt idx="86">
                  <c:v>21.008984660664822</c:v>
                </c:pt>
                <c:pt idx="87">
                  <c:v>20.157933011077304</c:v>
                </c:pt>
                <c:pt idx="88">
                  <c:v>19.313450218925439</c:v>
                </c:pt>
                <c:pt idx="89">
                  <c:v>18.474298413421526</c:v>
                </c:pt>
                <c:pt idx="90">
                  <c:v>17.64019448306653</c:v>
                </c:pt>
                <c:pt idx="91">
                  <c:v>16.810447604983455</c:v>
                </c:pt>
                <c:pt idx="92">
                  <c:v>15.984558533228039</c:v>
                </c:pt>
                <c:pt idx="93">
                  <c:v>15.161691317444214</c:v>
                </c:pt>
                <c:pt idx="94">
                  <c:v>14.956484469240635</c:v>
                </c:pt>
                <c:pt idx="95">
                  <c:v>14.853304156554657</c:v>
                </c:pt>
                <c:pt idx="96">
                  <c:v>14.751341990593321</c:v>
                </c:pt>
                <c:pt idx="97">
                  <c:v>14.648246774188465</c:v>
                </c:pt>
                <c:pt idx="98">
                  <c:v>14.546366506822206</c:v>
                </c:pt>
                <c:pt idx="99">
                  <c:v>14.443326269738527</c:v>
                </c:pt>
                <c:pt idx="100">
                  <c:v>14.341498467202625</c:v>
                </c:pt>
                <c:pt idx="101">
                  <c:v>14.238563106373288</c:v>
                </c:pt>
                <c:pt idx="102">
                  <c:v>14.136836477243271</c:v>
                </c:pt>
                <c:pt idx="103">
                  <c:v>14.033902989159547</c:v>
                </c:pt>
                <c:pt idx="104">
                  <c:v>13.932176912043463</c:v>
                </c:pt>
                <c:pt idx="105">
                  <c:v>13.829298334789966</c:v>
                </c:pt>
                <c:pt idx="106">
                  <c:v>13.727624585552862</c:v>
                </c:pt>
                <c:pt idx="107">
                  <c:v>13.624850080318129</c:v>
                </c:pt>
                <c:pt idx="108">
                  <c:v>13.523276654355572</c:v>
                </c:pt>
                <c:pt idx="109">
                  <c:v>13.420582209883358</c:v>
                </c:pt>
                <c:pt idx="110">
                  <c:v>13.319085633651142</c:v>
                </c:pt>
                <c:pt idx="111">
                  <c:v>13.216382310565999</c:v>
                </c:pt>
                <c:pt idx="112">
                  <c:v>13.114875681764131</c:v>
                </c:pt>
                <c:pt idx="113">
                  <c:v>13.012216193174353</c:v>
                </c:pt>
                <c:pt idx="114">
                  <c:v>12.910750975424126</c:v>
                </c:pt>
                <c:pt idx="115">
                  <c:v>12.808119424635612</c:v>
                </c:pt>
                <c:pt idx="116">
                  <c:v>12.706680061057776</c:v>
                </c:pt>
                <c:pt idx="117">
                  <c:v>12.60406289557406</c:v>
                </c:pt>
                <c:pt idx="118">
                  <c:v>12.502636116429592</c:v>
                </c:pt>
                <c:pt idx="119">
                  <c:v>12.40008377248423</c:v>
                </c:pt>
                <c:pt idx="120">
                  <c:v>12.298718820743426</c:v>
                </c:pt>
                <c:pt idx="121">
                  <c:v>12.196217627979042</c:v>
                </c:pt>
                <c:pt idx="122">
                  <c:v>12.094901118300891</c:v>
                </c:pt>
                <c:pt idx="123">
                  <c:v>11.992380422551506</c:v>
                </c:pt>
                <c:pt idx="124">
                  <c:v>11.891043289700566</c:v>
                </c:pt>
                <c:pt idx="125">
                  <c:v>11.788555050652075</c:v>
                </c:pt>
                <c:pt idx="126">
                  <c:v>11.687248024006717</c:v>
                </c:pt>
                <c:pt idx="127">
                  <c:v>11.584784095280183</c:v>
                </c:pt>
                <c:pt idx="128">
                  <c:v>11.483499177439988</c:v>
                </c:pt>
                <c:pt idx="129">
                  <c:v>11.381052989037407</c:v>
                </c:pt>
                <c:pt idx="130">
                  <c:v>11.279783719922605</c:v>
                </c:pt>
                <c:pt idx="131">
                  <c:v>11.1773501414721</c:v>
                </c:pt>
                <c:pt idx="132">
                  <c:v>11.126575682246768</c:v>
                </c:pt>
                <c:pt idx="133">
                  <c:v>11.076091464804389</c:v>
                </c:pt>
                <c:pt idx="134">
                  <c:v>11.024704263028703</c:v>
                </c:pt>
                <c:pt idx="135">
                  <c:v>10.973614103949288</c:v>
                </c:pt>
                <c:pt idx="136">
                  <c:v>10.922817459951927</c:v>
                </c:pt>
                <c:pt idx="137">
                  <c:v>10.872310865706659</c:v>
                </c:pt>
                <c:pt idx="138">
                  <c:v>10.820954033657291</c:v>
                </c:pt>
                <c:pt idx="139">
                  <c:v>10.769893433275568</c:v>
                </c:pt>
                <c:pt idx="140">
                  <c:v>10.719125550551468</c:v>
                </c:pt>
                <c:pt idx="141">
                  <c:v>10.668646933421712</c:v>
                </c:pt>
                <c:pt idx="142">
                  <c:v>10.617267391180649</c:v>
                </c:pt>
                <c:pt idx="143">
                  <c:v>10.566183867580035</c:v>
                </c:pt>
                <c:pt idx="144">
                  <c:v>10.515392851483991</c:v>
                </c:pt>
                <c:pt idx="145">
                  <c:v>10.464890893617573</c:v>
                </c:pt>
                <c:pt idx="146">
                  <c:v>10.413514747528419</c:v>
                </c:pt>
                <c:pt idx="147">
                  <c:v>10.362434092944028</c:v>
                </c:pt>
                <c:pt idx="148">
                  <c:v>10.311645427052799</c:v>
                </c:pt>
                <c:pt idx="149">
                  <c:v>10.261145308690448</c:v>
                </c:pt>
                <c:pt idx="150">
                  <c:v>10.209772663885765</c:v>
                </c:pt>
                <c:pt idx="151">
                  <c:v>10.158694967981301</c:v>
                </c:pt>
                <c:pt idx="152">
                  <c:v>10.107908726635237</c:v>
                </c:pt>
                <c:pt idx="153">
                  <c:v>10.057410506936657</c:v>
                </c:pt>
                <c:pt idx="154">
                  <c:v>10.006018286130233</c:v>
                </c:pt>
                <c:pt idx="155">
                  <c:v>9.9549207203713692</c:v>
                </c:pt>
                <c:pt idx="156">
                  <c:v>9.9041143192486114</c:v>
                </c:pt>
                <c:pt idx="157">
                  <c:v>9.8535956536713787</c:v>
                </c:pt>
                <c:pt idx="158">
                  <c:v>9.8021862917257447</c:v>
                </c:pt>
                <c:pt idx="159">
                  <c:v>9.7510712463027751</c:v>
                </c:pt>
                <c:pt idx="160">
                  <c:v>9.7002470315770175</c:v>
                </c:pt>
                <c:pt idx="161">
                  <c:v>9.6497102229188929</c:v>
                </c:pt>
                <c:pt idx="162">
                  <c:v>9.5983088979501172</c:v>
                </c:pt>
                <c:pt idx="163">
                  <c:v>9.5472012464691112</c:v>
                </c:pt>
                <c:pt idx="164">
                  <c:v>9.4963837924879186</c:v>
                </c:pt>
                <c:pt idx="165">
                  <c:v>9.4458531209673264</c:v>
                </c:pt>
                <c:pt idx="166">
                  <c:v>9.3944171334881972</c:v>
                </c:pt>
                <c:pt idx="167">
                  <c:v>9.3432746448794362</c:v>
                </c:pt>
                <c:pt idx="168">
                  <c:v>9.2924221805516876</c:v>
                </c:pt>
                <c:pt idx="169">
                  <c:v>9.2418563268146574</c:v>
                </c:pt>
                <c:pt idx="170">
                  <c:v>9.1904977837699384</c:v>
                </c:pt>
                <c:pt idx="171">
                  <c:v>9.1394312724497357</c:v>
                </c:pt>
                <c:pt idx="172">
                  <c:v>9.0886533423786542</c:v>
                </c:pt>
                <c:pt idx="173">
                  <c:v>9.0381606034029449</c:v>
                </c:pt>
                <c:pt idx="174">
                  <c:v>8.9866875175501573</c:v>
                </c:pt>
                <c:pt idx="175">
                  <c:v>8.9355071555776515</c:v>
                </c:pt>
                <c:pt idx="176">
                  <c:v>8.884616052779359</c:v>
                </c:pt>
                <c:pt idx="177">
                  <c:v>8.8340108050855477</c:v>
                </c:pt>
                <c:pt idx="178">
                  <c:v>8.7824541541270928</c:v>
                </c:pt>
                <c:pt idx="179">
                  <c:v>8.7311905437209685</c:v>
                </c:pt>
                <c:pt idx="180">
                  <c:v>8.680216501391758</c:v>
                </c:pt>
                <c:pt idx="181">
                  <c:v>8.6295286154654978</c:v>
                </c:pt>
                <c:pt idx="182">
                  <c:v>8.5781182938996512</c:v>
                </c:pt>
                <c:pt idx="183">
                  <c:v>8.526998706630275</c:v>
                </c:pt>
                <c:pt idx="184">
                  <c:v>8.4761664196710331</c:v>
                </c:pt>
                <c:pt idx="185">
                  <c:v>8.4256180589281744</c:v>
                </c:pt>
                <c:pt idx="186">
                  <c:v>8.3739743358508889</c:v>
                </c:pt>
                <c:pt idx="187">
                  <c:v>8.3226233078333962</c:v>
                </c:pt>
                <c:pt idx="188">
                  <c:v>8.2715615036960735</c:v>
                </c:pt>
                <c:pt idx="189">
                  <c:v>8.2207855130018714</c:v>
                </c:pt>
                <c:pt idx="190">
                  <c:v>8.1693310927338842</c:v>
                </c:pt>
                <c:pt idx="191">
                  <c:v>8.1181665341359981</c:v>
                </c:pt>
                <c:pt idx="192">
                  <c:v>8.0672884135195861</c:v>
                </c:pt>
                <c:pt idx="193">
                  <c:v>8.0166933668228975</c:v>
                </c:pt>
                <c:pt idx="194">
                  <c:v>7.9650626949550336</c:v>
                </c:pt>
                <c:pt idx="195">
                  <c:v>7.9137231428335078</c:v>
                </c:pt>
                <c:pt idx="196">
                  <c:v>7.8626712616822489</c:v>
                </c:pt>
                <c:pt idx="197">
                  <c:v>7.8119036629212779</c:v>
                </c:pt>
                <c:pt idx="198">
                  <c:v>7.7603145884784617</c:v>
                </c:pt>
                <c:pt idx="199">
                  <c:v>7.7090154146904757</c:v>
                </c:pt>
                <c:pt idx="200">
                  <c:v>7.6580027113435758</c:v>
                </c:pt>
                <c:pt idx="201">
                  <c:v>7.6072731079780205</c:v>
                </c:pt>
                <c:pt idx="202">
                  <c:v>7.5557452628912705</c:v>
                </c:pt>
                <c:pt idx="203">
                  <c:v>7.5045058571033296</c:v>
                </c:pt>
                <c:pt idx="204">
                  <c:v>7.4535514830483347</c:v>
                </c:pt>
                <c:pt idx="205">
                  <c:v>7.4028787923800623</c:v>
                </c:pt>
                <c:pt idx="206">
                  <c:v>7.3512545305524242</c:v>
                </c:pt>
                <c:pt idx="207">
                  <c:v>7.2999189796990169</c:v>
                </c:pt>
                <c:pt idx="208">
                  <c:v>7.2488687240714498</c:v>
                </c:pt>
                <c:pt idx="209">
                  <c:v>7.1981004073204877</c:v>
                </c:pt>
                <c:pt idx="210">
                  <c:v>7.1462360503908782</c:v>
                </c:pt>
                <c:pt idx="211">
                  <c:v>7.0946622442359155</c:v>
                </c:pt>
                <c:pt idx="212">
                  <c:v>7.0433755368739632</c:v>
                </c:pt>
                <c:pt idx="213">
                  <c:v>6.9923725365528249</c:v>
                </c:pt>
                <c:pt idx="214">
                  <c:v>6.9406416557204818</c:v>
                </c:pt>
                <c:pt idx="215">
                  <c:v>6.889198963675276</c:v>
                </c:pt>
                <c:pt idx="216">
                  <c:v>6.8380410465190042</c:v>
                </c:pt>
                <c:pt idx="217">
                  <c:v>6.7871645496935535</c:v>
                </c:pt>
                <c:pt idx="218">
                  <c:v>6.735415685288566</c:v>
                </c:pt>
                <c:pt idx="219">
                  <c:v>6.6839543066315503</c:v>
                </c:pt>
                <c:pt idx="220">
                  <c:v>6.632777008276955</c:v>
                </c:pt>
                <c:pt idx="221">
                  <c:v>6.5818804439176501</c:v>
                </c:pt>
                <c:pt idx="222">
                  <c:v>6.5301360098827912</c:v>
                </c:pt>
                <c:pt idx="223">
                  <c:v>6.4786780771616215</c:v>
                </c:pt>
                <c:pt idx="224">
                  <c:v>6.4275032535399372</c:v>
                </c:pt>
                <c:pt idx="225">
                  <c:v>6.3766082056315518</c:v>
                </c:pt>
                <c:pt idx="226">
                  <c:v>6.32473163955326</c:v>
                </c:pt>
                <c:pt idx="227">
                  <c:v>6.2731420613886666</c:v>
                </c:pt>
                <c:pt idx="228">
                  <c:v>6.2218360658703711</c:v>
                </c:pt>
                <c:pt idx="229">
                  <c:v>6.1708103068557776</c:v>
                </c:pt>
                <c:pt idx="230">
                  <c:v>6.0671386092644131</c:v>
                </c:pt>
                <c:pt idx="231">
                  <c:v>6.0157300103321063</c:v>
                </c:pt>
                <c:pt idx="232">
                  <c:v>5.9646017544869423</c:v>
                </c:pt>
                <c:pt idx="233">
                  <c:v>5.9125467363297819</c:v>
                </c:pt>
                <c:pt idx="234">
                  <c:v>5.8607786026347082</c:v>
                </c:pt>
                <c:pt idx="235">
                  <c:v>5.8092939403783941</c:v>
                </c:pt>
                <c:pt idx="236">
                  <c:v>5.7580893958376578</c:v>
                </c:pt>
                <c:pt idx="237">
                  <c:v>5.7061311997574453</c:v>
                </c:pt>
                <c:pt idx="238">
                  <c:v>5.6544577333389334</c:v>
                </c:pt>
                <c:pt idx="239">
                  <c:v>5.6030656167200341</c:v>
                </c:pt>
                <c:pt idx="240">
                  <c:v>5.5519515285739498</c:v>
                </c:pt>
                <c:pt idx="241">
                  <c:v>5.4998159095950117</c:v>
                </c:pt>
                <c:pt idx="242">
                  <c:v>5.4479658253504155</c:v>
                </c:pt>
                <c:pt idx="243">
                  <c:v>5.3963978762988818</c:v>
                </c:pt>
                <c:pt idx="244">
                  <c:v>5.3451087218899174</c:v>
                </c:pt>
                <c:pt idx="245">
                  <c:v>5.2929676786468169</c:v>
                </c:pt>
                <c:pt idx="246">
                  <c:v>5.2411110484500796</c:v>
                </c:pt>
                <c:pt idx="247">
                  <c:v>5.1895354461014787</c:v>
                </c:pt>
                <c:pt idx="248">
                  <c:v>5.1382375450659179</c:v>
                </c:pt>
                <c:pt idx="249">
                  <c:v>5.0859730024326719</c:v>
                </c:pt>
                <c:pt idx="250">
                  <c:v>5.0339929889362445</c:v>
                </c:pt>
                <c:pt idx="251">
                  <c:v>4.9822941114332613</c:v>
                </c:pt>
                <c:pt idx="252">
                  <c:v>4.9308730356317909</c:v>
                </c:pt>
                <c:pt idx="253">
                  <c:v>4.8786469610162166</c:v>
                </c:pt>
                <c:pt idx="254">
                  <c:v>4.8267037257569321</c:v>
                </c:pt>
                <c:pt idx="255">
                  <c:v>4.7750399607067475</c:v>
                </c:pt>
                <c:pt idx="256">
                  <c:v>4.7236523550239458</c:v>
                </c:pt>
                <c:pt idx="257">
                  <c:v>4.6712170376119539</c:v>
                </c:pt>
                <c:pt idx="258">
                  <c:v>4.6190654967971723</c:v>
                </c:pt>
                <c:pt idx="259">
                  <c:v>4.5671943403184585</c:v>
                </c:pt>
                <c:pt idx="260">
                  <c:v>4.5156002347614415</c:v>
                </c:pt>
                <c:pt idx="261">
                  <c:v>4.4631166895087899</c:v>
                </c:pt>
                <c:pt idx="262">
                  <c:v>4.410916061593487</c:v>
                </c:pt>
                <c:pt idx="263">
                  <c:v>4.3589949674359021</c:v>
                </c:pt>
                <c:pt idx="264">
                  <c:v>4.307350082113758</c:v>
                </c:pt>
                <c:pt idx="265">
                  <c:v>4.2548396146408489</c:v>
                </c:pt>
                <c:pt idx="266">
                  <c:v>4.2026109242647305</c:v>
                </c:pt>
                <c:pt idx="267">
                  <c:v>4.1506606408666009</c:v>
                </c:pt>
                <c:pt idx="268">
                  <c:v>4.0989854526879919</c:v>
                </c:pt>
                <c:pt idx="269">
                  <c:v>4.0463438138286758</c:v>
                </c:pt>
                <c:pt idx="270">
                  <c:v>3.9939838709282642</c:v>
                </c:pt>
                <c:pt idx="271">
                  <c:v>3.9419022481159538</c:v>
                </c:pt>
                <c:pt idx="272">
                  <c:v>3.8900956280289667</c:v>
                </c:pt>
                <c:pt idx="273">
                  <c:v>3.83734855913728</c:v>
                </c:pt>
                <c:pt idx="274">
                  <c:v>3.7848827664599307</c:v>
                </c:pt>
                <c:pt idx="275">
                  <c:v>3.7326948741529984</c:v>
                </c:pt>
                <c:pt idx="276">
                  <c:v>3.680781564897861</c:v>
                </c:pt>
                <c:pt idx="277">
                  <c:v>3.6280715104498569</c:v>
                </c:pt>
                <c:pt idx="278">
                  <c:v>3.5756407416723728</c:v>
                </c:pt>
                <c:pt idx="279">
                  <c:v>3.5234859106746832</c:v>
                </c:pt>
                <c:pt idx="280">
                  <c:v>3.4716037274680818</c:v>
                </c:pt>
                <c:pt idx="281">
                  <c:v>3.4185965878963827</c:v>
                </c:pt>
                <c:pt idx="282">
                  <c:v>3.3658702138260561</c:v>
                </c:pt>
                <c:pt idx="283">
                  <c:v>3.3134212227189099</c:v>
                </c:pt>
                <c:pt idx="284">
                  <c:v>3.2612462907600168</c:v>
                </c:pt>
                <c:pt idx="285">
                  <c:v>3.2083181854836411</c:v>
                </c:pt>
                <c:pt idx="286">
                  <c:v>3.1556682876513249</c:v>
                </c:pt>
                <c:pt idx="287">
                  <c:v>3.103293252414248</c:v>
                </c:pt>
                <c:pt idx="288">
                  <c:v>3.051189792804474</c:v>
                </c:pt>
                <c:pt idx="289">
                  <c:v>2.9980176462712009</c:v>
                </c:pt>
                <c:pt idx="290">
                  <c:v>2.9451244774680156</c:v>
                </c:pt>
                <c:pt idx="291">
                  <c:v>2.8925069190488593</c:v>
                </c:pt>
                <c:pt idx="292">
                  <c:v>2.8401616620960546</c:v>
                </c:pt>
                <c:pt idx="293">
                  <c:v>2.7868851680400004</c:v>
                </c:pt>
                <c:pt idx="294">
                  <c:v>2.7338868805111174</c:v>
                </c:pt>
                <c:pt idx="295">
                  <c:v>2.6811634371376725</c:v>
                </c:pt>
                <c:pt idx="296">
                  <c:v>2.6287115338942173</c:v>
                </c:pt>
                <c:pt idx="297">
                  <c:v>2.5753523120205077</c:v>
                </c:pt>
                <c:pt idx="298">
                  <c:v>2.5222702285743748</c:v>
                </c:pt>
                <c:pt idx="299">
                  <c:v>2.4694619312647195</c:v>
                </c:pt>
                <c:pt idx="300">
                  <c:v>2.4169241259502581</c:v>
                </c:pt>
                <c:pt idx="301">
                  <c:v>2.3635019974095708</c:v>
                </c:pt>
                <c:pt idx="302">
                  <c:v>2.3103556639044305</c:v>
                </c:pt>
                <c:pt idx="303">
                  <c:v>2.2574817879604914</c:v>
                </c:pt>
                <c:pt idx="304">
                  <c:v>2.2048770899515198</c:v>
                </c:pt>
                <c:pt idx="305">
                  <c:v>2.1512050557772318</c:v>
                </c:pt>
                <c:pt idx="306">
                  <c:v>2.0978093192132468</c:v>
                </c:pt>
                <c:pt idx="307">
                  <c:v>2.0446865238780969</c:v>
                </c:pt>
                <c:pt idx="308">
                  <c:v>1.9918333717186421</c:v>
                </c:pt>
                <c:pt idx="309">
                  <c:v>1.9381413146564666</c:v>
                </c:pt>
                <c:pt idx="310">
                  <c:v>1.8847236155016402</c:v>
                </c:pt>
                <c:pt idx="311">
                  <c:v>1.8315769430139672</c:v>
                </c:pt>
                <c:pt idx="312">
                  <c:v>1.7786980237493841</c:v>
                </c:pt>
                <c:pt idx="313">
                  <c:v>1.7248036410791301</c:v>
                </c:pt>
                <c:pt idx="314">
                  <c:v>1.6711834583855232</c:v>
                </c:pt>
                <c:pt idx="315">
                  <c:v>1.6178341369559361</c:v>
                </c:pt>
                <c:pt idx="316">
                  <c:v>1.5647523960988345</c:v>
                </c:pt>
                <c:pt idx="317">
                  <c:v>1.5106806509229349</c:v>
                </c:pt>
                <c:pt idx="318">
                  <c:v>1.4568826011817495</c:v>
                </c:pt>
                <c:pt idx="319">
                  <c:v>1.4033549067041498</c:v>
                </c:pt>
                <c:pt idx="320">
                  <c:v>1.3500942854315392</c:v>
                </c:pt>
                <c:pt idx="321">
                  <c:v>1.2958681427964369</c:v>
                </c:pt>
                <c:pt idx="322">
                  <c:v>1.2419148675905789</c:v>
                </c:pt>
                <c:pt idx="323">
                  <c:v>1.1882311238290659</c:v>
                </c:pt>
                <c:pt idx="324">
                  <c:v>1.1348136336055621</c:v>
                </c:pt>
                <c:pt idx="325">
                  <c:v>1.0804541519333493</c:v>
                </c:pt>
                <c:pt idx="326">
                  <c:v>1.0263664089401814</c:v>
                </c:pt>
                <c:pt idx="327">
                  <c:v>0.97254707810178076</c:v>
                </c:pt>
                <c:pt idx="328">
                  <c:v>0.91899289082171642</c:v>
                </c:pt>
                <c:pt idx="329">
                  <c:v>0.86442844791775375</c:v>
                </c:pt>
                <c:pt idx="330">
                  <c:v>0.81013523565996937</c:v>
                </c:pt>
                <c:pt idx="331">
                  <c:v>0.75610992539385424</c:v>
                </c:pt>
                <c:pt idx="332">
                  <c:v>0.70234924651609032</c:v>
                </c:pt>
                <c:pt idx="333">
                  <c:v>0.64769177396398203</c:v>
                </c:pt>
                <c:pt idx="334">
                  <c:v>0.59330382132975223</c:v>
                </c:pt>
                <c:pt idx="335">
                  <c:v>0.53918207969586807</c:v>
                </c:pt>
                <c:pt idx="336">
                  <c:v>0.48532329781853656</c:v>
                </c:pt>
                <c:pt idx="337">
                  <c:v>0.43041381412072865</c:v>
                </c:pt>
                <c:pt idx="338">
                  <c:v>0.37577360949853178</c:v>
                </c:pt>
                <c:pt idx="339">
                  <c:v>0.32139936758437188</c:v>
                </c:pt>
                <c:pt idx="340">
                  <c:v>0.26728782994359856</c:v>
                </c:pt>
                <c:pt idx="341">
                  <c:v>0.21215062080211772</c:v>
                </c:pt>
                <c:pt idx="342">
                  <c:v>0.15728210218799399</c:v>
                </c:pt>
                <c:pt idx="343">
                  <c:v>0.10267895645355747</c:v>
                </c:pt>
                <c:pt idx="344">
                  <c:v>4.8337924007621359E-2</c:v>
                </c:pt>
                <c:pt idx="345">
                  <c:v>-6.9206980844769821E-3</c:v>
                </c:pt>
                <c:pt idx="346">
                  <c:v>-6.19123515747068E-2</c:v>
                </c:pt>
                <c:pt idx="347">
                  <c:v>-0.11664033461567969</c:v>
                </c:pt>
                <c:pt idx="348">
                  <c:v>-0.17110788765634038</c:v>
                </c:pt>
                <c:pt idx="349">
                  <c:v>-0.22663721019414665</c:v>
                </c:pt>
                <c:pt idx="350">
                  <c:v>-0.28189994775105198</c:v>
                </c:pt>
                <c:pt idx="351">
                  <c:v>-0.33689940384565009</c:v>
                </c:pt>
                <c:pt idx="352">
                  <c:v>-0.39163882405970629</c:v>
                </c:pt>
                <c:pt idx="353">
                  <c:v>-0.44741549685473014</c:v>
                </c:pt>
                <c:pt idx="354">
                  <c:v>-0.50292630823043627</c:v>
                </c:pt>
                <c:pt idx="355">
                  <c:v>-0.55817456093078022</c:v>
                </c:pt>
                <c:pt idx="356">
                  <c:v>-0.61316349966428541</c:v>
                </c:pt>
                <c:pt idx="357">
                  <c:v>-0.66908678570147428</c:v>
                </c:pt>
                <c:pt idx="358">
                  <c:v>-0.72474599685146335</c:v>
                </c:pt>
                <c:pt idx="359">
                  <c:v>-0.78014441540907586</c:v>
                </c:pt>
                <c:pt idx="360">
                  <c:v>-0.83528526598668784</c:v>
                </c:pt>
                <c:pt idx="361">
                  <c:v>-0.89149586097886246</c:v>
                </c:pt>
                <c:pt idx="362">
                  <c:v>-0.94744294720281408</c:v>
                </c:pt>
                <c:pt idx="363">
                  <c:v>-1.0031298092329008</c:v>
                </c:pt>
                <c:pt idx="364">
                  <c:v>-1.0585596737740068</c:v>
                </c:pt>
                <c:pt idx="365">
                  <c:v>-1.1149589861121931</c:v>
                </c:pt>
                <c:pt idx="366">
                  <c:v>-1.171096390884572</c:v>
                </c:pt>
                <c:pt idx="367">
                  <c:v>-1.226975155676568</c:v>
                </c:pt>
                <c:pt idx="368">
                  <c:v>-1.282598490459653</c:v>
                </c:pt>
                <c:pt idx="369">
                  <c:v>-1.3393205983562175</c:v>
                </c:pt>
                <c:pt idx="370">
                  <c:v>-1.3957812700601222</c:v>
                </c:pt>
                <c:pt idx="371">
                  <c:v>-1.4519837772351896</c:v>
                </c:pt>
                <c:pt idx="372">
                  <c:v>-1.5079313336831666</c:v>
                </c:pt>
                <c:pt idx="373">
                  <c:v>-1.5648799583675097</c:v>
                </c:pt>
                <c:pt idx="374">
                  <c:v>-1.6215686232091531</c:v>
                </c:pt>
                <c:pt idx="375">
                  <c:v>-1.6780005851054656</c:v>
                </c:pt>
                <c:pt idx="376">
                  <c:v>-1.7341790432766127</c:v>
                </c:pt>
                <c:pt idx="377">
                  <c:v>-1.7914822601373348</c:v>
                </c:pt>
                <c:pt idx="378">
                  <c:v>-1.8485259454038785</c:v>
                </c:pt>
                <c:pt idx="379">
                  <c:v>-1.9053133607573181</c:v>
                </c:pt>
                <c:pt idx="380">
                  <c:v>-1.9618477099155884</c:v>
                </c:pt>
                <c:pt idx="381">
                  <c:v>-2.0193406000215033</c:v>
                </c:pt>
                <c:pt idx="382">
                  <c:v>-2.0765759940731212</c:v>
                </c:pt>
                <c:pt idx="383">
                  <c:v>-2.1335571281952794</c:v>
                </c:pt>
                <c:pt idx="384">
                  <c:v>-2.1902871809698174</c:v>
                </c:pt>
                <c:pt idx="385">
                  <c:v>-2.2481659564564165</c:v>
                </c:pt>
                <c:pt idx="386">
                  <c:v>-2.3057876304267246</c:v>
                </c:pt>
                <c:pt idx="387">
                  <c:v>-2.3631554440944962</c:v>
                </c:pt>
                <c:pt idx="388">
                  <c:v>-2.4202725808152343</c:v>
                </c:pt>
                <c:pt idx="389">
                  <c:v>-2.4784458392376068</c:v>
                </c:pt>
                <c:pt idx="390">
                  <c:v>-2.5363633294081724</c:v>
                </c:pt>
                <c:pt idx="391">
                  <c:v>-2.594028279711853</c:v>
                </c:pt>
                <c:pt idx="392">
                  <c:v>-2.6514438607732926</c:v>
                </c:pt>
                <c:pt idx="393">
                  <c:v>-2.7098943278489656</c:v>
                </c:pt>
                <c:pt idx="394">
                  <c:v>-2.7680906234758136</c:v>
                </c:pt>
                <c:pt idx="395">
                  <c:v>-2.8260359578970808</c:v>
                </c:pt>
                <c:pt idx="396">
                  <c:v>-2.8837334838096189</c:v>
                </c:pt>
                <c:pt idx="397">
                  <c:v>-2.9425780888930535</c:v>
                </c:pt>
                <c:pt idx="398">
                  <c:v>-3.0011692232359271</c:v>
                </c:pt>
                <c:pt idx="399">
                  <c:v>-3.059510095487898</c:v>
                </c:pt>
                <c:pt idx="400">
                  <c:v>-3.1176038565602111</c:v>
                </c:pt>
                <c:pt idx="401">
                  <c:v>-3.1767566716934055</c:v>
                </c:pt>
                <c:pt idx="402">
                  <c:v>-3.2356575782353132</c:v>
                </c:pt>
                <c:pt idx="403">
                  <c:v>-3.2943097665020633</c:v>
                </c:pt>
                <c:pt idx="404">
                  <c:v>-3.3527163692681028</c:v>
                </c:pt>
                <c:pt idx="405">
                  <c:v>-3.4122257860312946</c:v>
                </c:pt>
                <c:pt idx="406">
                  <c:v>-3.4714845571406632</c:v>
                </c:pt>
                <c:pt idx="407">
                  <c:v>-3.530495859715304</c:v>
                </c:pt>
                <c:pt idx="408">
                  <c:v>-3.5892628133953099</c:v>
                </c:pt>
                <c:pt idx="409">
                  <c:v>-3.6491745340055992</c:v>
                </c:pt>
                <c:pt idx="410">
                  <c:v>-3.7088366077027226</c:v>
                </c:pt>
                <c:pt idx="411">
                  <c:v>-3.7682522028296677</c:v>
                </c:pt>
                <c:pt idx="412">
                  <c:v>-3.8274244301952369</c:v>
                </c:pt>
                <c:pt idx="413">
                  <c:v>-3.8877196955560884</c:v>
                </c:pt>
                <c:pt idx="414">
                  <c:v>-3.9477665888319264</c:v>
                </c:pt>
                <c:pt idx="415">
                  <c:v>-4.0075682636885652</c:v>
                </c:pt>
                <c:pt idx="416">
                  <c:v>-4.0671278163329836</c:v>
                </c:pt>
                <c:pt idx="417">
                  <c:v>-4.1278505320029542</c:v>
                </c:pt>
                <c:pt idx="418">
                  <c:v>-4.188325906634927</c:v>
                </c:pt>
                <c:pt idx="419">
                  <c:v>-4.2485570831008177</c:v>
                </c:pt>
                <c:pt idx="420">
                  <c:v>-4.308547146783849</c:v>
                </c:pt>
                <c:pt idx="421">
                  <c:v>-4.3696189350690222</c:v>
                </c:pt>
                <c:pt idx="422">
                  <c:v>-4.4304451596256254</c:v>
                </c:pt>
                <c:pt idx="423">
                  <c:v>-4.4910289375287213</c:v>
                </c:pt>
                <c:pt idx="424">
                  <c:v>-4.5513733286895537</c:v>
                </c:pt>
                <c:pt idx="425">
                  <c:v>-4.612957418201832</c:v>
                </c:pt>
                <c:pt idx="426">
                  <c:v>-4.6742965205780438</c:v>
                </c:pt>
                <c:pt idx="427">
                  <c:v>-4.7353937489846807</c:v>
                </c:pt>
                <c:pt idx="428">
                  <c:v>-4.7962521592044602</c:v>
                </c:pt>
                <c:pt idx="429">
                  <c:v>-4.858269632447783</c:v>
                </c:pt>
                <c:pt idx="430">
                  <c:v>-4.9200434408904856</c:v>
                </c:pt>
                <c:pt idx="431">
                  <c:v>-4.9815766786324183</c:v>
                </c:pt>
                <c:pt idx="432">
                  <c:v>-5.0428723825302137</c:v>
                </c:pt>
                <c:pt idx="433">
                  <c:v>-5.1053068798827814</c:v>
                </c:pt>
                <c:pt idx="434">
                  <c:v>-5.1674992615790476</c:v>
                </c:pt>
                <c:pt idx="435">
                  <c:v>-5.2294525972667412</c:v>
                </c:pt>
                <c:pt idx="436">
                  <c:v>-5.2911698996151424</c:v>
                </c:pt>
                <c:pt idx="437">
                  <c:v>-5.3541192438372933</c:v>
                </c:pt>
                <c:pt idx="438">
                  <c:v>-5.4168273640462878</c:v>
                </c:pt>
                <c:pt idx="439">
                  <c:v>-5.4792973167343195</c:v>
                </c:pt>
                <c:pt idx="440">
                  <c:v>-5.5415321013929404</c:v>
                </c:pt>
                <c:pt idx="441">
                  <c:v>-5.6049777141247024</c:v>
                </c:pt>
                <c:pt idx="442">
                  <c:v>-5.6681832415944111</c:v>
                </c:pt>
                <c:pt idx="443">
                  <c:v>-5.7311517211936094</c:v>
                </c:pt>
                <c:pt idx="444">
                  <c:v>-5.7938861334304628</c:v>
                </c:pt>
                <c:pt idx="445">
                  <c:v>-5.8578109961939919</c:v>
                </c:pt>
                <c:pt idx="446">
                  <c:v>-5.9214971329832782</c:v>
                </c:pt>
                <c:pt idx="447">
                  <c:v>-5.9849475565806465</c:v>
                </c:pt>
                <c:pt idx="448">
                  <c:v>-6.0481652231336902</c:v>
                </c:pt>
                <c:pt idx="449">
                  <c:v>-6.11266150918539</c:v>
                </c:pt>
                <c:pt idx="450">
                  <c:v>-6.1769198325199079</c:v>
                </c:pt>
                <c:pt idx="451">
                  <c:v>-6.2409431911271174</c:v>
                </c:pt>
                <c:pt idx="452">
                  <c:v>-6.3047345263604893</c:v>
                </c:pt>
                <c:pt idx="453">
                  <c:v>-6.3697302326959448</c:v>
                </c:pt>
                <c:pt idx="454">
                  <c:v>-6.4344893579042299</c:v>
                </c:pt>
                <c:pt idx="455">
                  <c:v>-6.4990148720286456</c:v>
                </c:pt>
                <c:pt idx="456">
                  <c:v>-6.5633096888011631</c:v>
                </c:pt>
                <c:pt idx="457">
                  <c:v>-6.6288943335140251</c:v>
                </c:pt>
                <c:pt idx="458">
                  <c:v>-6.6942432059845682</c:v>
                </c:pt>
                <c:pt idx="459">
                  <c:v>-6.7593592574818206</c:v>
                </c:pt>
                <c:pt idx="460">
                  <c:v>-6.8242453830561853</c:v>
                </c:pt>
                <c:pt idx="461">
                  <c:v>-6.8904006427608264</c:v>
                </c:pt>
                <c:pt idx="462">
                  <c:v>-6.9563211503107638</c:v>
                </c:pt>
                <c:pt idx="463">
                  <c:v>-7.0220098325769529</c:v>
                </c:pt>
                <c:pt idx="464">
                  <c:v>-7.0874695604465519</c:v>
                </c:pt>
                <c:pt idx="465">
                  <c:v>-7.1542293726929982</c:v>
                </c:pt>
                <c:pt idx="466">
                  <c:v>-7.2207552831582023</c:v>
                </c:pt>
                <c:pt idx="467">
                  <c:v>-7.287050195749794</c:v>
                </c:pt>
                <c:pt idx="468">
                  <c:v>-7.3531169585925626</c:v>
                </c:pt>
                <c:pt idx="469">
                  <c:v>-7.4204635660688458</c:v>
                </c:pt>
                <c:pt idx="470">
                  <c:v>-7.487577309898712</c:v>
                </c:pt>
                <c:pt idx="471">
                  <c:v>-7.5544610657651825</c:v>
                </c:pt>
                <c:pt idx="472">
                  <c:v>-7.6211176539086081</c:v>
                </c:pt>
                <c:pt idx="473">
                  <c:v>-7.6891335598009256</c:v>
                </c:pt>
                <c:pt idx="474">
                  <c:v>-7.756917129900768</c:v>
                </c:pt>
                <c:pt idx="475">
                  <c:v>-7.8244712192448853</c:v>
                </c:pt>
                <c:pt idx="476">
                  <c:v>-7.891798627580533</c:v>
                </c:pt>
                <c:pt idx="477">
                  <c:v>-7.960464545654987</c:v>
                </c:pt>
                <c:pt idx="478">
                  <c:v>-8.0288988458527921</c:v>
                </c:pt>
                <c:pt idx="479">
                  <c:v>-8.0971043571598056</c:v>
                </c:pt>
                <c:pt idx="480">
                  <c:v>-8.1650838535740338</c:v>
                </c:pt>
                <c:pt idx="481">
                  <c:v>-8.2343817747315189</c:v>
                </c:pt>
                <c:pt idx="482">
                  <c:v>-8.3034489604162918</c:v>
                </c:pt>
                <c:pt idx="483">
                  <c:v>-8.3722882086779649</c:v>
                </c:pt>
                <c:pt idx="484">
                  <c:v>-8.4409022630196375</c:v>
                </c:pt>
                <c:pt idx="485">
                  <c:v>-8.510862891483665</c:v>
                </c:pt>
                <c:pt idx="486">
                  <c:v>-8.5805934959247505</c:v>
                </c:pt>
                <c:pt idx="487">
                  <c:v>-8.6500968446863844</c:v>
                </c:pt>
                <c:pt idx="488">
                  <c:v>-8.7193756519919443</c:v>
                </c:pt>
                <c:pt idx="489">
                  <c:v>-8.7900752264649231</c:v>
                </c:pt>
                <c:pt idx="490">
                  <c:v>-8.8605450221196396</c:v>
                </c:pt>
                <c:pt idx="491">
                  <c:v>-8.9307877840456822</c:v>
                </c:pt>
                <c:pt idx="492">
                  <c:v>-9.0008062034906509</c:v>
                </c:pt>
                <c:pt idx="493">
                  <c:v>-9.0722245590384283</c:v>
                </c:pt>
                <c:pt idx="494">
                  <c:v>-9.1434135436486379</c:v>
                </c:pt>
                <c:pt idx="495">
                  <c:v>-9.2143758742964756</c:v>
                </c:pt>
                <c:pt idx="496">
                  <c:v>-9.2851142145425882</c:v>
                </c:pt>
                <c:pt idx="497">
                  <c:v>-9.3572780663930022</c:v>
                </c:pt>
                <c:pt idx="498">
                  <c:v>-9.4292128050202724</c:v>
                </c:pt>
                <c:pt idx="499">
                  <c:v>-9.5009211200514159</c:v>
                </c:pt>
                <c:pt idx="500">
                  <c:v>-9.5724056481333228</c:v>
                </c:pt>
                <c:pt idx="501">
                  <c:v>-9.6453404582004545</c:v>
                </c:pt>
                <c:pt idx="502">
                  <c:v>-9.7180462678809842</c:v>
                </c:pt>
                <c:pt idx="503">
                  <c:v>-9.7905257401303007</c:v>
                </c:pt>
                <c:pt idx="504">
                  <c:v>-9.8627814853710092</c:v>
                </c:pt>
                <c:pt idx="505">
                  <c:v>-9.9364668854036395</c:v>
                </c:pt>
                <c:pt idx="506">
                  <c:v>-10.009923533501066</c:v>
                </c:pt>
                <c:pt idx="507">
                  <c:v>-10.08315406182307</c:v>
                </c:pt>
                <c:pt idx="508">
                  <c:v>-10.156161050587233</c:v>
                </c:pt>
                <c:pt idx="509">
                  <c:v>-10.230621743693471</c:v>
                </c:pt>
                <c:pt idx="510">
                  <c:v>-10.304853778316685</c:v>
                </c:pt>
                <c:pt idx="511">
                  <c:v>-10.378859756853904</c:v>
                </c:pt>
                <c:pt idx="512">
                  <c:v>-10.452642230362612</c:v>
                </c:pt>
                <c:pt idx="513">
                  <c:v>-10.527945233906665</c:v>
                </c:pt>
                <c:pt idx="514">
                  <c:v>-10.603019258913776</c:v>
                </c:pt>
                <c:pt idx="515">
                  <c:v>-10.677866883459433</c:v>
                </c:pt>
                <c:pt idx="516">
                  <c:v>-10.75249063478315</c:v>
                </c:pt>
                <c:pt idx="517">
                  <c:v>-10.82861366080008</c:v>
                </c:pt>
                <c:pt idx="518">
                  <c:v>-10.904507518208767</c:v>
                </c:pt>
                <c:pt idx="519">
                  <c:v>-10.980174757087749</c:v>
                </c:pt>
                <c:pt idx="520">
                  <c:v>-11.055617877327252</c:v>
                </c:pt>
                <c:pt idx="521">
                  <c:v>-11.132582093982922</c:v>
                </c:pt>
                <c:pt idx="522">
                  <c:v>-11.209316810670245</c:v>
                </c:pt>
                <c:pt idx="523">
                  <c:v>-11.285824550540495</c:v>
                </c:pt>
                <c:pt idx="524">
                  <c:v>-11.362107787229032</c:v>
                </c:pt>
                <c:pt idx="525">
                  <c:v>-11.439933233386945</c:v>
                </c:pt>
                <c:pt idx="526">
                  <c:v>-11.517528711460198</c:v>
                </c:pt>
                <c:pt idx="527">
                  <c:v>-11.594896718808489</c:v>
                </c:pt>
                <c:pt idx="528">
                  <c:v>-11.672039703975578</c:v>
                </c:pt>
                <c:pt idx="529">
                  <c:v>-11.750745318320245</c:v>
                </c:pt>
                <c:pt idx="530">
                  <c:v>-11.829220364349773</c:v>
                </c:pt>
                <c:pt idx="531">
                  <c:v>-11.907467314861131</c:v>
                </c:pt>
                <c:pt idx="532">
                  <c:v>-11.985488594565492</c:v>
                </c:pt>
                <c:pt idx="533">
                  <c:v>-12.065133280935186</c:v>
                </c:pt>
                <c:pt idx="534">
                  <c:v>-12.144546433943134</c:v>
                </c:pt>
                <c:pt idx="535">
                  <c:v>-12.223730506930593</c:v>
                </c:pt>
                <c:pt idx="536">
                  <c:v>-12.302687905818409</c:v>
                </c:pt>
                <c:pt idx="537">
                  <c:v>-12.383205946019435</c:v>
                </c:pt>
                <c:pt idx="538">
                  <c:v>-12.463491846079327</c:v>
                </c:pt>
                <c:pt idx="539">
                  <c:v>-12.543548033763052</c:v>
                </c:pt>
                <c:pt idx="540">
                  <c:v>-12.623376890309718</c:v>
                </c:pt>
                <c:pt idx="541">
                  <c:v>-12.704865719434991</c:v>
                </c:pt>
                <c:pt idx="542">
                  <c:v>-12.786121214176287</c:v>
                </c:pt>
                <c:pt idx="543">
                  <c:v>-12.867145785769798</c:v>
                </c:pt>
                <c:pt idx="544">
                  <c:v>-12.947941799667062</c:v>
                </c:pt>
                <c:pt idx="545">
                  <c:v>-13.030375242084309</c:v>
                </c:pt>
                <c:pt idx="546">
                  <c:v>-13.112574284012437</c:v>
                </c:pt>
                <c:pt idx="547">
                  <c:v>-13.19454131828801</c:v>
                </c:pt>
                <c:pt idx="548">
                  <c:v>-13.276278692834374</c:v>
                </c:pt>
                <c:pt idx="549">
                  <c:v>-13.359670665573164</c:v>
                </c:pt>
                <c:pt idx="550">
                  <c:v>-13.442827069336046</c:v>
                </c:pt>
                <c:pt idx="551">
                  <c:v>-13.525750280639436</c:v>
                </c:pt>
                <c:pt idx="552">
                  <c:v>-13.608442631992981</c:v>
                </c:pt>
                <c:pt idx="553">
                  <c:v>-13.692844915592477</c:v>
                </c:pt>
                <c:pt idx="554">
                  <c:v>-13.777010150946094</c:v>
                </c:pt>
                <c:pt idx="555">
                  <c:v>-13.860940703798384</c:v>
                </c:pt>
                <c:pt idx="556">
                  <c:v>-13.944638896751606</c:v>
                </c:pt>
                <c:pt idx="557">
                  <c:v>-14.115247203659544</c:v>
                </c:pt>
                <c:pt idx="558">
                  <c:v>-14.284910496932426</c:v>
                </c:pt>
                <c:pt idx="559">
                  <c:v>-14.457504084276238</c:v>
                </c:pt>
                <c:pt idx="560">
                  <c:v>-14.629147006348974</c:v>
                </c:pt>
                <c:pt idx="561">
                  <c:v>-14.803896636475038</c:v>
                </c:pt>
                <c:pt idx="562">
                  <c:v>-14.97768808947006</c:v>
                </c:pt>
                <c:pt idx="563">
                  <c:v>-15.154238771158317</c:v>
                </c:pt>
                <c:pt idx="564">
                  <c:v>-15.32982767922049</c:v>
                </c:pt>
                <c:pt idx="565">
                  <c:v>-15.508863839160444</c:v>
                </c:pt>
                <c:pt idx="566">
                  <c:v>-15.686927300962237</c:v>
                </c:pt>
                <c:pt idx="567">
                  <c:v>-15.868379739250273</c:v>
                </c:pt>
                <c:pt idx="568">
                  <c:v>-16.048849531836819</c:v>
                </c:pt>
                <c:pt idx="569">
                  <c:v>-16.231935651115556</c:v>
                </c:pt>
                <c:pt idx="570">
                  <c:v>-16.414037842782335</c:v>
                </c:pt>
                <c:pt idx="571">
                  <c:v>-16.600133577834029</c:v>
                </c:pt>
                <c:pt idx="572">
                  <c:v>-16.785229690949638</c:v>
                </c:pt>
                <c:pt idx="573">
                  <c:v>-16.972849366667454</c:v>
                </c:pt>
                <c:pt idx="574">
                  <c:v>-17.159470065403536</c:v>
                </c:pt>
                <c:pt idx="575">
                  <c:v>-17.349964711392044</c:v>
                </c:pt>
                <c:pt idx="576">
                  <c:v>-17.539447210953099</c:v>
                </c:pt>
                <c:pt idx="577">
                  <c:v>-18.330861217630762</c:v>
                </c:pt>
                <c:pt idx="578">
                  <c:v>-19.105856946467668</c:v>
                </c:pt>
                <c:pt idx="579">
                  <c:v>-20.752828490426602</c:v>
                </c:pt>
                <c:pt idx="580">
                  <c:v>-22.490971345565349</c:v>
                </c:pt>
                <c:pt idx="581">
                  <c:v>-24.329593352614154</c:v>
                </c:pt>
                <c:pt idx="582">
                  <c:v>-26.289087346155782</c:v>
                </c:pt>
                <c:pt idx="583">
                  <c:v>-28.401976235778616</c:v>
                </c:pt>
                <c:pt idx="584">
                  <c:v>-30.734378735767706</c:v>
                </c:pt>
                <c:pt idx="585">
                  <c:v>-33.417174234869108</c:v>
                </c:pt>
                <c:pt idx="586">
                  <c:v>-36.749177293466062</c:v>
                </c:pt>
                <c:pt idx="587">
                  <c:v>-41.522746445858331</c:v>
                </c:pt>
                <c:pt idx="588">
                  <c:v>-50.885558740230636</c:v>
                </c:pt>
                <c:pt idx="589">
                  <c:v>-56.030863351210471</c:v>
                </c:pt>
                <c:pt idx="590">
                  <c:v>-47.631183868854947</c:v>
                </c:pt>
                <c:pt idx="591">
                  <c:v>-46.192236762662937</c:v>
                </c:pt>
                <c:pt idx="592">
                  <c:v>-46.785357848342827</c:v>
                </c:pt>
                <c:pt idx="593">
                  <c:v>-48.376656529163199</c:v>
                </c:pt>
                <c:pt idx="594">
                  <c:v>-50.850021402275587</c:v>
                </c:pt>
                <c:pt idx="595">
                  <c:v>-55.317585923064421</c:v>
                </c:pt>
                <c:pt idx="596">
                  <c:v>-74.01401331444643</c:v>
                </c:pt>
                <c:pt idx="597">
                  <c:v>-60.086840022431538</c:v>
                </c:pt>
                <c:pt idx="598">
                  <c:v>-58.25935887402543</c:v>
                </c:pt>
                <c:pt idx="599">
                  <c:v>-59.932975223029679</c:v>
                </c:pt>
                <c:pt idx="600">
                  <c:v>-66.448692288296471</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-10.25838103041032</c:v>
                </c:pt>
                <c:pt idx="1">
                  <c:v>-63.267584202650703</c:v>
                </c:pt>
                <c:pt idx="2">
                  <c:v>-65.331279272593051</c:v>
                </c:pt>
                <c:pt idx="3">
                  <c:v>-67.275066498806865</c:v>
                </c:pt>
                <c:pt idx="4">
                  <c:v>-69.09646601762843</c:v>
                </c:pt>
                <c:pt idx="5">
                  <c:v>-70.79920255604425</c:v>
                </c:pt>
                <c:pt idx="6">
                  <c:v>-72.383203191989665</c:v>
                </c:pt>
                <c:pt idx="7">
                  <c:v>-73.853311632309058</c:v>
                </c:pt>
                <c:pt idx="8">
                  <c:v>-75.21323461866308</c:v>
                </c:pt>
                <c:pt idx="9">
                  <c:v>-76.469444843731011</c:v>
                </c:pt>
                <c:pt idx="10">
                  <c:v>-77.62704798202887</c:v>
                </c:pt>
                <c:pt idx="11">
                  <c:v>-78.692310704290847</c:v>
                </c:pt>
                <c:pt idx="12">
                  <c:v>-79.671856009823458</c:v>
                </c:pt>
                <c:pt idx="13">
                  <c:v>-80.570784383413056</c:v>
                </c:pt>
                <c:pt idx="14">
                  <c:v>-81.395711800118136</c:v>
                </c:pt>
                <c:pt idx="15">
                  <c:v>-82.151943739281734</c:v>
                </c:pt>
                <c:pt idx="16">
                  <c:v>-82.844927928940777</c:v>
                </c:pt>
                <c:pt idx="17">
                  <c:v>-83.479661870316875</c:v>
                </c:pt>
                <c:pt idx="18">
                  <c:v>-84.06110610602336</c:v>
                </c:pt>
                <c:pt idx="19">
                  <c:v>-84.593569149018336</c:v>
                </c:pt>
                <c:pt idx="20">
                  <c:v>-85.08132296464477</c:v>
                </c:pt>
                <c:pt idx="21">
                  <c:v>-85.528137922351959</c:v>
                </c:pt>
                <c:pt idx="22">
                  <c:v>-85.937696490849888</c:v>
                </c:pt>
                <c:pt idx="23">
                  <c:v>-86.313218004670588</c:v>
                </c:pt>
                <c:pt idx="24">
                  <c:v>-86.657867541530223</c:v>
                </c:pt>
                <c:pt idx="25">
                  <c:v>-86.974422492313636</c:v>
                </c:pt>
                <c:pt idx="26">
                  <c:v>-87.265568598744125</c:v>
                </c:pt>
                <c:pt idx="27">
                  <c:v>-87.533629066743046</c:v>
                </c:pt>
                <c:pt idx="28">
                  <c:v>-87.780856507364717</c:v>
                </c:pt>
                <c:pt idx="29">
                  <c:v>-88.009186920541609</c:v>
                </c:pt>
                <c:pt idx="30">
                  <c:v>-88.220914025717789</c:v>
                </c:pt>
                <c:pt idx="31">
                  <c:v>-88.417505293990942</c:v>
                </c:pt>
                <c:pt idx="32">
                  <c:v>-88.600752285558485</c:v>
                </c:pt>
                <c:pt idx="33">
                  <c:v>-88.772071062512509</c:v>
                </c:pt>
                <c:pt idx="34">
                  <c:v>-88.93304095395456</c:v>
                </c:pt>
                <c:pt idx="35">
                  <c:v>-89.084927764234592</c:v>
                </c:pt>
                <c:pt idx="36">
                  <c:v>-89.229040669719694</c:v>
                </c:pt>
                <c:pt idx="37">
                  <c:v>-89.366669814618248</c:v>
                </c:pt>
                <c:pt idx="38">
                  <c:v>-89.498844995989288</c:v>
                </c:pt>
                <c:pt idx="39">
                  <c:v>-89.626788592633332</c:v>
                </c:pt>
                <c:pt idx="40">
                  <c:v>-89.751527452649185</c:v>
                </c:pt>
                <c:pt idx="41">
                  <c:v>-89.874120309066001</c:v>
                </c:pt>
                <c:pt idx="42">
                  <c:v>-89.99557706806138</c:v>
                </c:pt>
                <c:pt idx="43">
                  <c:v>-90.116946633876864</c:v>
                </c:pt>
                <c:pt idx="44">
                  <c:v>-90.239203797274982</c:v>
                </c:pt>
                <c:pt idx="45">
                  <c:v>-90.363381139590089</c:v>
                </c:pt>
                <c:pt idx="46">
                  <c:v>-90.490468336177685</c:v>
                </c:pt>
                <c:pt idx="47">
                  <c:v>-90.621520364534348</c:v>
                </c:pt>
                <c:pt idx="48">
                  <c:v>-90.757549771637258</c:v>
                </c:pt>
                <c:pt idx="49">
                  <c:v>-90.899657725271879</c:v>
                </c:pt>
                <c:pt idx="50">
                  <c:v>-91.048913613865167</c:v>
                </c:pt>
                <c:pt idx="51">
                  <c:v>-91.206469772599846</c:v>
                </c:pt>
                <c:pt idx="52">
                  <c:v>-91.373416054587537</c:v>
                </c:pt>
                <c:pt idx="53">
                  <c:v>-91.55091377860019</c:v>
                </c:pt>
                <c:pt idx="54">
                  <c:v>-91.740006778275003</c:v>
                </c:pt>
                <c:pt idx="55">
                  <c:v>-91.942184828194058</c:v>
                </c:pt>
                <c:pt idx="56">
                  <c:v>-92.158318822343432</c:v>
                </c:pt>
                <c:pt idx="57">
                  <c:v>-92.389644976752663</c:v>
                </c:pt>
                <c:pt idx="58">
                  <c:v>-92.636998791780499</c:v>
                </c:pt>
                <c:pt idx="59">
                  <c:v>-92.901436348412744</c:v>
                </c:pt>
                <c:pt idx="60">
                  <c:v>-93.183480058144468</c:v>
                </c:pt>
                <c:pt idx="61">
                  <c:v>-93.483556744917578</c:v>
                </c:pt>
                <c:pt idx="62">
                  <c:v>-93.801859561411248</c:v>
                </c:pt>
                <c:pt idx="63">
                  <c:v>-94.137625303215046</c:v>
                </c:pt>
                <c:pt idx="64">
                  <c:v>-94.490056790681834</c:v>
                </c:pt>
                <c:pt idx="65">
                  <c:v>-94.857229861248911</c:v>
                </c:pt>
                <c:pt idx="66">
                  <c:v>-95.236515859697803</c:v>
                </c:pt>
                <c:pt idx="67">
                  <c:v>-95.624230054528951</c:v>
                </c:pt>
                <c:pt idx="68">
                  <c:v>-96.015811740777593</c:v>
                </c:pt>
                <c:pt idx="69">
                  <c:v>-96.405430911106961</c:v>
                </c:pt>
                <c:pt idx="70">
                  <c:v>-96.786471506928095</c:v>
                </c:pt>
                <c:pt idx="71">
                  <c:v>-97.151396336503637</c:v>
                </c:pt>
                <c:pt idx="72">
                  <c:v>-97.492388448723332</c:v>
                </c:pt>
                <c:pt idx="73">
                  <c:v>-97.801499118354911</c:v>
                </c:pt>
                <c:pt idx="74">
                  <c:v>-98.071533801159433</c:v>
                </c:pt>
                <c:pt idx="75">
                  <c:v>-98.296377246156879</c:v>
                </c:pt>
                <c:pt idx="76">
                  <c:v>-98.471792186455232</c:v>
                </c:pt>
                <c:pt idx="77">
                  <c:v>-98.595704960104456</c:v>
                </c:pt>
                <c:pt idx="78">
                  <c:v>-98.668676124110888</c:v>
                </c:pt>
                <c:pt idx="79">
                  <c:v>-98.693857299442641</c:v>
                </c:pt>
                <c:pt idx="80">
                  <c:v>-98.67681887795257</c:v>
                </c:pt>
                <c:pt idx="81">
                  <c:v>-98.625101046423396</c:v>
                </c:pt>
                <c:pt idx="82">
                  <c:v>-98.547698478201241</c:v>
                </c:pt>
                <c:pt idx="83">
                  <c:v>-98.454558291777971</c:v>
                </c:pt>
                <c:pt idx="84">
                  <c:v>-98.355799332390973</c:v>
                </c:pt>
                <c:pt idx="85">
                  <c:v>-98.261478670355302</c:v>
                </c:pt>
                <c:pt idx="86">
                  <c:v>-98.181039335595273</c:v>
                </c:pt>
                <c:pt idx="87">
                  <c:v>-98.123147430245936</c:v>
                </c:pt>
                <c:pt idx="88">
                  <c:v>-98.095690371905249</c:v>
                </c:pt>
                <c:pt idx="89">
                  <c:v>-98.105613008635785</c:v>
                </c:pt>
                <c:pt idx="90">
                  <c:v>-98.159117572155495</c:v>
                </c:pt>
                <c:pt idx="91">
                  <c:v>-98.261741655395099</c:v>
                </c:pt>
                <c:pt idx="92">
                  <c:v>-98.418494128508087</c:v>
                </c:pt>
                <c:pt idx="93">
                  <c:v>-98.63411340380479</c:v>
                </c:pt>
                <c:pt idx="94">
                  <c:v>-98.697715931340099</c:v>
                </c:pt>
                <c:pt idx="95">
                  <c:v>-98.731231907822021</c:v>
                </c:pt>
                <c:pt idx="96">
                  <c:v>-98.765374392959473</c:v>
                </c:pt>
                <c:pt idx="97">
                  <c:v>-98.800938926101651</c:v>
                </c:pt>
                <c:pt idx="98">
                  <c:v>-98.837123628063623</c:v>
                </c:pt>
                <c:pt idx="99">
                  <c:v>-98.87478062658883</c:v>
                </c:pt>
                <c:pt idx="100">
                  <c:v>-98.913051412360502</c:v>
                </c:pt>
                <c:pt idx="101">
                  <c:v>-98.95281573475755</c:v>
                </c:pt>
                <c:pt idx="102">
                  <c:v>-98.993186506117723</c:v>
                </c:pt>
                <c:pt idx="103">
                  <c:v>-99.035131774784631</c:v>
                </c:pt>
                <c:pt idx="104">
                  <c:v>-99.077677018050423</c:v>
                </c:pt>
                <c:pt idx="105">
                  <c:v>-99.121817791214582</c:v>
                </c:pt>
                <c:pt idx="106">
                  <c:v>-99.166551128510022</c:v>
                </c:pt>
                <c:pt idx="107">
                  <c:v>-99.212899165752958</c:v>
                </c:pt>
                <c:pt idx="108">
                  <c:v>-99.259831517632179</c:v>
                </c:pt>
                <c:pt idx="109">
                  <c:v>-99.308429258664816</c:v>
                </c:pt>
                <c:pt idx="110">
                  <c:v>-99.357603092070377</c:v>
                </c:pt>
                <c:pt idx="111">
                  <c:v>-99.408527697078554</c:v>
                </c:pt>
                <c:pt idx="112">
                  <c:v>-99.460020924837934</c:v>
                </c:pt>
                <c:pt idx="113">
                  <c:v>-99.513283507192639</c:v>
                </c:pt>
                <c:pt idx="114">
                  <c:v>-99.567106439546308</c:v>
                </c:pt>
                <c:pt idx="115">
                  <c:v>-99.622751081607262</c:v>
                </c:pt>
                <c:pt idx="116">
                  <c:v>-99.678947779444641</c:v>
                </c:pt>
                <c:pt idx="117">
                  <c:v>-99.737018965048875</c:v>
                </c:pt>
                <c:pt idx="118">
                  <c:v>-99.79563387803141</c:v>
                </c:pt>
                <c:pt idx="119">
                  <c:v>-99.856139558901475</c:v>
                </c:pt>
                <c:pt idx="120">
                  <c:v>-99.917179955131957</c:v>
                </c:pt>
                <c:pt idx="121">
                  <c:v>-99.980163286705562</c:v>
                </c:pt>
                <c:pt idx="122">
                  <c:v>-100.04367233691497</c:v>
                </c:pt>
                <c:pt idx="123">
                  <c:v>-100.10921491380199</c:v>
                </c:pt>
                <c:pt idx="124">
                  <c:v>-100.17527480606836</c:v>
                </c:pt>
                <c:pt idx="125">
                  <c:v>-100.24338345765194</c:v>
                </c:pt>
                <c:pt idx="126">
                  <c:v>-100.31200038436414</c:v>
                </c:pt>
                <c:pt idx="127">
                  <c:v>-100.38271900970989</c:v>
                </c:pt>
                <c:pt idx="128">
                  <c:v>-100.45393685807653</c:v>
                </c:pt>
                <c:pt idx="129">
                  <c:v>-100.52730951123606</c:v>
                </c:pt>
                <c:pt idx="130">
                  <c:v>-100.60117231671057</c:v>
                </c:pt>
                <c:pt idx="131">
                  <c:v>-100.67724315550097</c:v>
                </c:pt>
                <c:pt idx="132">
                  <c:v>-100.71545994204189</c:v>
                </c:pt>
                <c:pt idx="133">
                  <c:v>-100.75379505184512</c:v>
                </c:pt>
                <c:pt idx="134">
                  <c:v>-100.79316205592474</c:v>
                </c:pt>
                <c:pt idx="135">
                  <c:v>-100.83264910270677</c:v>
                </c:pt>
                <c:pt idx="136">
                  <c:v>-100.87225424309328</c:v>
                </c:pt>
                <c:pt idx="137">
                  <c:v>-100.9119755674937</c:v>
                </c:pt>
                <c:pt idx="138">
                  <c:v>-100.95271693863528</c:v>
                </c:pt>
                <c:pt idx="139">
                  <c:v>-100.99357591173349</c:v>
                </c:pt>
                <c:pt idx="140">
                  <c:v>-101.03455056612826</c:v>
                </c:pt>
                <c:pt idx="141">
                  <c:v>-101.0756390202618</c:v>
                </c:pt>
                <c:pt idx="142">
                  <c:v>-101.11781777742827</c:v>
                </c:pt>
                <c:pt idx="143">
                  <c:v>-101.16011192641737</c:v>
                </c:pt>
                <c:pt idx="144">
                  <c:v>-101.20251956971309</c:v>
                </c:pt>
                <c:pt idx="145">
                  <c:v>-101.24503884862297</c:v>
                </c:pt>
                <c:pt idx="146">
                  <c:v>-101.28865669477851</c:v>
                </c:pt>
                <c:pt idx="147">
                  <c:v>-101.33238759197428</c:v>
                </c:pt>
                <c:pt idx="148">
                  <c:v>-101.37622966930468</c:v>
                </c:pt>
                <c:pt idx="149">
                  <c:v>-101.42018109430256</c:v>
                </c:pt>
                <c:pt idx="150">
                  <c:v>-101.46526003469492</c:v>
                </c:pt>
                <c:pt idx="151">
                  <c:v>-101.51044967610775</c:v>
                </c:pt>
                <c:pt idx="152">
                  <c:v>-101.5557481747211</c:v>
                </c:pt>
                <c:pt idx="153">
                  <c:v>-101.60115372473996</c:v>
                </c:pt>
                <c:pt idx="154">
                  <c:v>-101.64773715894428</c:v>
                </c:pt>
                <c:pt idx="155">
                  <c:v>-101.69442903371062</c:v>
                </c:pt>
                <c:pt idx="156">
                  <c:v>-101.74122753026195</c:v>
                </c:pt>
                <c:pt idx="157">
                  <c:v>-101.78813086747191</c:v>
                </c:pt>
                <c:pt idx="158">
                  <c:v>-101.83624125146561</c:v>
                </c:pt>
                <c:pt idx="159">
                  <c:v>-101.88445779433673</c:v>
                </c:pt>
                <c:pt idx="160">
                  <c:v>-101.9327787029985</c:v>
                </c:pt>
                <c:pt idx="161">
                  <c:v>-101.98120222161258</c:v>
                </c:pt>
                <c:pt idx="162">
                  <c:v>-102.03084004491437</c:v>
                </c:pt>
                <c:pt idx="163">
                  <c:v>-102.08058163463676</c:v>
                </c:pt>
                <c:pt idx="164">
                  <c:v>-102.13042522627666</c:v>
                </c:pt>
                <c:pt idx="165">
                  <c:v>-102.18036909208382</c:v>
                </c:pt>
                <c:pt idx="166">
                  <c:v>-102.23160002254646</c:v>
                </c:pt>
                <c:pt idx="167">
                  <c:v>-102.28293249138406</c:v>
                </c:pt>
                <c:pt idx="168">
                  <c:v>-102.33436475853986</c:v>
                </c:pt>
                <c:pt idx="169">
                  <c:v>-102.38589512031564</c:v>
                </c:pt>
                <c:pt idx="170">
                  <c:v>-102.43863082411275</c:v>
                </c:pt>
                <c:pt idx="171">
                  <c:v>-102.49146539641271</c:v>
                </c:pt>
                <c:pt idx="172">
                  <c:v>-102.54439713296037</c:v>
                </c:pt>
                <c:pt idx="173">
                  <c:v>-102.59742436513319</c:v>
                </c:pt>
                <c:pt idx="174">
                  <c:v>-102.65188584518762</c:v>
                </c:pt>
                <c:pt idx="175">
                  <c:v>-102.70644425554121</c:v>
                </c:pt>
                <c:pt idx="176">
                  <c:v>-102.76109790882629</c:v>
                </c:pt>
                <c:pt idx="177">
                  <c:v>-102.81584515309672</c:v>
                </c:pt>
                <c:pt idx="178">
                  <c:v>-102.87203402135735</c:v>
                </c:pt>
                <c:pt idx="179">
                  <c:v>-102.92831773905692</c:v>
                </c:pt>
                <c:pt idx="180">
                  <c:v>-102.98469463910196</c:v>
                </c:pt>
                <c:pt idx="181">
                  <c:v>-103.04116308950366</c:v>
                </c:pt>
                <c:pt idx="182">
                  <c:v>-103.09885356723304</c:v>
                </c:pt>
                <c:pt idx="183">
                  <c:v>-103.1566359717893</c:v>
                </c:pt>
                <c:pt idx="184">
                  <c:v>-103.21450867833167</c:v>
                </c:pt>
                <c:pt idx="185">
                  <c:v>-103.27247009618084</c:v>
                </c:pt>
                <c:pt idx="186">
                  <c:v>-103.3321133725871</c:v>
                </c:pt>
                <c:pt idx="187">
                  <c:v>-103.39184700002446</c:v>
                </c:pt>
                <c:pt idx="188">
                  <c:v>-103.45166936001941</c:v>
                </c:pt>
                <c:pt idx="189">
                  <c:v>-103.51157886830734</c:v>
                </c:pt>
                <c:pt idx="190">
                  <c:v>-103.57271974105981</c:v>
                </c:pt>
                <c:pt idx="191">
                  <c:v>-103.6339479026846</c:v>
                </c:pt>
                <c:pt idx="192">
                  <c:v>-103.69526178040893</c:v>
                </c:pt>
                <c:pt idx="193">
                  <c:v>-103.75665983460298</c:v>
                </c:pt>
                <c:pt idx="194">
                  <c:v>-103.81975351068303</c:v>
                </c:pt>
                <c:pt idx="195">
                  <c:v>-103.88293265288405</c:v>
                </c:pt>
                <c:pt idx="196">
                  <c:v>-103.94619570045523</c:v>
                </c:pt>
                <c:pt idx="197">
                  <c:v>-104.0095411256531</c:v>
                </c:pt>
                <c:pt idx="198">
                  <c:v>-104.07435722396757</c:v>
                </c:pt>
                <c:pt idx="199">
                  <c:v>-104.13925622318897</c:v>
                </c:pt>
                <c:pt idx="200">
                  <c:v>-104.20423659422406</c:v>
                </c:pt>
                <c:pt idx="201">
                  <c:v>-104.26929684029034</c:v>
                </c:pt>
                <c:pt idx="202">
                  <c:v>-104.33583217186739</c:v>
                </c:pt>
                <c:pt idx="203">
                  <c:v>-104.40244778108767</c:v>
                </c:pt>
                <c:pt idx="204">
                  <c:v>-104.46914217179174</c:v>
                </c:pt>
                <c:pt idx="205">
                  <c:v>-104.5359138793857</c:v>
                </c:pt>
                <c:pt idx="206">
                  <c:v>-104.60439853927041</c:v>
                </c:pt>
                <c:pt idx="207">
                  <c:v>-104.67296133311287</c:v>
                </c:pt>
                <c:pt idx="208">
                  <c:v>-104.7416007837691</c:v>
                </c:pt>
                <c:pt idx="209">
                  <c:v>-104.81031544529363</c:v>
                </c:pt>
                <c:pt idx="210">
                  <c:v>-104.88098310697622</c:v>
                </c:pt>
                <c:pt idx="211">
                  <c:v>-104.95172714662834</c:v>
                </c:pt>
                <c:pt idx="212">
                  <c:v>-105.02254609402257</c:v>
                </c:pt>
                <c:pt idx="213">
                  <c:v>-105.09343851009422</c:v>
                </c:pt>
                <c:pt idx="214">
                  <c:v>-105.16581828340674</c:v>
                </c:pt>
                <c:pt idx="215">
                  <c:v>-105.23827155515397</c:v>
                </c:pt>
                <c:pt idx="216">
                  <c:v>-105.31079689334722</c:v>
                </c:pt>
                <c:pt idx="217">
                  <c:v>-105.38339289623113</c:v>
                </c:pt>
                <c:pt idx="218">
                  <c:v>-105.4577158522502</c:v>
                </c:pt>
                <c:pt idx="219">
                  <c:v>-105.53210985928719</c:v>
                </c:pt>
                <c:pt idx="220">
                  <c:v>-105.60657351043771</c:v>
                </c:pt>
                <c:pt idx="221">
                  <c:v>-105.68110542845825</c:v>
                </c:pt>
                <c:pt idx="222">
                  <c:v>-105.75736804869538</c:v>
                </c:pt>
                <c:pt idx="223">
                  <c:v>-105.83369919416555</c:v>
                </c:pt>
                <c:pt idx="224">
                  <c:v>-105.91009748446403</c:v>
                </c:pt>
                <c:pt idx="225">
                  <c:v>-105.98656156822375</c:v>
                </c:pt>
                <c:pt idx="226">
                  <c:v>-106.0649981881824</c:v>
                </c:pt>
                <c:pt idx="227">
                  <c:v>-106.14350113757344</c:v>
                </c:pt>
                <c:pt idx="228">
                  <c:v>-106.22206905135539</c:v>
                </c:pt>
                <c:pt idx="229">
                  <c:v>-106.30070059320033</c:v>
                </c:pt>
                <c:pt idx="230">
                  <c:v>-106.46198091468389</c:v>
                </c:pt>
                <c:pt idx="231">
                  <c:v>-106.5427157440879</c:v>
                </c:pt>
                <c:pt idx="232">
                  <c:v>-106.62351191758641</c:v>
                </c:pt>
                <c:pt idx="233">
                  <c:v>-106.70628829847062</c:v>
                </c:pt>
                <c:pt idx="234">
                  <c:v>-106.78912626020904</c:v>
                </c:pt>
                <c:pt idx="235">
                  <c:v>-106.87202447472072</c:v>
                </c:pt>
                <c:pt idx="236">
                  <c:v>-106.95498164178166</c:v>
                </c:pt>
                <c:pt idx="237">
                  <c:v>-107.03968143576571</c:v>
                </c:pt>
                <c:pt idx="238">
                  <c:v>-107.12443994971613</c:v>
                </c:pt>
                <c:pt idx="239">
                  <c:v>-107.20925588751214</c:v>
                </c:pt>
                <c:pt idx="240">
                  <c:v>-107.29412798007064</c:v>
                </c:pt>
                <c:pt idx="241">
                  <c:v>-107.38122712282573</c:v>
                </c:pt>
                <c:pt idx="242">
                  <c:v>-107.46838270896745</c:v>
                </c:pt>
                <c:pt idx="243">
                  <c:v>-107.55559345342367</c:v>
                </c:pt>
                <c:pt idx="244">
                  <c:v>-107.64285809790812</c:v>
                </c:pt>
                <c:pt idx="245">
                  <c:v>-107.73211100713098</c:v>
                </c:pt>
                <c:pt idx="246">
                  <c:v>-107.82141765581312</c:v>
                </c:pt>
                <c:pt idx="247">
                  <c:v>-107.91077678226053</c:v>
                </c:pt>
                <c:pt idx="248">
                  <c:v>-108.0001871509595</c:v>
                </c:pt>
                <c:pt idx="249">
                  <c:v>-108.09183012785279</c:v>
                </c:pt>
                <c:pt idx="250">
                  <c:v>-108.1835243336142</c:v>
                </c:pt>
                <c:pt idx="251">
                  <c:v>-108.27526852097633</c:v>
                </c:pt>
                <c:pt idx="252">
                  <c:v>-108.36706146848269</c:v>
                </c:pt>
                <c:pt idx="253">
                  <c:v>-108.46084619970983</c:v>
                </c:pt>
                <c:pt idx="254">
                  <c:v>-108.55467928176853</c:v>
                </c:pt>
                <c:pt idx="255">
                  <c:v>-108.64855949284971</c:v>
                </c:pt>
                <c:pt idx="256">
                  <c:v>-108.74248563627219</c:v>
                </c:pt>
                <c:pt idx="257">
                  <c:v>-108.83889160362257</c:v>
                </c:pt>
                <c:pt idx="258">
                  <c:v>-108.93534344068684</c:v>
                </c:pt>
                <c:pt idx="259">
                  <c:v>-109.03183993336648</c:v>
                </c:pt>
                <c:pt idx="260">
                  <c:v>-109.12837989248224</c:v>
                </c:pt>
                <c:pt idx="261">
                  <c:v>-109.22715768710708</c:v>
                </c:pt>
                <c:pt idx="262">
                  <c:v>-109.325978507286</c:v>
                </c:pt>
                <c:pt idx="263">
                  <c:v>-109.42484115742762</c:v>
                </c:pt>
                <c:pt idx="264">
                  <c:v>-109.52374446634231</c:v>
                </c:pt>
                <c:pt idx="265">
                  <c:v>-109.62488645603672</c:v>
                </c:pt>
                <c:pt idx="266">
                  <c:v>-109.72606853198707</c:v>
                </c:pt>
                <c:pt idx="267">
                  <c:v>-109.82728951799018</c:v>
                </c:pt>
                <c:pt idx="268">
                  <c:v>-109.92854826169477</c:v>
                </c:pt>
                <c:pt idx="269">
                  <c:v>-110.03229082585287</c:v>
                </c:pt>
                <c:pt idx="270">
                  <c:v>-110.13607062109836</c:v>
                </c:pt>
                <c:pt idx="271">
                  <c:v>-110.23988648315616</c:v>
                </c:pt>
                <c:pt idx="272">
                  <c:v>-110.34373727124259</c:v>
                </c:pt>
                <c:pt idx="273">
                  <c:v>-110.45007237494502</c:v>
                </c:pt>
                <c:pt idx="274">
                  <c:v>-110.55644172557081</c:v>
                </c:pt>
                <c:pt idx="275">
                  <c:v>-110.66284417206093</c:v>
                </c:pt>
                <c:pt idx="276">
                  <c:v>-110.76927858644143</c:v>
                </c:pt>
                <c:pt idx="277">
                  <c:v>-110.8779519873482</c:v>
                </c:pt>
                <c:pt idx="278">
                  <c:v>-110.98665639172708</c:v>
                </c:pt>
                <c:pt idx="279">
                  <c:v>-111.09539067038794</c:v>
                </c:pt>
                <c:pt idx="280">
                  <c:v>-111.20415371657886</c:v>
                </c:pt>
                <c:pt idx="281">
                  <c:v>-111.31589174761342</c:v>
                </c:pt>
                <c:pt idx="282">
                  <c:v>-111.42765782922862</c:v>
                </c:pt>
                <c:pt idx="283">
                  <c:v>-111.53945083223429</c:v>
                </c:pt>
                <c:pt idx="284">
                  <c:v>-111.65126964980055</c:v>
                </c:pt>
                <c:pt idx="285">
                  <c:v>-111.76532572894699</c:v>
                </c:pt>
                <c:pt idx="286">
                  <c:v>-111.87940639754517</c:v>
                </c:pt>
                <c:pt idx="287">
                  <c:v>-111.9935105497694</c:v>
                </c:pt>
                <c:pt idx="288">
                  <c:v>-112.10763710145004</c:v>
                </c:pt>
                <c:pt idx="289">
                  <c:v>-112.22473736369423</c:v>
                </c:pt>
                <c:pt idx="290">
                  <c:v>-112.34185895494964</c:v>
                </c:pt>
                <c:pt idx="291">
                  <c:v>-112.45900077198667</c:v>
                </c:pt>
                <c:pt idx="292">
                  <c:v>-112.57616173306245</c:v>
                </c:pt>
                <c:pt idx="293">
                  <c:v>-112.69604890186676</c:v>
                </c:pt>
                <c:pt idx="294">
                  <c:v>-112.81595388532173</c:v>
                </c:pt>
                <c:pt idx="295">
                  <c:v>-112.93587559103982</c:v>
                </c:pt>
                <c:pt idx="296">
                  <c:v>-113.05581294772482</c:v>
                </c:pt>
                <c:pt idx="297">
                  <c:v>-113.17847445226876</c:v>
                </c:pt>
                <c:pt idx="298">
                  <c:v>-113.30115012208216</c:v>
                </c:pt>
                <c:pt idx="299">
                  <c:v>-113.4238388764005</c:v>
                </c:pt>
                <c:pt idx="300">
                  <c:v>-113.54653965512728</c:v>
                </c:pt>
                <c:pt idx="301">
                  <c:v>-113.67196203526348</c:v>
                </c:pt>
                <c:pt idx="302">
                  <c:v>-113.7973948012062</c:v>
                </c:pt>
                <c:pt idx="303">
                  <c:v>-113.92283688443052</c:v>
                </c:pt>
                <c:pt idx="304">
                  <c:v>-114.04828723663398</c:v>
                </c:pt>
                <c:pt idx="305">
                  <c:v>-114.17694913647169</c:v>
                </c:pt>
                <c:pt idx="306">
                  <c:v>-114.30561756277383</c:v>
                </c:pt>
                <c:pt idx="307">
                  <c:v>-114.43429144761325</c:v>
                </c:pt>
                <c:pt idx="308">
                  <c:v>-114.56296974312447</c:v>
                </c:pt>
                <c:pt idx="309">
                  <c:v>-114.69436313287541</c:v>
                </c:pt>
                <c:pt idx="310">
                  <c:v>-114.82575897479605</c:v>
                </c:pt>
                <c:pt idx="311">
                  <c:v>-114.95715621470616</c:v>
                </c:pt>
                <c:pt idx="312">
                  <c:v>-115.08855381799258</c:v>
                </c:pt>
                <c:pt idx="313">
                  <c:v>-115.22315555618627</c:v>
                </c:pt>
                <c:pt idx="314">
                  <c:v>-115.35775553854108</c:v>
                </c:pt>
                <c:pt idx="315">
                  <c:v>-115.49235271340326</c:v>
                </c:pt>
                <c:pt idx="316">
                  <c:v>-115.62694604846465</c:v>
                </c:pt>
                <c:pt idx="317">
                  <c:v>-115.76473895054154</c:v>
                </c:pt>
                <c:pt idx="318">
                  <c:v>-115.90252569786723</c:v>
                </c:pt>
                <c:pt idx="319">
                  <c:v>-116.04030524235998</c:v>
                </c:pt>
                <c:pt idx="320">
                  <c:v>-116.17807655502962</c:v>
                </c:pt>
                <c:pt idx="321">
                  <c:v>-116.31904227659233</c:v>
                </c:pt>
                <c:pt idx="322">
                  <c:v>-116.45999725820877</c:v>
                </c:pt>
                <c:pt idx="323">
                  <c:v>-116.60094045627234</c:v>
                </c:pt>
                <c:pt idx="324">
                  <c:v>-116.74187084598991</c:v>
                </c:pt>
                <c:pt idx="325">
                  <c:v>-116.88598990198417</c:v>
                </c:pt>
                <c:pt idx="326">
                  <c:v>-117.03009345078608</c:v>
                </c:pt>
                <c:pt idx="327">
                  <c:v>-117.17418045404267</c:v>
                </c:pt>
                <c:pt idx="328">
                  <c:v>-117.3182498919151</c:v>
                </c:pt>
                <c:pt idx="329">
                  <c:v>-117.46574789820484</c:v>
                </c:pt>
                <c:pt idx="330">
                  <c:v>-117.61322538167957</c:v>
                </c:pt>
                <c:pt idx="331">
                  <c:v>-117.76068130476673</c:v>
                </c:pt>
                <c:pt idx="332">
                  <c:v>-117.90811464821529</c:v>
                </c:pt>
                <c:pt idx="333">
                  <c:v>-118.05872335200226</c:v>
                </c:pt>
                <c:pt idx="334">
                  <c:v>-118.20930639088006</c:v>
                </c:pt>
                <c:pt idx="335">
                  <c:v>-118.35986273403408</c:v>
                </c:pt>
                <c:pt idx="336">
                  <c:v>-118.51039136864091</c:v>
                </c:pt>
                <c:pt idx="337">
                  <c:v>-118.66457965449541</c:v>
                </c:pt>
                <c:pt idx="338">
                  <c:v>-118.81873676060538</c:v>
                </c:pt>
                <c:pt idx="339">
                  <c:v>-118.97286165363045</c:v>
                </c:pt>
                <c:pt idx="340">
                  <c:v>-119.12695331810833</c:v>
                </c:pt>
                <c:pt idx="341">
                  <c:v>-119.2846959133001</c:v>
                </c:pt>
                <c:pt idx="342">
                  <c:v>-119.44240157182088</c:v>
                </c:pt>
                <c:pt idx="343">
                  <c:v>-119.60006925893609</c:v>
                </c:pt>
                <c:pt idx="344">
                  <c:v>-119.75769795765676</c:v>
                </c:pt>
                <c:pt idx="345">
                  <c:v>-119.91872272930996</c:v>
                </c:pt>
                <c:pt idx="346">
                  <c:v>-120.07970470157261</c:v>
                </c:pt>
                <c:pt idx="347">
                  <c:v>-120.24064284404942</c:v>
                </c:pt>
                <c:pt idx="348">
                  <c:v>-120.4015361438347</c:v>
                </c:pt>
                <c:pt idx="349">
                  <c:v>-120.56630613296311</c:v>
                </c:pt>
                <c:pt idx="350">
                  <c:v>-120.73102696792813</c:v>
                </c:pt>
                <c:pt idx="351">
                  <c:v>-120.89569761420158</c:v>
                </c:pt>
                <c:pt idx="352">
                  <c:v>-121.06031705469067</c:v>
                </c:pt>
                <c:pt idx="353">
                  <c:v>-121.22880191239057</c:v>
                </c:pt>
                <c:pt idx="354">
                  <c:v>-121.39723099350087</c:v>
                </c:pt>
                <c:pt idx="355">
                  <c:v>-121.56560326061174</c:v>
                </c:pt>
                <c:pt idx="356">
                  <c:v>-121.73391769367969</c:v>
                </c:pt>
                <c:pt idx="357">
                  <c:v>-121.90584099008153</c:v>
                </c:pt>
                <c:pt idx="358">
                  <c:v>-122.07770180356826</c:v>
                </c:pt>
                <c:pt idx="359">
                  <c:v>-122.24949909944529</c:v>
                </c:pt>
                <c:pt idx="360">
                  <c:v>-122.42123186020643</c:v>
                </c:pt>
                <c:pt idx="361">
                  <c:v>-122.59704953533382</c:v>
                </c:pt>
                <c:pt idx="362">
                  <c:v>-122.77279740951462</c:v>
                </c:pt>
                <c:pt idx="363">
                  <c:v>-122.9484744430909</c:v>
                </c:pt>
                <c:pt idx="364">
                  <c:v>-123.12407961360537</c:v>
                </c:pt>
                <c:pt idx="365">
                  <c:v>-123.3035117979732</c:v>
                </c:pt>
                <c:pt idx="366">
                  <c:v>-123.48286678262473</c:v>
                </c:pt>
                <c:pt idx="367">
                  <c:v>-123.66214352860226</c:v>
                </c:pt>
                <c:pt idx="368">
                  <c:v>-123.84134101405961</c:v>
                </c:pt>
                <c:pt idx="369">
                  <c:v>-124.02483780414894</c:v>
                </c:pt>
                <c:pt idx="370">
                  <c:v>-124.2082492917235</c:v>
                </c:pt>
                <c:pt idx="371">
                  <c:v>-124.39157443148451</c:v>
                </c:pt>
                <c:pt idx="372">
                  <c:v>-124.57481219533724</c:v>
                </c:pt>
                <c:pt idx="373">
                  <c:v>-124.76208990797748</c:v>
                </c:pt>
                <c:pt idx="374">
                  <c:v>-124.94927413949688</c:v>
                </c:pt>
                <c:pt idx="375">
                  <c:v>-125.13636384403706</c:v>
                </c:pt>
                <c:pt idx="376">
                  <c:v>-125.32335799294094</c:v>
                </c:pt>
                <c:pt idx="377">
                  <c:v>-125.51486012364373</c:v>
                </c:pt>
                <c:pt idx="378">
                  <c:v>-125.70625979825407</c:v>
                </c:pt>
                <c:pt idx="379">
                  <c:v>-125.89755596396057</c:v>
                </c:pt>
                <c:pt idx="380">
                  <c:v>-126.08874758532515</c:v>
                </c:pt>
                <c:pt idx="381">
                  <c:v>-126.28394445469756</c:v>
                </c:pt>
                <c:pt idx="382">
                  <c:v>-126.47903010159352</c:v>
                </c:pt>
                <c:pt idx="383">
                  <c:v>-126.67400347608263</c:v>
                </c:pt>
                <c:pt idx="384">
                  <c:v>-126.86886354560629</c:v>
                </c:pt>
                <c:pt idx="385">
                  <c:v>-127.06843424691796</c:v>
                </c:pt>
                <c:pt idx="386">
                  <c:v>-127.26788381634304</c:v>
                </c:pt>
                <c:pt idx="387">
                  <c:v>-127.46721119709292</c:v>
                </c:pt>
                <c:pt idx="388">
                  <c:v>-127.66641535000895</c:v>
                </c:pt>
                <c:pt idx="389">
                  <c:v>-127.87006756766567</c:v>
                </c:pt>
                <c:pt idx="390">
                  <c:v>-128.07358868529369</c:v>
                </c:pt>
                <c:pt idx="391">
                  <c:v>-128.27697764543967</c:v>
                </c:pt>
                <c:pt idx="392">
                  <c:v>-128.48023340845515</c:v>
                </c:pt>
                <c:pt idx="393">
                  <c:v>-128.6879152346543</c:v>
                </c:pt>
                <c:pt idx="394">
                  <c:v>-128.89545567100771</c:v>
                </c:pt>
                <c:pt idx="395">
                  <c:v>-129.10285366172883</c:v>
                </c:pt>
                <c:pt idx="396">
                  <c:v>-129.31010816901551</c:v>
                </c:pt>
                <c:pt idx="397">
                  <c:v>-129.52224447171969</c:v>
                </c:pt>
                <c:pt idx="398">
                  <c:v>-129.73422809191507</c:v>
                </c:pt>
                <c:pt idx="399">
                  <c:v>-129.94605797083162</c:v>
                </c:pt>
                <c:pt idx="400">
                  <c:v>-130.1577330680347</c:v>
                </c:pt>
                <c:pt idx="401">
                  <c:v>-130.37402525690129</c:v>
                </c:pt>
                <c:pt idx="402">
                  <c:v>-130.59015345409171</c:v>
                </c:pt>
                <c:pt idx="403">
                  <c:v>-130.80611660440752</c:v>
                </c:pt>
                <c:pt idx="404">
                  <c:v>-131.02191367126045</c:v>
                </c:pt>
                <c:pt idx="405">
                  <c:v>-131.24253969235187</c:v>
                </c:pt>
                <c:pt idx="406">
                  <c:v>-131.46298970419045</c:v>
                </c:pt>
                <c:pt idx="407">
                  <c:v>-131.6832626547604</c:v>
                </c:pt>
                <c:pt idx="408">
                  <c:v>-131.90335751102015</c:v>
                </c:pt>
                <c:pt idx="409">
                  <c:v>-132.12849021853924</c:v>
                </c:pt>
                <c:pt idx="410">
                  <c:v>-132.35343414669268</c:v>
                </c:pt>
                <c:pt idx="411">
                  <c:v>-132.57818824678031</c:v>
                </c:pt>
                <c:pt idx="412">
                  <c:v>-132.80275148952828</c:v>
                </c:pt>
                <c:pt idx="413">
                  <c:v>-133.03232202516352</c:v>
                </c:pt>
                <c:pt idx="414">
                  <c:v>-133.26169063264675</c:v>
                </c:pt>
                <c:pt idx="415">
                  <c:v>-133.49085627046577</c:v>
                </c:pt>
                <c:pt idx="416">
                  <c:v>-133.71981791699372</c:v>
                </c:pt>
                <c:pt idx="417">
                  <c:v>-133.95399061744698</c:v>
                </c:pt>
                <c:pt idx="418">
                  <c:v>-134.18794744417337</c:v>
                </c:pt>
                <c:pt idx="419">
                  <c:v>-134.42168736383934</c:v>
                </c:pt>
                <c:pt idx="420">
                  <c:v>-134.65520936354415</c:v>
                </c:pt>
                <c:pt idx="421">
                  <c:v>-134.89367361665148</c:v>
                </c:pt>
                <c:pt idx="422">
                  <c:v>-135.13190812070056</c:v>
                </c:pt>
                <c:pt idx="423">
                  <c:v>-135.36991185809893</c:v>
                </c:pt>
                <c:pt idx="424">
                  <c:v>-135.60768383215756</c:v>
                </c:pt>
                <c:pt idx="425">
                  <c:v>-135.85106508618406</c:v>
                </c:pt>
                <c:pt idx="426">
                  <c:v>-136.09420097830798</c:v>
                </c:pt>
                <c:pt idx="427">
                  <c:v>-136.3370905025923</c:v>
                </c:pt>
                <c:pt idx="428">
                  <c:v>-136.57973267472809</c:v>
                </c:pt>
                <c:pt idx="429">
                  <c:v>-136.82771192674983</c:v>
                </c:pt>
                <c:pt idx="430">
                  <c:v>-137.07543027355786</c:v>
                </c:pt>
                <c:pt idx="431">
                  <c:v>-137.32288672930909</c:v>
                </c:pt>
                <c:pt idx="432">
                  <c:v>-137.57008033043206</c:v>
                </c:pt>
                <c:pt idx="433">
                  <c:v>-137.82257170408926</c:v>
                </c:pt>
                <c:pt idx="434">
                  <c:v>-138.07478627480967</c:v>
                </c:pt>
                <c:pt idx="435">
                  <c:v>-138.32672308247481</c:v>
                </c:pt>
                <c:pt idx="436">
                  <c:v>-138.57838118988212</c:v>
                </c:pt>
                <c:pt idx="437">
                  <c:v>-138.8357579477555</c:v>
                </c:pt>
                <c:pt idx="438">
                  <c:v>-139.09284062222486</c:v>
                </c:pt>
                <c:pt idx="439">
                  <c:v>-139.34962827981937</c:v>
                </c:pt>
                <c:pt idx="440">
                  <c:v>-139.60612001079704</c:v>
                </c:pt>
                <c:pt idx="441">
                  <c:v>-139.86828543240941</c:v>
                </c:pt>
                <c:pt idx="442">
                  <c:v>-140.13013911250209</c:v>
                </c:pt>
                <c:pt idx="443">
                  <c:v>-140.39168015112543</c:v>
                </c:pt>
                <c:pt idx="444">
                  <c:v>-140.65290767286507</c:v>
                </c:pt>
                <c:pt idx="445">
                  <c:v>-140.91976259214226</c:v>
                </c:pt>
                <c:pt idx="446">
                  <c:v>-141.18628776815609</c:v>
                </c:pt>
                <c:pt idx="447">
                  <c:v>-141.45248234163398</c:v>
                </c:pt>
                <c:pt idx="448">
                  <c:v>-141.71834547863492</c:v>
                </c:pt>
                <c:pt idx="449">
                  <c:v>-141.99024320333146</c:v>
                </c:pt>
                <c:pt idx="450">
                  <c:v>-142.26179170632204</c:v>
                </c:pt>
                <c:pt idx="451">
                  <c:v>-142.53299017240727</c:v>
                </c:pt>
                <c:pt idx="452">
                  <c:v>-142.80383781267423</c:v>
                </c:pt>
                <c:pt idx="453">
                  <c:v>-143.08044142293173</c:v>
                </c:pt>
                <c:pt idx="454">
                  <c:v>-143.35667658901508</c:v>
                </c:pt>
                <c:pt idx="455">
                  <c:v>-143.63254255017659</c:v>
                </c:pt>
                <c:pt idx="456">
                  <c:v>-143.90803857280258</c:v>
                </c:pt>
                <c:pt idx="457">
                  <c:v>-144.18968860400463</c:v>
                </c:pt>
                <c:pt idx="458">
                  <c:v>-144.47094945938929</c:v>
                </c:pt>
                <c:pt idx="459">
                  <c:v>-144.75182043772358</c:v>
                </c:pt>
                <c:pt idx="460">
                  <c:v>-145.03230086590614</c:v>
                </c:pt>
                <c:pt idx="461">
                  <c:v>-145.31887833011322</c:v>
                </c:pt>
                <c:pt idx="462">
                  <c:v>-145.60504559003149</c:v>
                </c:pt>
                <c:pt idx="463">
                  <c:v>-145.89080201348989</c:v>
                </c:pt>
                <c:pt idx="464">
                  <c:v>-146.17614699741037</c:v>
                </c:pt>
                <c:pt idx="465">
                  <c:v>-146.46775313794706</c:v>
                </c:pt>
                <c:pt idx="466">
                  <c:v>-146.75892714007495</c:v>
                </c:pt>
                <c:pt idx="467">
                  <c:v>-147.04966844923968</c:v>
                </c:pt>
                <c:pt idx="468">
                  <c:v>-147.33997654098812</c:v>
                </c:pt>
                <c:pt idx="469">
                  <c:v>-147.63648418146553</c:v>
                </c:pt>
                <c:pt idx="470">
                  <c:v>-147.93253751977988</c:v>
                </c:pt>
                <c:pt idx="471">
                  <c:v>-148.22813608952097</c:v>
                </c:pt>
                <c:pt idx="472">
                  <c:v>-148.52327945533369</c:v>
                </c:pt>
                <c:pt idx="473">
                  <c:v>-148.82499895886366</c:v>
                </c:pt>
                <c:pt idx="474">
                  <c:v>-149.12624043186693</c:v>
                </c:pt>
                <c:pt idx="475">
                  <c:v>-149.42700350524217</c:v>
                </c:pt>
                <c:pt idx="476">
                  <c:v>-149.72728784201769</c:v>
                </c:pt>
                <c:pt idx="477">
                  <c:v>-150.034079961125</c:v>
                </c:pt>
                <c:pt idx="478">
                  <c:v>-150.34037013844238</c:v>
                </c:pt>
                <c:pt idx="479">
                  <c:v>-150.64615811420046</c:v>
                </c:pt>
                <c:pt idx="480">
                  <c:v>-150.9514436617558</c:v>
                </c:pt>
                <c:pt idx="481">
                  <c:v>-151.26316734668626</c:v>
                </c:pt>
                <c:pt idx="482">
                  <c:v>-151.57436506399486</c:v>
                </c:pt>
                <c:pt idx="483">
                  <c:v>-151.88503667539987</c:v>
                </c:pt>
                <c:pt idx="484">
                  <c:v>-152.19518207665118</c:v>
                </c:pt>
                <c:pt idx="485">
                  <c:v>-152.51191021319016</c:v>
                </c:pt>
                <c:pt idx="486">
                  <c:v>-152.82808756255784</c:v>
                </c:pt>
                <c:pt idx="487">
                  <c:v>-153.14371412019804</c:v>
                </c:pt>
                <c:pt idx="488">
                  <c:v>-153.45878991648422</c:v>
                </c:pt>
                <c:pt idx="489">
                  <c:v>-153.78080209087807</c:v>
                </c:pt>
                <c:pt idx="490">
                  <c:v>-154.10223712084911</c:v>
                </c:pt>
                <c:pt idx="491">
                  <c:v>-154.42309514907646</c:v>
                </c:pt>
                <c:pt idx="492">
                  <c:v>-154.74337635413809</c:v>
                </c:pt>
                <c:pt idx="493">
                  <c:v>-155.07051402056135</c:v>
                </c:pt>
                <c:pt idx="494">
                  <c:v>-155.39704819545264</c:v>
                </c:pt>
                <c:pt idx="495">
                  <c:v>-155.72297918294683</c:v>
                </c:pt>
                <c:pt idx="496">
                  <c:v>-156.04830732391</c:v>
                </c:pt>
                <c:pt idx="497">
                  <c:v>-156.38062170944082</c:v>
                </c:pt>
                <c:pt idx="498">
                  <c:v>-156.71230555265311</c:v>
                </c:pt>
                <c:pt idx="499">
                  <c:v>-157.04335933422087</c:v>
                </c:pt>
                <c:pt idx="500">
                  <c:v>-157.37378357232686</c:v>
                </c:pt>
                <c:pt idx="501">
                  <c:v>-157.71131883597087</c:v>
                </c:pt>
                <c:pt idx="502">
                  <c:v>-158.04819584598999</c:v>
                </c:pt>
                <c:pt idx="503">
                  <c:v>-158.38441527559675</c:v>
                </c:pt>
                <c:pt idx="504">
                  <c:v>-158.71997783621507</c:v>
                </c:pt>
                <c:pt idx="505">
                  <c:v>-159.06256363866399</c:v>
                </c:pt>
                <c:pt idx="506">
                  <c:v>-159.4044636973677</c:v>
                </c:pt>
                <c:pt idx="507">
                  <c:v>-159.74567889332425</c:v>
                </c:pt>
                <c:pt idx="508">
                  <c:v>-160.08621014626056</c:v>
                </c:pt>
                <c:pt idx="509">
                  <c:v>-160.43388192590083</c:v>
                </c:pt>
                <c:pt idx="510">
                  <c:v>-160.78083994563232</c:v>
                </c:pt>
                <c:pt idx="511">
                  <c:v>-161.12708531115501</c:v>
                </c:pt>
                <c:pt idx="512">
                  <c:v>-161.4726191673069</c:v>
                </c:pt>
                <c:pt idx="513">
                  <c:v>-161.82561010364381</c:v>
                </c:pt>
                <c:pt idx="514">
                  <c:v>-162.17785793999784</c:v>
                </c:pt>
                <c:pt idx="515">
                  <c:v>-162.52936402684068</c:v>
                </c:pt>
                <c:pt idx="516">
                  <c:v>-162.88012975415469</c:v>
                </c:pt>
                <c:pt idx="517">
                  <c:v>-163.23825497042324</c:v>
                </c:pt>
                <c:pt idx="518">
                  <c:v>-163.59560820120674</c:v>
                </c:pt>
                <c:pt idx="519">
                  <c:v>-163.95219105826837</c:v>
                </c:pt>
                <c:pt idx="520">
                  <c:v>-164.3080051930142</c:v>
                </c:pt>
                <c:pt idx="521">
                  <c:v>-164.67128142209771</c:v>
                </c:pt>
                <c:pt idx="522">
                  <c:v>-165.03375646266909</c:v>
                </c:pt>
                <c:pt idx="523">
                  <c:v>-165.39543220688788</c:v>
                </c:pt>
                <c:pt idx="524">
                  <c:v>-165.75631058652206</c:v>
                </c:pt>
                <c:pt idx="525">
                  <c:v>-166.12474889450939</c:v>
                </c:pt>
                <c:pt idx="526">
                  <c:v>-166.49235657703019</c:v>
                </c:pt>
                <c:pt idx="527">
                  <c:v>-166.8591358263624</c:v>
                </c:pt>
                <c:pt idx="528">
                  <c:v>-167.22508887417544</c:v>
                </c:pt>
                <c:pt idx="529">
                  <c:v>-167.59869499587316</c:v>
                </c:pt>
                <c:pt idx="530">
                  <c:v>-167.97144091215733</c:v>
                </c:pt>
                <c:pt idx="531">
                  <c:v>-168.34332913570782</c:v>
                </c:pt>
                <c:pt idx="532">
                  <c:v>-168.71436221817518</c:v>
                </c:pt>
                <c:pt idx="533">
                  <c:v>-169.09333225057148</c:v>
                </c:pt>
                <c:pt idx="534">
                  <c:v>-169.47141153533931</c:v>
                </c:pt>
                <c:pt idx="535">
                  <c:v>-169.84860293079231</c:v>
                </c:pt>
                <c:pt idx="536">
                  <c:v>-170.22490933365452</c:v>
                </c:pt>
                <c:pt idx="537">
                  <c:v>-170.60884702692582</c:v>
                </c:pt>
                <c:pt idx="538">
                  <c:v>-170.99186533272021</c:v>
                </c:pt>
                <c:pt idx="539">
                  <c:v>-171.37396746737113</c:v>
                </c:pt>
                <c:pt idx="540">
                  <c:v>-171.75515668467074</c:v>
                </c:pt>
                <c:pt idx="541">
                  <c:v>-172.1444429909279</c:v>
                </c:pt>
                <c:pt idx="542">
                  <c:v>-172.53277958598204</c:v>
                </c:pt>
                <c:pt idx="543">
                  <c:v>-172.92017007550314</c:v>
                </c:pt>
                <c:pt idx="544">
                  <c:v>-173.30661810157039</c:v>
                </c:pt>
                <c:pt idx="545">
                  <c:v>-173.70104622858403</c:v>
                </c:pt>
                <c:pt idx="546">
                  <c:v>-174.09449554946403</c:v>
                </c:pt>
                <c:pt idx="547">
                  <c:v>-174.48697007629667</c:v>
                </c:pt>
                <c:pt idx="548">
                  <c:v>-174.87847385619389</c:v>
                </c:pt>
                <c:pt idx="549">
                  <c:v>-175.2780293290183</c:v>
                </c:pt>
                <c:pt idx="550">
                  <c:v>-175.67657732398558</c:v>
                </c:pt>
                <c:pt idx="551">
                  <c:v>-176.07412228176386</c:v>
                </c:pt>
                <c:pt idx="552">
                  <c:v>-176.47066867639722</c:v>
                </c:pt>
                <c:pt idx="553">
                  <c:v>-176.87552057090682</c:v>
                </c:pt>
                <c:pt idx="554">
                  <c:v>-177.27933592224056</c:v>
                </c:pt>
                <c:pt idx="555">
                  <c:v>-177.68211962880832</c:v>
                </c:pt>
                <c:pt idx="556">
                  <c:v>-178.08387662053391</c:v>
                </c:pt>
                <c:pt idx="557">
                  <c:v>-178.90305948247891</c:v>
                </c:pt>
                <c:pt idx="558">
                  <c:v>-179.71800426680429</c:v>
                </c:pt>
                <c:pt idx="559">
                  <c:v>-180.54728901136508</c:v>
                </c:pt>
                <c:pt idx="560">
                  <c:v>-181.37223146451853</c:v>
                </c:pt>
                <c:pt idx="561">
                  <c:v>-182.2122977357462</c:v>
                </c:pt>
                <c:pt idx="562">
                  <c:v>-183.04791403441951</c:v>
                </c:pt>
                <c:pt idx="563">
                  <c:v>-183.89692142646135</c:v>
                </c:pt>
                <c:pt idx="564">
                  <c:v>-184.74139500711672</c:v>
                </c:pt>
                <c:pt idx="565">
                  <c:v>-185.60250945239068</c:v>
                </c:pt>
                <c:pt idx="566">
                  <c:v>-186.45897750396327</c:v>
                </c:pt>
                <c:pt idx="567">
                  <c:v>-187.33175047391794</c:v>
                </c:pt>
                <c:pt idx="568">
                  <c:v>-188.1997748838167</c:v>
                </c:pt>
                <c:pt idx="569">
                  <c:v>-189.08033598603166</c:v>
                </c:pt>
                <c:pt idx="570">
                  <c:v>-189.95609504513004</c:v>
                </c:pt>
                <c:pt idx="571">
                  <c:v>-190.85096669595285</c:v>
                </c:pt>
                <c:pt idx="572">
                  <c:v>-191.74091933162796</c:v>
                </c:pt>
                <c:pt idx="573">
                  <c:v>-192.64287412991064</c:v>
                </c:pt>
                <c:pt idx="574">
                  <c:v>-193.53988057272508</c:v>
                </c:pt>
                <c:pt idx="575">
                  <c:v>-194.4553442878599</c:v>
                </c:pt>
                <c:pt idx="576">
                  <c:v>-195.36576955647908</c:v>
                </c:pt>
                <c:pt idx="577">
                  <c:v>-199.16632040847651</c:v>
                </c:pt>
                <c:pt idx="578">
                  <c:v>-202.88475868565527</c:v>
                </c:pt>
                <c:pt idx="579">
                  <c:v>-210.77822064940545</c:v>
                </c:pt>
                <c:pt idx="580">
                  <c:v>-219.10526381647583</c:v>
                </c:pt>
                <c:pt idx="581">
                  <c:v>-227.92937982966595</c:v>
                </c:pt>
                <c:pt idx="582">
                  <c:v>-237.37624618724519</c:v>
                </c:pt>
                <c:pt idx="583">
                  <c:v>-247.62887096748736</c:v>
                </c:pt>
                <c:pt idx="584">
                  <c:v>-258.99563995779141</c:v>
                </c:pt>
                <c:pt idx="585">
                  <c:v>-271.94330124733091</c:v>
                </c:pt>
                <c:pt idx="586">
                  <c:v>-287.19403126953262</c:v>
                </c:pt>
                <c:pt idx="587">
                  <c:v>-305.73066088156384</c:v>
                </c:pt>
                <c:pt idx="588">
                  <c:v>-328.3551793699225</c:v>
                </c:pt>
                <c:pt idx="589">
                  <c:v>-174.46665919202908</c:v>
                </c:pt>
                <c:pt idx="590">
                  <c:v>-201.11486686959242</c:v>
                </c:pt>
                <c:pt idx="591">
                  <c:v>-225.37349460883925</c:v>
                </c:pt>
                <c:pt idx="592">
                  <c:v>-246.86100292913048</c:v>
                </c:pt>
                <c:pt idx="593">
                  <c:v>-267.18419321676527</c:v>
                </c:pt>
                <c:pt idx="594">
                  <c:v>-289.1405186121508</c:v>
                </c:pt>
                <c:pt idx="595">
                  <c:v>-317.57757134953721</c:v>
                </c:pt>
                <c:pt idx="596">
                  <c:v>-359.05530742091446</c:v>
                </c:pt>
                <c:pt idx="597">
                  <c:v>-226.20298424358282</c:v>
                </c:pt>
                <c:pt idx="598">
                  <c:v>-262.79800790619174</c:v>
                </c:pt>
                <c:pt idx="599">
                  <c:v>-294.65503927821862</c:v>
                </c:pt>
                <c:pt idx="600">
                  <c:v>-338.31290071982346</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1.0130081300813008</c:v>
                </c:pt>
                <c:pt idx="2">
                  <c:v>1.0260162601626017</c:v>
                </c:pt>
                <c:pt idx="3">
                  <c:v>1.0390243902439025</c:v>
                </c:pt>
                <c:pt idx="4">
                  <c:v>1.0520325203252032</c:v>
                </c:pt>
                <c:pt idx="5">
                  <c:v>1.065040650406504</c:v>
                </c:pt>
                <c:pt idx="6">
                  <c:v>1.0780487804878049</c:v>
                </c:pt>
                <c:pt idx="7">
                  <c:v>1.0910569105691057</c:v>
                </c:pt>
                <c:pt idx="8">
                  <c:v>1.1040650406504064</c:v>
                </c:pt>
                <c:pt idx="9">
                  <c:v>1.1170731707317074</c:v>
                </c:pt>
                <c:pt idx="10">
                  <c:v>1.1300813008130082</c:v>
                </c:pt>
                <c:pt idx="11">
                  <c:v>1.1430894308943089</c:v>
                </c:pt>
                <c:pt idx="12">
                  <c:v>1.1560975609756097</c:v>
                </c:pt>
                <c:pt idx="13">
                  <c:v>1.1691056910569106</c:v>
                </c:pt>
                <c:pt idx="14">
                  <c:v>1.1821138211382114</c:v>
                </c:pt>
                <c:pt idx="15">
                  <c:v>1.1951219512195121</c:v>
                </c:pt>
                <c:pt idx="16">
                  <c:v>1.4209446785730941</c:v>
                </c:pt>
                <c:pt idx="17">
                  <c:v>1.4464383790171751</c:v>
                </c:pt>
                <c:pt idx="18">
                  <c:v>1.4711926584028445</c:v>
                </c:pt>
                <c:pt idx="19">
                  <c:v>1.4952683507076228</c:v>
                </c:pt>
                <c:pt idx="20">
                  <c:v>1.5187183793706684</c:v>
                </c:pt>
                <c:pt idx="21">
                  <c:v>1.5415891266126467</c:v>
                </c:pt>
                <c:pt idx="22">
                  <c:v>1.563921512283982</c:v>
                </c:pt>
                <c:pt idx="23">
                  <c:v>1.5857518541793769</c:v>
                </c:pt>
                <c:pt idx="24">
                  <c:v>1.6071125616037365</c:v>
                </c:pt>
                <c:pt idx="25">
                  <c:v>1.6280327000682195</c:v>
                </c:pt>
                <c:pt idx="26">
                  <c:v>1.648538455227559</c:v>
                </c:pt>
                <c:pt idx="27">
                  <c:v>1.6686535171980115</c:v>
                </c:pt>
                <c:pt idx="28">
                  <c:v>1.688399401345593</c:v>
                </c:pt>
                <c:pt idx="29">
                  <c:v>1.7077957179272554</c:v>
                </c:pt>
                <c:pt idx="30">
                  <c:v>1.7268604002125416</c:v>
                </c:pt>
                <c:pt idx="31">
                  <c:v>1.7456098986421291</c:v>
                </c:pt>
                <c:pt idx="32">
                  <c:v>1.764059347006262</c:v>
                </c:pt>
                <c:pt idx="33">
                  <c:v>1.7822227054189543</c:v>
                </c:pt>
                <c:pt idx="34">
                  <c:v>1.8001128839293581</c:v>
                </c:pt>
                <c:pt idx="35">
                  <c:v>1.8177418498820028</c:v>
                </c:pt>
                <c:pt idx="36">
                  <c:v>1.8351207215633449</c:v>
                </c:pt>
                <c:pt idx="37">
                  <c:v>1.8522598502167336</c:v>
                </c:pt>
                <c:pt idx="38">
                  <c:v>1.8691688921442839</c:v>
                </c:pt>
                <c:pt idx="39">
                  <c:v>1.8858568723219351</c:v>
                </c:pt>
                <c:pt idx="40">
                  <c:v>1.9023322407176009</c:v>
                </c:pt>
                <c:pt idx="41">
                  <c:v>1.9186029223100447</c:v>
                </c:pt>
                <c:pt idx="42">
                  <c:v>2.0571568135434442</c:v>
                </c:pt>
                <c:pt idx="43">
                  <c:v>2.0920273902327504</c:v>
                </c:pt>
                <c:pt idx="44">
                  <c:v>2.1268979669220562</c:v>
                </c:pt>
                <c:pt idx="45">
                  <c:v>2.1617685436113625</c:v>
                </c:pt>
                <c:pt idx="46">
                  <c:v>2.1966391203006683</c:v>
                </c:pt>
                <c:pt idx="47">
                  <c:v>2.2315096969899741</c:v>
                </c:pt>
                <c:pt idx="48">
                  <c:v>2.26638027367928</c:v>
                </c:pt>
                <c:pt idx="49">
                  <c:v>2.3012508503685862</c:v>
                </c:pt>
                <c:pt idx="50">
                  <c:v>2.3361214270578921</c:v>
                </c:pt>
                <c:pt idx="51">
                  <c:v>2.3709920037471983</c:v>
                </c:pt>
                <c:pt idx="52">
                  <c:v>2.4058625804365041</c:v>
                </c:pt>
                <c:pt idx="53">
                  <c:v>2.44073315712581</c:v>
                </c:pt>
                <c:pt idx="54">
                  <c:v>2.4756037338151167</c:v>
                </c:pt>
                <c:pt idx="55">
                  <c:v>2.5104743105044225</c:v>
                </c:pt>
                <c:pt idx="56">
                  <c:v>2.5453448871937288</c:v>
                </c:pt>
                <c:pt idx="57">
                  <c:v>2.5802154638830341</c:v>
                </c:pt>
                <c:pt idx="58">
                  <c:v>2.61508604057234</c:v>
                </c:pt>
                <c:pt idx="59">
                  <c:v>2.6499566172616458</c:v>
                </c:pt>
                <c:pt idx="60">
                  <c:v>2.6848271939509525</c:v>
                </c:pt>
                <c:pt idx="61">
                  <c:v>2.7196977706402583</c:v>
                </c:pt>
                <c:pt idx="62">
                  <c:v>2.7545683473295641</c:v>
                </c:pt>
                <c:pt idx="63">
                  <c:v>2.7894389240188704</c:v>
                </c:pt>
                <c:pt idx="64">
                  <c:v>2.8243095007081758</c:v>
                </c:pt>
                <c:pt idx="65">
                  <c:v>2.8591800773974825</c:v>
                </c:pt>
                <c:pt idx="66">
                  <c:v>2.8940506540867883</c:v>
                </c:pt>
                <c:pt idx="67">
                  <c:v>2.9289212307760941</c:v>
                </c:pt>
                <c:pt idx="68">
                  <c:v>2.9637918074653999</c:v>
                </c:pt>
                <c:pt idx="69">
                  <c:v>2.9986623841547062</c:v>
                </c:pt>
                <c:pt idx="70">
                  <c:v>3.033532960844012</c:v>
                </c:pt>
                <c:pt idx="71">
                  <c:v>3.0684035375333174</c:v>
                </c:pt>
                <c:pt idx="72">
                  <c:v>3.1032741142226241</c:v>
                </c:pt>
                <c:pt idx="73">
                  <c:v>3.1381446909119299</c:v>
                </c:pt>
                <c:pt idx="74">
                  <c:v>3.1730152676012358</c:v>
                </c:pt>
                <c:pt idx="75">
                  <c:v>3.2078858442905425</c:v>
                </c:pt>
                <c:pt idx="76">
                  <c:v>3.2427564209798474</c:v>
                </c:pt>
                <c:pt idx="77">
                  <c:v>3.2776269976691541</c:v>
                </c:pt>
                <c:pt idx="78">
                  <c:v>3.3124975743584599</c:v>
                </c:pt>
                <c:pt idx="79">
                  <c:v>3.3473681510477657</c:v>
                </c:pt>
                <c:pt idx="80">
                  <c:v>3.3822387277370716</c:v>
                </c:pt>
                <c:pt idx="81">
                  <c:v>3.4171093044263774</c:v>
                </c:pt>
                <c:pt idx="82">
                  <c:v>3.4519798811156832</c:v>
                </c:pt>
                <c:pt idx="83">
                  <c:v>3.4868504578049899</c:v>
                </c:pt>
                <c:pt idx="84">
                  <c:v>3.5217210344942957</c:v>
                </c:pt>
                <c:pt idx="85">
                  <c:v>3.5565916111836016</c:v>
                </c:pt>
                <c:pt idx="86">
                  <c:v>3.5914621878729083</c:v>
                </c:pt>
                <c:pt idx="87">
                  <c:v>3.6263327645622141</c:v>
                </c:pt>
                <c:pt idx="88">
                  <c:v>3.6296296296296298</c:v>
                </c:pt>
                <c:pt idx="89">
                  <c:v>3.6296296296296298</c:v>
                </c:pt>
                <c:pt idx="90">
                  <c:v>3.6296296296296298</c:v>
                </c:pt>
                <c:pt idx="91">
                  <c:v>3.6296296296296298</c:v>
                </c:pt>
                <c:pt idx="92">
                  <c:v>3.6296296296296298</c:v>
                </c:pt>
                <c:pt idx="93">
                  <c:v>3.6296296296296298</c:v>
                </c:pt>
                <c:pt idx="94">
                  <c:v>3.6296296296296298</c:v>
                </c:pt>
                <c:pt idx="95">
                  <c:v>3.6296296296296298</c:v>
                </c:pt>
                <c:pt idx="96">
                  <c:v>3.6296296296296298</c:v>
                </c:pt>
                <c:pt idx="97">
                  <c:v>3.6296296296296298</c:v>
                </c:pt>
                <c:pt idx="98">
                  <c:v>3.6296296296296298</c:v>
                </c:pt>
                <c:pt idx="99">
                  <c:v>3.6296296296296298</c:v>
                </c:pt>
                <c:pt idx="100">
                  <c:v>3.6296296296296298</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Dual'!$AJ$5:$AJ$105</c:f>
              <c:numCache>
                <c:formatCode>0.000</c:formatCode>
                <c:ptCount val="101"/>
                <c:pt idx="0">
                  <c:v>1.0057142857142858</c:v>
                </c:pt>
                <c:pt idx="1">
                  <c:v>1.0130081300813008</c:v>
                </c:pt>
                <c:pt idx="2">
                  <c:v>1.0260162601626017</c:v>
                </c:pt>
                <c:pt idx="3">
                  <c:v>1.0390243902439025</c:v>
                </c:pt>
                <c:pt idx="4">
                  <c:v>1.0520325203252032</c:v>
                </c:pt>
                <c:pt idx="5">
                  <c:v>1.065040650406504</c:v>
                </c:pt>
                <c:pt idx="6">
                  <c:v>1.0780487804878049</c:v>
                </c:pt>
                <c:pt idx="7">
                  <c:v>1.0910569105691057</c:v>
                </c:pt>
                <c:pt idx="8">
                  <c:v>1.1040650406504064</c:v>
                </c:pt>
                <c:pt idx="9">
                  <c:v>1.1170731707317074</c:v>
                </c:pt>
                <c:pt idx="10">
                  <c:v>1.1300813008130082</c:v>
                </c:pt>
                <c:pt idx="11">
                  <c:v>1.1430894308943089</c:v>
                </c:pt>
                <c:pt idx="12">
                  <c:v>1.1560975609756097</c:v>
                </c:pt>
                <c:pt idx="13">
                  <c:v>1.1691056910569106</c:v>
                </c:pt>
                <c:pt idx="14">
                  <c:v>1.1821138211382114</c:v>
                </c:pt>
                <c:pt idx="15">
                  <c:v>1.1951219512195121</c:v>
                </c:pt>
                <c:pt idx="16">
                  <c:v>1.4209446785730941</c:v>
                </c:pt>
                <c:pt idx="17">
                  <c:v>1.4464383790171751</c:v>
                </c:pt>
                <c:pt idx="18">
                  <c:v>1.4711926584028445</c:v>
                </c:pt>
                <c:pt idx="19">
                  <c:v>1.4952683507076228</c:v>
                </c:pt>
                <c:pt idx="20">
                  <c:v>1.5187183793706684</c:v>
                </c:pt>
                <c:pt idx="21">
                  <c:v>1.5415891266126467</c:v>
                </c:pt>
                <c:pt idx="22">
                  <c:v>1.563921512283982</c:v>
                </c:pt>
                <c:pt idx="23">
                  <c:v>1.5857518541793769</c:v>
                </c:pt>
                <c:pt idx="24">
                  <c:v>1.6071125616037365</c:v>
                </c:pt>
                <c:pt idx="25">
                  <c:v>1.6280327000682195</c:v>
                </c:pt>
                <c:pt idx="26">
                  <c:v>1.648538455227559</c:v>
                </c:pt>
                <c:pt idx="27">
                  <c:v>1.6686535171980115</c:v>
                </c:pt>
                <c:pt idx="28">
                  <c:v>1.688399401345593</c:v>
                </c:pt>
                <c:pt idx="29">
                  <c:v>1.7077957179272554</c:v>
                </c:pt>
                <c:pt idx="30">
                  <c:v>1.7268604002125416</c:v>
                </c:pt>
                <c:pt idx="31">
                  <c:v>1.7456098986421291</c:v>
                </c:pt>
                <c:pt idx="32">
                  <c:v>1.764059347006262</c:v>
                </c:pt>
                <c:pt idx="33">
                  <c:v>1.7822227054189543</c:v>
                </c:pt>
                <c:pt idx="34">
                  <c:v>1.8001128839293581</c:v>
                </c:pt>
                <c:pt idx="35">
                  <c:v>1.8177418498820028</c:v>
                </c:pt>
                <c:pt idx="36">
                  <c:v>1.8351207215633449</c:v>
                </c:pt>
                <c:pt idx="37">
                  <c:v>1.8522598502167336</c:v>
                </c:pt>
                <c:pt idx="38">
                  <c:v>1.8691688921442839</c:v>
                </c:pt>
                <c:pt idx="39">
                  <c:v>1.8858568723219351</c:v>
                </c:pt>
                <c:pt idx="40">
                  <c:v>1.9023322407176009</c:v>
                </c:pt>
                <c:pt idx="41">
                  <c:v>1.9186029223100447</c:v>
                </c:pt>
                <c:pt idx="42">
                  <c:v>1.9346763616488136</c:v>
                </c:pt>
                <c:pt idx="43">
                  <c:v>1.9505595626662084</c:v>
                </c:pt>
                <c:pt idx="44">
                  <c:v>1.9662591243453622</c:v>
                </c:pt>
                <c:pt idx="45">
                  <c:v>1.9817812727597066</c:v>
                </c:pt>
                <c:pt idx="46">
                  <c:v>1.9971318899250716</c:v>
                </c:pt>
                <c:pt idx="47">
                  <c:v>2.0123165398435994</c:v>
                </c:pt>
                <c:pt idx="48">
                  <c:v>2.0273404920664841</c:v>
                </c:pt>
                <c:pt idx="49">
                  <c:v>2.0422087430584703</c:v>
                </c:pt>
                <c:pt idx="50">
                  <c:v>2.0569260356096795</c:v>
                </c:pt>
                <c:pt idx="51">
                  <c:v>2.0714968765085739</c:v>
                </c:pt>
                <c:pt idx="52">
                  <c:v>2.0859255526627196</c:v>
                </c:pt>
                <c:pt idx="53">
                  <c:v>2.1002161458307915</c:v>
                </c:pt>
                <c:pt idx="54">
                  <c:v>2.1143725461093084</c:v>
                </c:pt>
                <c:pt idx="55">
                  <c:v>2.1283984643003757</c:v>
                </c:pt>
                <c:pt idx="56">
                  <c:v>2.1422974432718664</c:v>
                </c:pt>
                <c:pt idx="57">
                  <c:v>2.1560728684085797</c:v>
                </c:pt>
                <c:pt idx="58">
                  <c:v>2.1697279772417355</c:v>
                </c:pt>
                <c:pt idx="59">
                  <c:v>2.1832658683343982</c:v>
                </c:pt>
                <c:pt idx="60">
                  <c:v>2.1966895094919212</c:v>
                </c:pt>
                <c:pt idx="61">
                  <c:v>2.2100017453590461</c:v>
                </c:pt>
                <c:pt idx="62">
                  <c:v>2.2232053044587374</c:v>
                </c:pt>
                <c:pt idx="63">
                  <c:v>2.2363028057220928</c:v>
                </c:pt>
                <c:pt idx="64">
                  <c:v>2.2492967645535957</c:v>
                </c:pt>
                <c:pt idx="65">
                  <c:v>2.2621895984714842</c:v>
                </c:pt>
                <c:pt idx="66">
                  <c:v>2.2749836323590684</c:v>
                </c:pt>
                <c:pt idx="67">
                  <c:v>2.287681103359299</c:v>
                </c:pt>
                <c:pt idx="68">
                  <c:v>2.3002841654417576</c:v>
                </c:pt>
                <c:pt idx="69">
                  <c:v>2.3127948936684923</c:v>
                </c:pt>
                <c:pt idx="70">
                  <c:v>2.3252152881826009</c:v>
                </c:pt>
                <c:pt idx="71">
                  <c:v>2.3375472779412845</c:v>
                </c:pt>
                <c:pt idx="72">
                  <c:v>2.3497927242130969</c:v>
                </c:pt>
                <c:pt idx="73">
                  <c:v>2.3619534238573414</c:v>
                </c:pt>
                <c:pt idx="74">
                  <c:v>2.3740311124019762</c:v>
                </c:pt>
                <c:pt idx="75">
                  <c:v>2.3860274669349577</c:v>
                </c:pt>
                <c:pt idx="76">
                  <c:v>2.397944108822653</c:v>
                </c:pt>
                <c:pt idx="77">
                  <c:v>2.4097826062678127</c:v>
                </c:pt>
                <c:pt idx="78">
                  <c:v>2.421544476718501</c:v>
                </c:pt>
                <c:pt idx="79">
                  <c:v>2.433231189138497</c:v>
                </c:pt>
                <c:pt idx="80">
                  <c:v>2.4448441661487443</c:v>
                </c:pt>
                <c:pt idx="81">
                  <c:v>2.4563847860487211</c:v>
                </c:pt>
                <c:pt idx="82">
                  <c:v>2.467854384725833</c:v>
                </c:pt>
                <c:pt idx="83">
                  <c:v>2.4792542574603393</c:v>
                </c:pt>
                <c:pt idx="84">
                  <c:v>2.4905856606327008</c:v>
                </c:pt>
                <c:pt idx="85">
                  <c:v>2.5018498133397262</c:v>
                </c:pt>
                <c:pt idx="86">
                  <c:v>2.5130478989253993</c:v>
                </c:pt>
                <c:pt idx="87">
                  <c:v>2.524181066431832</c:v>
                </c:pt>
                <c:pt idx="88">
                  <c:v>2.5352504319753715</c:v>
                </c:pt>
                <c:pt idx="89">
                  <c:v>2.5462570800525386</c:v>
                </c:pt>
                <c:pt idx="90">
                  <c:v>2.557202064780105</c:v>
                </c:pt>
                <c:pt idx="91">
                  <c:v>2.5680864110733443</c:v>
                </c:pt>
                <c:pt idx="92">
                  <c:v>2.5789111157661617</c:v>
                </c:pt>
                <c:pt idx="93">
                  <c:v>2.5896771486765844</c:v>
                </c:pt>
                <c:pt idx="94">
                  <c:v>2.6003854536208313</c:v>
                </c:pt>
                <c:pt idx="95">
                  <c:v>2.611036949378958</c:v>
                </c:pt>
                <c:pt idx="96">
                  <c:v>2.6216325306148804</c:v>
                </c:pt>
                <c:pt idx="97">
                  <c:v>2.632173068753378</c:v>
                </c:pt>
                <c:pt idx="98">
                  <c:v>2.6426594128165144</c:v>
                </c:pt>
                <c:pt idx="99">
                  <c:v>2.6530923902217474</c:v>
                </c:pt>
                <c:pt idx="100">
                  <c:v>2.6634728075438465</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1.0130081300813008</c:v>
                </c:pt>
                <c:pt idx="2">
                  <c:v>1.0260162601626017</c:v>
                </c:pt>
                <c:pt idx="3">
                  <c:v>1.0390243902439025</c:v>
                </c:pt>
                <c:pt idx="4">
                  <c:v>1.0520325203252032</c:v>
                </c:pt>
                <c:pt idx="5">
                  <c:v>1.065040650406504</c:v>
                </c:pt>
                <c:pt idx="6">
                  <c:v>1.0780487804878049</c:v>
                </c:pt>
                <c:pt idx="7">
                  <c:v>1.0910569105691057</c:v>
                </c:pt>
                <c:pt idx="8">
                  <c:v>1.1040650406504064</c:v>
                </c:pt>
                <c:pt idx="9">
                  <c:v>1.1170731707317074</c:v>
                </c:pt>
                <c:pt idx="10">
                  <c:v>1.1300813008130082</c:v>
                </c:pt>
                <c:pt idx="11">
                  <c:v>1.1430894308943089</c:v>
                </c:pt>
                <c:pt idx="12">
                  <c:v>1.1560975609756097</c:v>
                </c:pt>
                <c:pt idx="13">
                  <c:v>1.1691056910569106</c:v>
                </c:pt>
                <c:pt idx="14">
                  <c:v>1.1821138211382114</c:v>
                </c:pt>
                <c:pt idx="15">
                  <c:v>1.1951219512195121</c:v>
                </c:pt>
                <c:pt idx="16">
                  <c:v>1.4209446785730941</c:v>
                </c:pt>
                <c:pt idx="17">
                  <c:v>1.4464383790171751</c:v>
                </c:pt>
                <c:pt idx="18">
                  <c:v>1.4711926584028445</c:v>
                </c:pt>
                <c:pt idx="19">
                  <c:v>1.4952683507076228</c:v>
                </c:pt>
                <c:pt idx="20">
                  <c:v>1.5187183793706684</c:v>
                </c:pt>
                <c:pt idx="21">
                  <c:v>1.5415891266126467</c:v>
                </c:pt>
                <c:pt idx="22">
                  <c:v>1.563921512283982</c:v>
                </c:pt>
                <c:pt idx="23">
                  <c:v>1.5857518541793769</c:v>
                </c:pt>
                <c:pt idx="24">
                  <c:v>1.6071125616037365</c:v>
                </c:pt>
                <c:pt idx="25">
                  <c:v>1.6280327000682195</c:v>
                </c:pt>
                <c:pt idx="26">
                  <c:v>1.648538455227559</c:v>
                </c:pt>
                <c:pt idx="27">
                  <c:v>1.6686535171980115</c:v>
                </c:pt>
                <c:pt idx="28">
                  <c:v>1.688399401345593</c:v>
                </c:pt>
                <c:pt idx="29">
                  <c:v>1.7077957179272554</c:v>
                </c:pt>
                <c:pt idx="30">
                  <c:v>1.7268604002125416</c:v>
                </c:pt>
                <c:pt idx="31">
                  <c:v>1.7456098986421291</c:v>
                </c:pt>
                <c:pt idx="32">
                  <c:v>1.764059347006262</c:v>
                </c:pt>
                <c:pt idx="33">
                  <c:v>1.7822227054189543</c:v>
                </c:pt>
                <c:pt idx="34">
                  <c:v>1.8001128839293581</c:v>
                </c:pt>
                <c:pt idx="35">
                  <c:v>1.8177418498820028</c:v>
                </c:pt>
                <c:pt idx="36">
                  <c:v>1.8351207215633449</c:v>
                </c:pt>
                <c:pt idx="37">
                  <c:v>1.8522598502167336</c:v>
                </c:pt>
                <c:pt idx="38">
                  <c:v>1.8691688921442839</c:v>
                </c:pt>
                <c:pt idx="39">
                  <c:v>1.8858568723219351</c:v>
                </c:pt>
                <c:pt idx="40">
                  <c:v>1.9023322407176009</c:v>
                </c:pt>
                <c:pt idx="41">
                  <c:v>1.9186029223100447</c:v>
                </c:pt>
                <c:pt idx="42">
                  <c:v>1.9346763616488136</c:v>
                </c:pt>
                <c:pt idx="43">
                  <c:v>1.9505595626662084</c:v>
                </c:pt>
                <c:pt idx="44">
                  <c:v>1.9662591243453622</c:v>
                </c:pt>
                <c:pt idx="45">
                  <c:v>1.9817812727597066</c:v>
                </c:pt>
                <c:pt idx="46">
                  <c:v>1.9971318899250716</c:v>
                </c:pt>
                <c:pt idx="47">
                  <c:v>2.0123165398435994</c:v>
                </c:pt>
                <c:pt idx="48">
                  <c:v>2.0273404920664841</c:v>
                </c:pt>
                <c:pt idx="49">
                  <c:v>2.0422087430584703</c:v>
                </c:pt>
                <c:pt idx="50">
                  <c:v>2.0569260356096795</c:v>
                </c:pt>
                <c:pt idx="51">
                  <c:v>2.0714968765085739</c:v>
                </c:pt>
                <c:pt idx="52">
                  <c:v>2.0859255526627196</c:v>
                </c:pt>
                <c:pt idx="53">
                  <c:v>2.1002161458307915</c:v>
                </c:pt>
                <c:pt idx="54">
                  <c:v>2.1143725461093084</c:v>
                </c:pt>
                <c:pt idx="55">
                  <c:v>2.1283984643003757</c:v>
                </c:pt>
                <c:pt idx="56">
                  <c:v>2.1422974432718664</c:v>
                </c:pt>
                <c:pt idx="57">
                  <c:v>2.1560728684085797</c:v>
                </c:pt>
                <c:pt idx="58">
                  <c:v>2.1697279772417355</c:v>
                </c:pt>
                <c:pt idx="59">
                  <c:v>2.1832658683343982</c:v>
                </c:pt>
                <c:pt idx="60">
                  <c:v>2.1966895094919212</c:v>
                </c:pt>
                <c:pt idx="61">
                  <c:v>2.2100017453590461</c:v>
                </c:pt>
                <c:pt idx="62">
                  <c:v>2.2232053044587374</c:v>
                </c:pt>
                <c:pt idx="63">
                  <c:v>2.2363028057220928</c:v>
                </c:pt>
                <c:pt idx="64">
                  <c:v>2.2492967645535957</c:v>
                </c:pt>
                <c:pt idx="65">
                  <c:v>2.2621895984714842</c:v>
                </c:pt>
                <c:pt idx="66">
                  <c:v>2.2749836323590684</c:v>
                </c:pt>
                <c:pt idx="67">
                  <c:v>2.287681103359299</c:v>
                </c:pt>
                <c:pt idx="68">
                  <c:v>2.3002841654417576</c:v>
                </c:pt>
                <c:pt idx="69">
                  <c:v>2.3127948936684923</c:v>
                </c:pt>
                <c:pt idx="70">
                  <c:v>2.3252152881826009</c:v>
                </c:pt>
                <c:pt idx="71">
                  <c:v>2.3375472779412845</c:v>
                </c:pt>
                <c:pt idx="72">
                  <c:v>2.3497927242130969</c:v>
                </c:pt>
                <c:pt idx="73">
                  <c:v>2.3619534238573414</c:v>
                </c:pt>
                <c:pt idx="74">
                  <c:v>2.3740311124019762</c:v>
                </c:pt>
                <c:pt idx="75">
                  <c:v>2.3860274669349577</c:v>
                </c:pt>
                <c:pt idx="76">
                  <c:v>2.397944108822653</c:v>
                </c:pt>
                <c:pt idx="77">
                  <c:v>2.4097826062678127</c:v>
                </c:pt>
                <c:pt idx="78">
                  <c:v>2.421544476718501</c:v>
                </c:pt>
                <c:pt idx="79">
                  <c:v>2.433231189138497</c:v>
                </c:pt>
                <c:pt idx="80">
                  <c:v>2.594218608852755</c:v>
                </c:pt>
                <c:pt idx="81">
                  <c:v>2.6192389340560069</c:v>
                </c:pt>
                <c:pt idx="82">
                  <c:v>2.6442592592592589</c:v>
                </c:pt>
                <c:pt idx="83">
                  <c:v>2.6692795844625112</c:v>
                </c:pt>
                <c:pt idx="84">
                  <c:v>2.6942999096657632</c:v>
                </c:pt>
                <c:pt idx="85">
                  <c:v>2.7193202348690151</c:v>
                </c:pt>
                <c:pt idx="86">
                  <c:v>2.744340560072267</c:v>
                </c:pt>
                <c:pt idx="87">
                  <c:v>2.7693608852755194</c:v>
                </c:pt>
                <c:pt idx="88">
                  <c:v>2.7943812104787709</c:v>
                </c:pt>
                <c:pt idx="89">
                  <c:v>2.8194015356820232</c:v>
                </c:pt>
                <c:pt idx="90">
                  <c:v>2.8444218608852756</c:v>
                </c:pt>
                <c:pt idx="91">
                  <c:v>2.8694421860885275</c:v>
                </c:pt>
                <c:pt idx="92">
                  <c:v>2.8944625112917794</c:v>
                </c:pt>
                <c:pt idx="93">
                  <c:v>2.9194828364950309</c:v>
                </c:pt>
                <c:pt idx="94">
                  <c:v>2.9445031616982842</c:v>
                </c:pt>
                <c:pt idx="95">
                  <c:v>2.9695234869015357</c:v>
                </c:pt>
                <c:pt idx="96">
                  <c:v>2.9945438121047872</c:v>
                </c:pt>
                <c:pt idx="97">
                  <c:v>3.0195641373080395</c:v>
                </c:pt>
                <c:pt idx="98">
                  <c:v>3.0445844625112919</c:v>
                </c:pt>
                <c:pt idx="99">
                  <c:v>3.0696047877145434</c:v>
                </c:pt>
                <c:pt idx="100">
                  <c:v>3.0946251129177953</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1.1284956245671482E-5</c:v>
                </c:pt>
                <c:pt idx="1">
                  <c:v>35.661700296988805</c:v>
                </c:pt>
                <c:pt idx="2">
                  <c:v>50.772210965546229</c:v>
                </c:pt>
                <c:pt idx="3">
                  <c:v>59.122449822203357</c:v>
                </c:pt>
                <c:pt idx="4">
                  <c:v>64.419660098983115</c:v>
                </c:pt>
                <c:pt idx="5">
                  <c:v>68.079336061211336</c:v>
                </c:pt>
                <c:pt idx="6">
                  <c:v>70.759069932457379</c:v>
                </c:pt>
                <c:pt idx="7">
                  <c:v>72.805924419496563</c:v>
                </c:pt>
                <c:pt idx="8">
                  <c:v>74.420376798957946</c:v>
                </c:pt>
                <c:pt idx="9">
                  <c:v>75.272684528050476</c:v>
                </c:pt>
                <c:pt idx="10">
                  <c:v>75.365854240913222</c:v>
                </c:pt>
                <c:pt idx="11">
                  <c:v>75.470766100812298</c:v>
                </c:pt>
                <c:pt idx="12">
                  <c:v>75.587419046241791</c:v>
                </c:pt>
                <c:pt idx="13">
                  <c:v>75.715705656121173</c:v>
                </c:pt>
                <c:pt idx="14">
                  <c:v>75.855464455693493</c:v>
                </c:pt>
                <c:pt idx="15">
                  <c:v>76.006507459961796</c:v>
                </c:pt>
                <c:pt idx="16">
                  <c:v>76.247259646985484</c:v>
                </c:pt>
                <c:pt idx="17">
                  <c:v>76.517743668361476</c:v>
                </c:pt>
                <c:pt idx="18">
                  <c:v>76.767352579054688</c:v>
                </c:pt>
                <c:pt idx="19">
                  <c:v>76.999030262539577</c:v>
                </c:pt>
                <c:pt idx="20">
                  <c:v>77.215174539047212</c:v>
                </c:pt>
                <c:pt idx="21">
                  <c:v>77.41775984625329</c:v>
                </c:pt>
                <c:pt idx="22">
                  <c:v>77.608428035351977</c:v>
                </c:pt>
                <c:pt idx="23">
                  <c:v>77.788556589188516</c:v>
                </c:pt>
                <c:pt idx="24">
                  <c:v>77.959310580509936</c:v>
                </c:pt>
                <c:pt idx="25">
                  <c:v>78.121682739793755</c:v>
                </c:pt>
                <c:pt idx="26">
                  <c:v>78.2765247058325</c:v>
                </c:pt>
                <c:pt idx="27">
                  <c:v>78.424571654014841</c:v>
                </c:pt>
                <c:pt idx="28">
                  <c:v>78.566461892217262</c:v>
                </c:pt>
                <c:pt idx="29">
                  <c:v>78.702752590978591</c:v>
                </c:pt>
                <c:pt idx="30">
                  <c:v>78.83393251434974</c:v>
                </c:pt>
                <c:pt idx="31">
                  <c:v>78.960432401975567</c:v>
                </c:pt>
                <c:pt idx="32">
                  <c:v>79.082633495943398</c:v>
                </c:pt>
                <c:pt idx="33">
                  <c:v>79.200874590408247</c:v>
                </c:pt>
                <c:pt idx="34">
                  <c:v>79.315457896118033</c:v>
                </c:pt>
                <c:pt idx="35">
                  <c:v>79.426653947481967</c:v>
                </c:pt>
                <c:pt idx="36">
                  <c:v>79.534705730973101</c:v>
                </c:pt>
                <c:pt idx="37">
                  <c:v>79.639832176323225</c:v>
                </c:pt>
                <c:pt idx="38">
                  <c:v>79.742231123209365</c:v>
                </c:pt>
                <c:pt idx="39">
                  <c:v>79.842081853806363</c:v>
                </c:pt>
                <c:pt idx="40">
                  <c:v>79.939547264126531</c:v>
                </c:pt>
                <c:pt idx="41">
                  <c:v>80.034775733328601</c:v>
                </c:pt>
                <c:pt idx="42">
                  <c:v>80.127902739293901</c:v>
                </c:pt>
                <c:pt idx="43">
                  <c:v>80.219052260093221</c:v>
                </c:pt>
                <c:pt idx="44">
                  <c:v>80.308337994012902</c:v>
                </c:pt>
                <c:pt idx="45">
                  <c:v>80.395864425202944</c:v>
                </c:pt>
                <c:pt idx="46">
                  <c:v>80.481727757467851</c:v>
                </c:pt>
                <c:pt idx="47">
                  <c:v>80.56601673502135</c:v>
                </c:pt>
                <c:pt idx="48">
                  <c:v>80.648813366000056</c:v>
                </c:pt>
                <c:pt idx="49">
                  <c:v>80.730193562042814</c:v>
                </c:pt>
                <c:pt idx="50">
                  <c:v>80.810227705189007</c:v>
                </c:pt>
                <c:pt idx="51">
                  <c:v>80.88898115164713</c:v>
                </c:pt>
                <c:pt idx="52">
                  <c:v>80.966514680567045</c:v>
                </c:pt>
                <c:pt idx="53">
                  <c:v>81.042884894766914</c:v>
                </c:pt>
                <c:pt idx="54">
                  <c:v>81.118144579372</c:v>
                </c:pt>
                <c:pt idx="55">
                  <c:v>81.192343023488533</c:v>
                </c:pt>
                <c:pt idx="56">
                  <c:v>81.247449836073528</c:v>
                </c:pt>
                <c:pt idx="57">
                  <c:v>81.253070014727484</c:v>
                </c:pt>
                <c:pt idx="58">
                  <c:v>81.256841580449191</c:v>
                </c:pt>
                <c:pt idx="59">
                  <c:v>81.258895097676842</c:v>
                </c:pt>
                <c:pt idx="60">
                  <c:v>81.259350226875654</c:v>
                </c:pt>
                <c:pt idx="61">
                  <c:v>81.258316768040899</c:v>
                </c:pt>
                <c:pt idx="62">
                  <c:v>81.255895591134021</c:v>
                </c:pt>
                <c:pt idx="63">
                  <c:v>81.252179467113336</c:v>
                </c:pt>
                <c:pt idx="64">
                  <c:v>81.247253811404391</c:v>
                </c:pt>
                <c:pt idx="65">
                  <c:v>81.241197350100663</c:v>
                </c:pt>
                <c:pt idx="66">
                  <c:v>81.234082717853966</c:v>
                </c:pt>
                <c:pt idx="67">
                  <c:v>81.225976995269676</c:v>
                </c:pt>
                <c:pt idx="68">
                  <c:v>81.216942192636878</c:v>
                </c:pt>
                <c:pt idx="69">
                  <c:v>81.207035685973807</c:v>
                </c:pt>
                <c:pt idx="70">
                  <c:v>81.196310610634697</c:v>
                </c:pt>
                <c:pt idx="71">
                  <c:v>81.18481621708807</c:v>
                </c:pt>
                <c:pt idx="72">
                  <c:v>81.172598192923985</c:v>
                </c:pt>
                <c:pt idx="73">
                  <c:v>81.159698954668656</c:v>
                </c:pt>
                <c:pt idx="74">
                  <c:v>81.146157912566153</c:v>
                </c:pt>
                <c:pt idx="75">
                  <c:v>81.132011711122402</c:v>
                </c:pt>
                <c:pt idx="76">
                  <c:v>81.117294447888227</c:v>
                </c:pt>
                <c:pt idx="77">
                  <c:v>81.102037872678423</c:v>
                </c:pt>
                <c:pt idx="78">
                  <c:v>81.0862715691799</c:v>
                </c:pt>
                <c:pt idx="79">
                  <c:v>81.070023120686059</c:v>
                </c:pt>
                <c:pt idx="80">
                  <c:v>81.05331826150622</c:v>
                </c:pt>
                <c:pt idx="81">
                  <c:v>81.036181015431552</c:v>
                </c:pt>
                <c:pt idx="82">
                  <c:v>81.018633822492546</c:v>
                </c:pt>
                <c:pt idx="83">
                  <c:v>81.000697655112589</c:v>
                </c:pt>
                <c:pt idx="84">
                  <c:v>80.982392124647205</c:v>
                </c:pt>
                <c:pt idx="85">
                  <c:v>80.963735579197092</c:v>
                </c:pt>
                <c:pt idx="86">
                  <c:v>80.944745193491897</c:v>
                </c:pt>
                <c:pt idx="87">
                  <c:v>80.925437051561872</c:v>
                </c:pt>
                <c:pt idx="88">
                  <c:v>80.905826222842549</c:v>
                </c:pt>
                <c:pt idx="89">
                  <c:v>80.885926832294302</c:v>
                </c:pt>
                <c:pt idx="90">
                  <c:v>80.865752125061405</c:v>
                </c:pt>
                <c:pt idx="91">
                  <c:v>80.845314526144534</c:v>
                </c:pt>
                <c:pt idx="92">
                  <c:v>80.824625695515479</c:v>
                </c:pt>
                <c:pt idx="93">
                  <c:v>80.803696579061864</c:v>
                </c:pt>
                <c:pt idx="94">
                  <c:v>80.782537455713239</c:v>
                </c:pt>
                <c:pt idx="95">
                  <c:v>80.761157981067683</c:v>
                </c:pt>
                <c:pt idx="96">
                  <c:v>80.739567227807967</c:v>
                </c:pt>
                <c:pt idx="97">
                  <c:v>80.717773723170509</c:v>
                </c:pt>
                <c:pt idx="98">
                  <c:v>80.695785483706246</c:v>
                </c:pt>
                <c:pt idx="99">
                  <c:v>80.673610047551236</c:v>
                </c:pt>
                <c:pt idx="100">
                  <c:v>80.6512545044056</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1.8000000000000001E-6</c:v>
                </c:pt>
                <c:pt idx="1">
                  <c:v>10.305</c:v>
                </c:pt>
                <c:pt idx="2">
                  <c:v>20.61</c:v>
                </c:pt>
                <c:pt idx="3">
                  <c:v>30.914999999999999</c:v>
                </c:pt>
                <c:pt idx="4">
                  <c:v>41.22</c:v>
                </c:pt>
                <c:pt idx="5">
                  <c:v>51.524999999999999</c:v>
                </c:pt>
                <c:pt idx="6">
                  <c:v>61.83</c:v>
                </c:pt>
                <c:pt idx="7">
                  <c:v>72.135000000000005</c:v>
                </c:pt>
                <c:pt idx="8">
                  <c:v>82.44</c:v>
                </c:pt>
                <c:pt idx="9">
                  <c:v>92.745000000000005</c:v>
                </c:pt>
                <c:pt idx="10">
                  <c:v>103.05</c:v>
                </c:pt>
                <c:pt idx="11">
                  <c:v>113.35500000000002</c:v>
                </c:pt>
                <c:pt idx="12">
                  <c:v>123.66</c:v>
                </c:pt>
                <c:pt idx="13">
                  <c:v>133.965</c:v>
                </c:pt>
                <c:pt idx="14">
                  <c:v>144.27000000000001</c:v>
                </c:pt>
                <c:pt idx="15">
                  <c:v>154.57500000000002</c:v>
                </c:pt>
                <c:pt idx="16">
                  <c:v>164.88</c:v>
                </c:pt>
                <c:pt idx="17">
                  <c:v>175.185</c:v>
                </c:pt>
                <c:pt idx="18">
                  <c:v>185.49</c:v>
                </c:pt>
                <c:pt idx="19">
                  <c:v>195.79499999999999</c:v>
                </c:pt>
                <c:pt idx="20">
                  <c:v>206.1</c:v>
                </c:pt>
                <c:pt idx="21">
                  <c:v>216.405</c:v>
                </c:pt>
                <c:pt idx="22">
                  <c:v>226.71000000000004</c:v>
                </c:pt>
                <c:pt idx="23">
                  <c:v>237.01500000000004</c:v>
                </c:pt>
                <c:pt idx="24">
                  <c:v>247.32</c:v>
                </c:pt>
                <c:pt idx="25">
                  <c:v>257.625</c:v>
                </c:pt>
                <c:pt idx="26">
                  <c:v>267.93</c:v>
                </c:pt>
                <c:pt idx="27">
                  <c:v>278.23500000000001</c:v>
                </c:pt>
                <c:pt idx="28">
                  <c:v>288.54000000000002</c:v>
                </c:pt>
                <c:pt idx="29">
                  <c:v>298.84500000000003</c:v>
                </c:pt>
                <c:pt idx="30">
                  <c:v>309.15000000000003</c:v>
                </c:pt>
                <c:pt idx="31">
                  <c:v>319.45499999999998</c:v>
                </c:pt>
                <c:pt idx="32">
                  <c:v>329.76</c:v>
                </c:pt>
                <c:pt idx="33">
                  <c:v>340.065</c:v>
                </c:pt>
                <c:pt idx="34">
                  <c:v>350.37</c:v>
                </c:pt>
                <c:pt idx="35">
                  <c:v>360.67499999999995</c:v>
                </c:pt>
                <c:pt idx="36">
                  <c:v>370.98</c:v>
                </c:pt>
                <c:pt idx="37">
                  <c:v>381.28499999999997</c:v>
                </c:pt>
                <c:pt idx="38">
                  <c:v>391.59</c:v>
                </c:pt>
                <c:pt idx="39">
                  <c:v>401.89499999999998</c:v>
                </c:pt>
                <c:pt idx="40">
                  <c:v>412.2</c:v>
                </c:pt>
                <c:pt idx="41">
                  <c:v>422.50499999999994</c:v>
                </c:pt>
                <c:pt idx="42">
                  <c:v>432.81</c:v>
                </c:pt>
                <c:pt idx="43">
                  <c:v>443.11499999999995</c:v>
                </c:pt>
                <c:pt idx="44">
                  <c:v>453.42000000000007</c:v>
                </c:pt>
                <c:pt idx="45">
                  <c:v>463.72499999999997</c:v>
                </c:pt>
                <c:pt idx="46">
                  <c:v>474.03000000000009</c:v>
                </c:pt>
                <c:pt idx="47">
                  <c:v>484.33500000000004</c:v>
                </c:pt>
                <c:pt idx="48">
                  <c:v>494.64</c:v>
                </c:pt>
                <c:pt idx="49">
                  <c:v>504.94499999999999</c:v>
                </c:pt>
                <c:pt idx="50">
                  <c:v>515.25</c:v>
                </c:pt>
                <c:pt idx="51">
                  <c:v>525.55499999999995</c:v>
                </c:pt>
                <c:pt idx="52">
                  <c:v>535.86</c:v>
                </c:pt>
                <c:pt idx="53">
                  <c:v>546.16499999999996</c:v>
                </c:pt>
                <c:pt idx="54">
                  <c:v>556.47</c:v>
                </c:pt>
                <c:pt idx="55">
                  <c:v>566.77499999999998</c:v>
                </c:pt>
                <c:pt idx="56">
                  <c:v>577.08000000000004</c:v>
                </c:pt>
                <c:pt idx="57">
                  <c:v>587.38499999999999</c:v>
                </c:pt>
                <c:pt idx="58">
                  <c:v>597.69000000000005</c:v>
                </c:pt>
                <c:pt idx="59">
                  <c:v>607.995</c:v>
                </c:pt>
                <c:pt idx="60">
                  <c:v>618.30000000000007</c:v>
                </c:pt>
                <c:pt idx="61">
                  <c:v>628.60500000000002</c:v>
                </c:pt>
                <c:pt idx="62">
                  <c:v>638.91</c:v>
                </c:pt>
                <c:pt idx="63">
                  <c:v>649.21500000000015</c:v>
                </c:pt>
                <c:pt idx="64">
                  <c:v>659.52</c:v>
                </c:pt>
                <c:pt idx="65">
                  <c:v>669.82500000000016</c:v>
                </c:pt>
                <c:pt idx="66">
                  <c:v>680.13</c:v>
                </c:pt>
                <c:pt idx="67">
                  <c:v>690.43500000000006</c:v>
                </c:pt>
                <c:pt idx="68">
                  <c:v>700.74</c:v>
                </c:pt>
                <c:pt idx="69">
                  <c:v>711.04499999999996</c:v>
                </c:pt>
                <c:pt idx="70">
                  <c:v>721.34999999999991</c:v>
                </c:pt>
                <c:pt idx="71">
                  <c:v>731.65499999999997</c:v>
                </c:pt>
                <c:pt idx="72">
                  <c:v>741.96</c:v>
                </c:pt>
                <c:pt idx="73">
                  <c:v>752.26499999999999</c:v>
                </c:pt>
                <c:pt idx="74">
                  <c:v>762.56999999999994</c:v>
                </c:pt>
                <c:pt idx="75">
                  <c:v>772.875</c:v>
                </c:pt>
                <c:pt idx="76">
                  <c:v>783.18</c:v>
                </c:pt>
                <c:pt idx="77">
                  <c:v>793.48500000000001</c:v>
                </c:pt>
                <c:pt idx="78">
                  <c:v>803.79</c:v>
                </c:pt>
                <c:pt idx="79">
                  <c:v>814.09500000000003</c:v>
                </c:pt>
                <c:pt idx="80">
                  <c:v>824.4</c:v>
                </c:pt>
                <c:pt idx="81">
                  <c:v>834.70500000000004</c:v>
                </c:pt>
                <c:pt idx="82">
                  <c:v>845.00999999999988</c:v>
                </c:pt>
                <c:pt idx="83">
                  <c:v>855.31500000000005</c:v>
                </c:pt>
                <c:pt idx="84">
                  <c:v>865.62</c:v>
                </c:pt>
                <c:pt idx="85">
                  <c:v>875.92500000000007</c:v>
                </c:pt>
                <c:pt idx="86">
                  <c:v>886.2299999999999</c:v>
                </c:pt>
                <c:pt idx="87">
                  <c:v>896.53500000000008</c:v>
                </c:pt>
                <c:pt idx="88">
                  <c:v>906.84000000000015</c:v>
                </c:pt>
                <c:pt idx="89">
                  <c:v>917.1450000000001</c:v>
                </c:pt>
                <c:pt idx="90">
                  <c:v>927.44999999999993</c:v>
                </c:pt>
                <c:pt idx="91">
                  <c:v>937.75499999999988</c:v>
                </c:pt>
                <c:pt idx="92">
                  <c:v>948.06000000000017</c:v>
                </c:pt>
                <c:pt idx="93">
                  <c:v>958.36500000000012</c:v>
                </c:pt>
                <c:pt idx="94">
                  <c:v>968.67000000000007</c:v>
                </c:pt>
                <c:pt idx="95">
                  <c:v>978.97499999999991</c:v>
                </c:pt>
                <c:pt idx="96">
                  <c:v>989.28</c:v>
                </c:pt>
                <c:pt idx="97">
                  <c:v>999.58499999999992</c:v>
                </c:pt>
                <c:pt idx="98">
                  <c:v>1009.89</c:v>
                </c:pt>
                <c:pt idx="99">
                  <c:v>1020.1949999999999</c:v>
                </c:pt>
                <c:pt idx="100">
                  <c:v>1030.5</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7.1116851496331464</c:v>
                </c:pt>
                <c:pt idx="1">
                  <c:v>11.747545972675704</c:v>
                </c:pt>
                <c:pt idx="2">
                  <c:v>20.016145083811946</c:v>
                </c:pt>
                <c:pt idx="3">
                  <c:v>28.285797534648228</c:v>
                </c:pt>
                <c:pt idx="4">
                  <c:v>36.556503526475346</c:v>
                </c:pt>
                <c:pt idx="5">
                  <c:v>44.828263260635374</c:v>
                </c:pt>
                <c:pt idx="6">
                  <c:v>53.101076938521686</c:v>
                </c:pt>
                <c:pt idx="7">
                  <c:v>61.374944761579009</c:v>
                </c:pt>
                <c:pt idx="8">
                  <c:v>69.649866931303379</c:v>
                </c:pt>
                <c:pt idx="9">
                  <c:v>78.691151725501555</c:v>
                </c:pt>
                <c:pt idx="10">
                  <c:v>89.164354118239487</c:v>
                </c:pt>
                <c:pt idx="11">
                  <c:v>100.02144442391574</c:v>
                </c:pt>
                <c:pt idx="12">
                  <c:v>111.26172508137795</c:v>
                </c:pt>
                <c:pt idx="13">
                  <c:v>122.88555710689374</c:v>
                </c:pt>
                <c:pt idx="14">
                  <c:v>134.89415472331055</c:v>
                </c:pt>
                <c:pt idx="15">
                  <c:v>147.28943665781233</c:v>
                </c:pt>
                <c:pt idx="16">
                  <c:v>153.94173788564197</c:v>
                </c:pt>
                <c:pt idx="17">
                  <c:v>156.97828774198544</c:v>
                </c:pt>
                <c:pt idx="18">
                  <c:v>160.00603016297953</c:v>
                </c:pt>
                <c:pt idx="19">
                  <c:v>163.02800284113584</c:v>
                </c:pt>
                <c:pt idx="20">
                  <c:v>166.04680062668834</c:v>
                </c:pt>
                <c:pt idx="21">
                  <c:v>169.06465626759507</c:v>
                </c:pt>
                <c:pt idx="22">
                  <c:v>172.08350354325299</c:v>
                </c:pt>
                <c:pt idx="23">
                  <c:v>175.1050272279669</c:v>
                </c:pt>
                <c:pt idx="24">
                  <c:v>178.13070306278925</c:v>
                </c:pt>
                <c:pt idx="25">
                  <c:v>181.16183005001082</c:v>
                </c:pt>
                <c:pt idx="26">
                  <c:v>184.1995567798385</c:v>
                </c:pt>
                <c:pt idx="27">
                  <c:v>187.24490306883189</c:v>
                </c:pt>
                <c:pt idx="28">
                  <c:v>190.2987778794498</c:v>
                </c:pt>
                <c:pt idx="29">
                  <c:v>193.3619942632217</c:v>
                </c:pt>
                <c:pt idx="30">
                  <c:v>196.43528190212504</c:v>
                </c:pt>
                <c:pt idx="31">
                  <c:v>199.51929769700612</c:v>
                </c:pt>
                <c:pt idx="32">
                  <c:v>202.61463475673401</c:v>
                </c:pt>
                <c:pt idx="33">
                  <c:v>205.72183006906661</c:v>
                </c:pt>
                <c:pt idx="34">
                  <c:v>208.84137107814513</c:v>
                </c:pt>
                <c:pt idx="35">
                  <c:v>211.97370134993014</c:v>
                </c:pt>
                <c:pt idx="36">
                  <c:v>215.11922547271462</c:v>
                </c:pt>
                <c:pt idx="37">
                  <c:v>218.27831331285935</c:v>
                </c:pt>
                <c:pt idx="38">
                  <c:v>221.45130372442796</c:v>
                </c:pt>
                <c:pt idx="39">
                  <c:v>224.63850779421921</c:v>
                </c:pt>
                <c:pt idx="40">
                  <c:v>227.84021168984992</c:v>
                </c:pt>
                <c:pt idx="41">
                  <c:v>231.05667916733015</c:v>
                </c:pt>
                <c:pt idx="42">
                  <c:v>234.28815378543652</c:v>
                </c:pt>
                <c:pt idx="43">
                  <c:v>237.53486086670432</c:v>
                </c:pt>
                <c:pt idx="44">
                  <c:v>240.79700923870516</c:v>
                </c:pt>
                <c:pt idx="45">
                  <c:v>244.07479278417887</c:v>
                </c:pt>
                <c:pt idx="46">
                  <c:v>247.36839182436327</c:v>
                </c:pt>
                <c:pt idx="47">
                  <c:v>250.67797435633031</c:v>
                </c:pt>
                <c:pt idx="48">
                  <c:v>254.0036971621868</c:v>
                </c:pt>
                <c:pt idx="49">
                  <c:v>257.34570680550564</c:v>
                </c:pt>
                <c:pt idx="50">
                  <c:v>260.70414052826089</c:v>
                </c:pt>
                <c:pt idx="51">
                  <c:v>264.07912705975752</c:v>
                </c:pt>
                <c:pt idx="52">
                  <c:v>267.47078734753995</c:v>
                </c:pt>
                <c:pt idx="53">
                  <c:v>270.87923521897147</c:v>
                </c:pt>
                <c:pt idx="54">
                  <c:v>274.30457798107886</c:v>
                </c:pt>
                <c:pt idx="55">
                  <c:v>277.7469169653067</c:v>
                </c:pt>
                <c:pt idx="56">
                  <c:v>279.82482797921733</c:v>
                </c:pt>
                <c:pt idx="57">
                  <c:v>278.29322716773072</c:v>
                </c:pt>
                <c:pt idx="58">
                  <c:v>276.82758136326953</c:v>
                </c:pt>
                <c:pt idx="59">
                  <c:v>275.42456496936126</c:v>
                </c:pt>
                <c:pt idx="60">
                  <c:v>274.08107013768415</c:v>
                </c:pt>
                <c:pt idx="61">
                  <c:v>272.79418921465168</c:v>
                </c:pt>
                <c:pt idx="62">
                  <c:v>271.5611988626452</c:v>
                </c:pt>
                <c:pt idx="63">
                  <c:v>270.37954567206845</c:v>
                </c:pt>
                <c:pt idx="64">
                  <c:v>269.24683310314037</c:v>
                </c:pt>
                <c:pt idx="65">
                  <c:v>268.16080961595549</c:v>
                </c:pt>
                <c:pt idx="66">
                  <c:v>267.11935786432048</c:v>
                </c:pt>
                <c:pt idx="67">
                  <c:v>266.12048484357427</c:v>
                </c:pt>
                <c:pt idx="68">
                  <c:v>265.16231289538877</c:v>
                </c:pt>
                <c:pt idx="69">
                  <c:v>264.24307148366893</c:v>
                </c:pt>
                <c:pt idx="70">
                  <c:v>263.3610896653887</c:v>
                </c:pt>
                <c:pt idx="71">
                  <c:v>262.51478918868349</c:v>
                </c:pt>
                <c:pt idx="72">
                  <c:v>261.70267815796785</c:v>
                </c:pt>
                <c:pt idx="73">
                  <c:v>260.92334521236904</c:v>
                </c:pt>
                <c:pt idx="74">
                  <c:v>260.17545416951918</c:v>
                </c:pt>
                <c:pt idx="75">
                  <c:v>259.45773909180559</c:v>
                </c:pt>
                <c:pt idx="76">
                  <c:v>258.7689997366457</c:v>
                </c:pt>
                <c:pt idx="77">
                  <c:v>258.10809735630852</c:v>
                </c:pt>
                <c:pt idx="78">
                  <c:v>257.47395081629395</c:v>
                </c:pt>
                <c:pt idx="79">
                  <c:v>256.86553300439664</c:v>
                </c:pt>
                <c:pt idx="80">
                  <c:v>256.2818675053274</c:v>
                </c:pt>
                <c:pt idx="81">
                  <c:v>255.72202551822926</c:v>
                </c:pt>
                <c:pt idx="82">
                  <c:v>255.18512299660568</c:v>
                </c:pt>
                <c:pt idx="83">
                  <c:v>254.67031799213692</c:v>
                </c:pt>
                <c:pt idx="84">
                  <c:v>254.17680818559973</c:v>
                </c:pt>
                <c:pt idx="85">
                  <c:v>253.70382858967395</c:v>
                </c:pt>
                <c:pt idx="86">
                  <c:v>253.25064940981557</c:v>
                </c:pt>
                <c:pt idx="87">
                  <c:v>252.8165740506353</c:v>
                </c:pt>
                <c:pt idx="88">
                  <c:v>252.40093725635055</c:v>
                </c:pt>
                <c:pt idx="89">
                  <c:v>252.00310337489296</c:v>
                </c:pt>
                <c:pt idx="90">
                  <c:v>251.62246473617461</c:v>
                </c:pt>
                <c:pt idx="91">
                  <c:v>251.25844013583693</c:v>
                </c:pt>
                <c:pt idx="92">
                  <c:v>250.91047341655437</c:v>
                </c:pt>
                <c:pt idx="93">
                  <c:v>250.5780321396411</c:v>
                </c:pt>
                <c:pt idx="94">
                  <c:v>250.26060634031589</c:v>
                </c:pt>
                <c:pt idx="95">
                  <c:v>249.95770736053873</c:v>
                </c:pt>
                <c:pt idx="96">
                  <c:v>249.66886675382739</c:v>
                </c:pt>
                <c:pt idx="97">
                  <c:v>249.39363525692727</c:v>
                </c:pt>
                <c:pt idx="98">
                  <c:v>249.13158182361349</c:v>
                </c:pt>
                <c:pt idx="99">
                  <c:v>248.88229271628654</c:v>
                </c:pt>
                <c:pt idx="100">
                  <c:v>248.64537065136406</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201.13012486110438</c:v>
                </c:pt>
                <c:pt idx="1">
                  <c:v>200.03570633955144</c:v>
                </c:pt>
                <c:pt idx="2">
                  <c:v>198.08478417839822</c:v>
                </c:pt>
                <c:pt idx="3">
                  <c:v>196.13502373219956</c:v>
                </c:pt>
                <c:pt idx="4">
                  <c:v>194.18642425583479</c:v>
                </c:pt>
                <c:pt idx="5">
                  <c:v>192.23898500481931</c:v>
                </c:pt>
                <c:pt idx="6">
                  <c:v>190.29270523530568</c:v>
                </c:pt>
                <c:pt idx="7">
                  <c:v>188.3475842040817</c:v>
                </c:pt>
                <c:pt idx="8">
                  <c:v>186.40362116857054</c:v>
                </c:pt>
                <c:pt idx="9">
                  <c:v>192.51251017141729</c:v>
                </c:pt>
                <c:pt idx="10">
                  <c:v>210.15132905308923</c:v>
                </c:pt>
                <c:pt idx="11">
                  <c:v>226.7282125040677</c:v>
                </c:pt>
                <c:pt idx="12">
                  <c:v>242.17175211262415</c:v>
                </c:pt>
                <c:pt idx="13">
                  <c:v>256.41357880448476</c:v>
                </c:pt>
                <c:pt idx="14">
                  <c:v>269.38818564713523</c:v>
                </c:pt>
                <c:pt idx="15">
                  <c:v>281.03281064063412</c:v>
                </c:pt>
                <c:pt idx="16">
                  <c:v>294.7530661912283</c:v>
                </c:pt>
                <c:pt idx="17">
                  <c:v>310.05792095184671</c:v>
                </c:pt>
                <c:pt idx="18">
                  <c:v>325.08721161701885</c:v>
                </c:pt>
                <c:pt idx="19">
                  <c:v>339.84771983572728</c:v>
                </c:pt>
                <c:pt idx="20">
                  <c:v>354.34563586321781</c:v>
                </c:pt>
                <c:pt idx="21">
                  <c:v>368.58663698325989</c:v>
                </c:pt>
                <c:pt idx="22">
                  <c:v>382.57595245238741</c:v>
                </c:pt>
                <c:pt idx="23">
                  <c:v>396.31841778839134</c:v>
                </c:pt>
                <c:pt idx="24">
                  <c:v>409.81852053679586</c:v>
                </c:pt>
                <c:pt idx="25">
                  <c:v>423.08043915037251</c:v>
                </c:pt>
                <c:pt idx="26">
                  <c:v>436.10807625002803</c:v>
                </c:pt>
                <c:pt idx="27">
                  <c:v>448.9050872619344</c:v>
                </c:pt>
                <c:pt idx="28">
                  <c:v>461.47490521926346</c:v>
                </c:pt>
                <c:pt idx="29">
                  <c:v>473.82076235911097</c:v>
                </c:pt>
                <c:pt idx="30">
                  <c:v>485.94570902336523</c:v>
                </c:pt>
                <c:pt idx="31">
                  <c:v>497.85263027726631</c:v>
                </c:pt>
                <c:pt idx="32">
                  <c:v>509.54426058463588</c:v>
                </c:pt>
                <c:pt idx="33">
                  <c:v>521.02319681941322</c:v>
                </c:pt>
                <c:pt idx="34">
                  <c:v>532.29190984567003</c:v>
                </c:pt>
                <c:pt idx="35">
                  <c:v>543.35275486002342</c:v>
                </c:pt>
                <c:pt idx="36">
                  <c:v>554.20798065932229</c:v>
                </c:pt>
                <c:pt idx="37">
                  <c:v>564.85973797114866</c:v>
                </c:pt>
                <c:pt idx="38">
                  <c:v>575.31008696384129</c:v>
                </c:pt>
                <c:pt idx="39">
                  <c:v>585.56100403553921</c:v>
                </c:pt>
                <c:pt idx="40">
                  <c:v>595.61438796746063</c:v>
                </c:pt>
                <c:pt idx="41">
                  <c:v>605.47206551467525</c:v>
                </c:pt>
                <c:pt idx="42">
                  <c:v>615.1357964976371</c:v>
                </c:pt>
                <c:pt idx="43">
                  <c:v>624.60727844927828</c:v>
                </c:pt>
                <c:pt idx="44">
                  <c:v>633.8881508653435</c:v>
                </c:pt>
                <c:pt idx="45">
                  <c:v>642.97999909955195</c:v>
                </c:pt>
                <c:pt idx="46">
                  <c:v>651.88435794000316</c:v>
                </c:pt>
                <c:pt idx="47">
                  <c:v>660.60271489879744</c:v>
                </c:pt>
                <c:pt idx="48">
                  <c:v>669.1365132430318</c:v>
                </c:pt>
                <c:pt idx="49">
                  <c:v>677.4871547920402</c:v>
                </c:pt>
                <c:pt idx="50">
                  <c:v>685.65600250289572</c:v>
                </c:pt>
                <c:pt idx="51">
                  <c:v>693.64438286372979</c:v>
                </c:pt>
                <c:pt idx="52">
                  <c:v>701.45358811226447</c:v>
                </c:pt>
                <c:pt idx="53">
                  <c:v>709.08487829508363</c:v>
                </c:pt>
                <c:pt idx="54">
                  <c:v>716.53948318151572</c:v>
                </c:pt>
                <c:pt idx="55">
                  <c:v>723.81860404457336</c:v>
                </c:pt>
                <c:pt idx="56">
                  <c:v>734.19224732427097</c:v>
                </c:pt>
                <c:pt idx="57">
                  <c:v>753.23393952109882</c:v>
                </c:pt>
                <c:pt idx="58">
                  <c:v>772.38869607820004</c:v>
                </c:pt>
                <c:pt idx="59">
                  <c:v>791.65576840142569</c:v>
                </c:pt>
                <c:pt idx="60">
                  <c:v>811.03446097144877</c:v>
                </c:pt>
                <c:pt idx="61">
                  <c:v>830.52412835589826</c:v>
                </c:pt>
                <c:pt idx="62">
                  <c:v>850.12417244671224</c:v>
                </c:pt>
                <c:pt idx="63">
                  <c:v>869.83403990260194</c:v>
                </c:pt>
                <c:pt idx="64">
                  <c:v>889.6532197786164</c:v>
                </c:pt>
                <c:pt idx="65">
                  <c:v>909.58124132662226</c:v>
                </c:pt>
                <c:pt idx="66">
                  <c:v>929.61767195214497</c:v>
                </c:pt>
                <c:pt idx="67">
                  <c:v>949.76211531446108</c:v>
                </c:pt>
                <c:pt idx="68">
                  <c:v>970.01420955809465</c:v>
                </c:pt>
                <c:pt idx="69">
                  <c:v>990.37362566504055</c:v>
                </c:pt>
                <c:pt idx="70">
                  <c:v>1010.8400659180112</c:v>
                </c:pt>
                <c:pt idx="71">
                  <c:v>1031.4132624659342</c:v>
                </c:pt>
                <c:pt idx="72">
                  <c:v>1052.0929759837366</c:v>
                </c:pt>
                <c:pt idx="73">
                  <c:v>1072.8789944191553</c:v>
                </c:pt>
                <c:pt idx="74">
                  <c:v>1093.7711318199867</c:v>
                </c:pt>
                <c:pt idx="75">
                  <c:v>1114.7692272357644</c:v>
                </c:pt>
                <c:pt idx="76">
                  <c:v>1135.8731436883556</c:v>
                </c:pt>
                <c:pt idx="77">
                  <c:v>1157.0827672064925</c:v>
                </c:pt>
                <c:pt idx="78">
                  <c:v>1178.3980059196103</c:v>
                </c:pt>
                <c:pt idx="79">
                  <c:v>1199.8187892068304</c:v>
                </c:pt>
                <c:pt idx="80">
                  <c:v>1221.3450668971893</c:v>
                </c:pt>
                <c:pt idx="81">
                  <c:v>1242.9768085176129</c:v>
                </c:pt>
                <c:pt idx="82">
                  <c:v>1264.7140025853521</c:v>
                </c:pt>
                <c:pt idx="83">
                  <c:v>1286.5566559419065</c:v>
                </c:pt>
                <c:pt idx="84">
                  <c:v>1308.5047931256709</c:v>
                </c:pt>
                <c:pt idx="85">
                  <c:v>1330.5584557807654</c:v>
                </c:pt>
                <c:pt idx="86">
                  <c:v>1352.717702099704</c:v>
                </c:pt>
                <c:pt idx="87">
                  <c:v>1374.9826062977329</c:v>
                </c:pt>
                <c:pt idx="88">
                  <c:v>1397.3532581168392</c:v>
                </c:pt>
                <c:pt idx="89">
                  <c:v>1419.8297623575868</c:v>
                </c:pt>
                <c:pt idx="90">
                  <c:v>1442.4122384370316</c:v>
                </c:pt>
                <c:pt idx="91">
                  <c:v>1465.1008199711694</c:v>
                </c:pt>
                <c:pt idx="92">
                  <c:v>1487.8956543803999</c:v>
                </c:pt>
                <c:pt idx="93">
                  <c:v>1510.7969025166692</c:v>
                </c:pt>
                <c:pt idx="94">
                  <c:v>1533.8047383109908</c:v>
                </c:pt>
                <c:pt idx="95">
                  <c:v>1556.9193484401787</c:v>
                </c:pt>
                <c:pt idx="96">
                  <c:v>1580.1409320116943</c:v>
                </c:pt>
                <c:pt idx="97">
                  <c:v>1603.4697002655516</c:v>
                </c:pt>
                <c:pt idx="98">
                  <c:v>1626.9058762923648</c:v>
                </c:pt>
                <c:pt idx="99">
                  <c:v>1650.4496947666164</c:v>
                </c:pt>
                <c:pt idx="100">
                  <c:v>1674.1014016943302</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342.8919124288289</c:v>
                </c:pt>
                <c:pt idx="41">
                  <c:v>334.52869505251601</c:v>
                </c:pt>
                <c:pt idx="42">
                  <c:v>326.56372612269422</c:v>
                </c:pt>
                <c:pt idx="43">
                  <c:v>318.96922086402685</c:v>
                </c:pt>
                <c:pt idx="44">
                  <c:v>311.71992038984445</c:v>
                </c:pt>
                <c:pt idx="45">
                  <c:v>304.79281104784781</c:v>
                </c:pt>
                <c:pt idx="46">
                  <c:v>298.16688037289464</c:v>
                </c:pt>
                <c:pt idx="47">
                  <c:v>291.82290419474799</c:v>
                </c:pt>
                <c:pt idx="48">
                  <c:v>285.74326035735743</c:v>
                </c:pt>
                <c:pt idx="49">
                  <c:v>279.91176524802358</c:v>
                </c:pt>
                <c:pt idx="50">
                  <c:v>274.31352994306314</c:v>
                </c:pt>
                <c:pt idx="51">
                  <c:v>268.93483327751284</c:v>
                </c:pt>
                <c:pt idx="52">
                  <c:v>263.76300956063756</c:v>
                </c:pt>
                <c:pt idx="53">
                  <c:v>258.78634900288972</c:v>
                </c:pt>
                <c:pt idx="54">
                  <c:v>253.99400920653986</c:v>
                </c:pt>
                <c:pt idx="55">
                  <c:v>249.37593631187545</c:v>
                </c:pt>
                <c:pt idx="56">
                  <c:v>244.92279459202058</c:v>
                </c:pt>
                <c:pt idx="57">
                  <c:v>240.62590345882731</c:v>
                </c:pt>
                <c:pt idx="58">
                  <c:v>236.47718098539926</c:v>
                </c:pt>
                <c:pt idx="59">
                  <c:v>232.46909317208738</c:v>
                </c:pt>
                <c:pt idx="60">
                  <c:v>228.5946082858859</c:v>
                </c:pt>
                <c:pt idx="61">
                  <c:v>224.84715569103534</c:v>
                </c:pt>
                <c:pt idx="62">
                  <c:v>221.22058866376057</c:v>
                </c:pt>
                <c:pt idx="63">
                  <c:v>217.70915074846275</c:v>
                </c:pt>
                <c:pt idx="64">
                  <c:v>214.30744526801806</c:v>
                </c:pt>
                <c:pt idx="65">
                  <c:v>211.01040764851004</c:v>
                </c:pt>
                <c:pt idx="66">
                  <c:v>207.81328025989632</c:v>
                </c:pt>
                <c:pt idx="67">
                  <c:v>204.71158950974856</c:v>
                </c:pt>
                <c:pt idx="68">
                  <c:v>201.70112495813467</c:v>
                </c:pt>
                <c:pt idx="69">
                  <c:v>198.77792024859644</c:v>
                </c:pt>
                <c:pt idx="70">
                  <c:v>195.93823567361648</c:v>
                </c:pt>
                <c:pt idx="71">
                  <c:v>193.17854221342472</c:v>
                </c:pt>
                <c:pt idx="72">
                  <c:v>190.49550690490494</c:v>
                </c:pt>
                <c:pt idx="73">
                  <c:v>187.8859794130569</c:v>
                </c:pt>
                <c:pt idx="74">
                  <c:v>185.34697969125884</c:v>
                </c:pt>
                <c:pt idx="75">
                  <c:v>182.87568662870873</c:v>
                </c:pt>
                <c:pt idx="76">
                  <c:v>180.46942759412048</c:v>
                </c:pt>
                <c:pt idx="77">
                  <c:v>178.12566879419677</c:v>
                </c:pt>
                <c:pt idx="78">
                  <c:v>175.84200637375838</c:v>
                </c:pt>
                <c:pt idx="79">
                  <c:v>173.61615819181208</c:v>
                </c:pt>
                <c:pt idx="80">
                  <c:v>171.44595621441445</c:v>
                </c:pt>
                <c:pt idx="81">
                  <c:v>169.32933947102663</c:v>
                </c:pt>
                <c:pt idx="82">
                  <c:v>167.26434752625801</c:v>
                </c:pt>
                <c:pt idx="83">
                  <c:v>165.24911442353198</c:v>
                </c:pt>
                <c:pt idx="84">
                  <c:v>163.28186306134711</c:v>
                </c:pt>
                <c:pt idx="85">
                  <c:v>161.3608999665077</c:v>
                </c:pt>
                <c:pt idx="86">
                  <c:v>159.48461043201343</c:v>
                </c:pt>
                <c:pt idx="87">
                  <c:v>157.65145399026611</c:v>
                </c:pt>
                <c:pt idx="88">
                  <c:v>156.9342526137828</c:v>
                </c:pt>
                <c:pt idx="89">
                  <c:v>156.33627064950034</c:v>
                </c:pt>
                <c:pt idx="90">
                  <c:v>155.74357214143717</c:v>
                </c:pt>
                <c:pt idx="91">
                  <c:v>155.15608737478689</c:v>
                </c:pt>
                <c:pt idx="92">
                  <c:v>154.57374785588095</c:v>
                </c:pt>
                <c:pt idx="93">
                  <c:v>153.99648628556824</c:v>
                </c:pt>
                <c:pt idx="94">
                  <c:v>153.42423653328777</c:v>
                </c:pt>
                <c:pt idx="95">
                  <c:v>152.85693361181382</c:v>
                </c:pt>
                <c:pt idx="96">
                  <c:v>152.29451365265362</c:v>
                </c:pt>
                <c:pt idx="97">
                  <c:v>151.73691388207686</c:v>
                </c:pt>
                <c:pt idx="98">
                  <c:v>151.18407259775955</c:v>
                </c:pt>
                <c:pt idx="99">
                  <c:v>150.63592914602293</c:v>
                </c:pt>
                <c:pt idx="100">
                  <c:v>150.09242389965024</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348.28713473734928</c:v>
                </c:pt>
                <c:pt idx="57">
                  <c:v>342.17683412792223</c:v>
                </c:pt>
                <c:pt idx="58">
                  <c:v>336.27723353950978</c:v>
                </c:pt>
                <c:pt idx="59">
                  <c:v>330.57761941172151</c:v>
                </c:pt>
                <c:pt idx="60">
                  <c:v>325.06799242152613</c:v>
                </c:pt>
                <c:pt idx="61">
                  <c:v>319.73900893920603</c:v>
                </c:pt>
                <c:pt idx="62">
                  <c:v>314.58192814986404</c:v>
                </c:pt>
                <c:pt idx="63">
                  <c:v>309.58856421097727</c:v>
                </c:pt>
                <c:pt idx="64">
                  <c:v>304.75124289518078</c:v>
                </c:pt>
                <c:pt idx="65">
                  <c:v>300.06276223525487</c:v>
                </c:pt>
                <c:pt idx="66">
                  <c:v>295.51635674684201</c:v>
                </c:pt>
                <c:pt idx="67">
                  <c:v>291.10566485509798</c:v>
                </c:pt>
                <c:pt idx="68">
                  <c:v>286.82469919546423</c:v>
                </c:pt>
                <c:pt idx="69">
                  <c:v>282.66781949697929</c:v>
                </c:pt>
                <c:pt idx="70">
                  <c:v>278.6297077898796</c:v>
                </c:pt>
                <c:pt idx="71">
                  <c:v>274.705345708332</c:v>
                </c:pt>
                <c:pt idx="72">
                  <c:v>270.88999368460514</c:v>
                </c:pt>
                <c:pt idx="73">
                  <c:v>267.17917185330913</c:v>
                </c:pt>
                <c:pt idx="74">
                  <c:v>263.56864250394011</c:v>
                </c:pt>
                <c:pt idx="75">
                  <c:v>260.05439393722088</c:v>
                </c:pt>
                <c:pt idx="76">
                  <c:v>256.6326255959417</c:v>
                </c:pt>
                <c:pt idx="77">
                  <c:v>253.29973435443591</c:v>
                </c:pt>
                <c:pt idx="78">
                  <c:v>250.05230186271237</c:v>
                </c:pt>
                <c:pt idx="79">
                  <c:v>246.88708285179197</c:v>
                </c:pt>
                <c:pt idx="80">
                  <c:v>243.80099431614457</c:v>
                </c:pt>
                <c:pt idx="81">
                  <c:v>240.79110549742671</c:v>
                </c:pt>
                <c:pt idx="82">
                  <c:v>237.85462860111673</c:v>
                </c:pt>
                <c:pt idx="83">
                  <c:v>234.98891018423569</c:v>
                </c:pt>
                <c:pt idx="84">
                  <c:v>232.19142315823294</c:v>
                </c:pt>
                <c:pt idx="85">
                  <c:v>229.45975935637139</c:v>
                </c:pt>
                <c:pt idx="86">
                  <c:v>226.79162261966945</c:v>
                </c:pt>
                <c:pt idx="87">
                  <c:v>224.18482235967312</c:v>
                </c:pt>
                <c:pt idx="88">
                  <c:v>221.63726756013148</c:v>
                </c:pt>
                <c:pt idx="89">
                  <c:v>219.1469611830513</c:v>
                </c:pt>
                <c:pt idx="90">
                  <c:v>216.71199494768405</c:v>
                </c:pt>
                <c:pt idx="91">
                  <c:v>214.33054445375348</c:v>
                </c:pt>
                <c:pt idx="92">
                  <c:v>212.00086462273444</c:v>
                </c:pt>
                <c:pt idx="93">
                  <c:v>209.72128543324268</c:v>
                </c:pt>
                <c:pt idx="94">
                  <c:v>207.49020792863365</c:v>
                </c:pt>
                <c:pt idx="95">
                  <c:v>205.30610047675336</c:v>
                </c:pt>
                <c:pt idx="96">
                  <c:v>203.16749526345382</c:v>
                </c:pt>
                <c:pt idx="97">
                  <c:v>201.07298500300581</c:v>
                </c:pt>
                <c:pt idx="98">
                  <c:v>199.02121984991388</c:v>
                </c:pt>
                <c:pt idx="99">
                  <c:v>197.01090449789461</c:v>
                </c:pt>
                <c:pt idx="100">
                  <c:v>195.04079545291572</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345.98627197905779</c:v>
                </c:pt>
                <c:pt idx="78">
                  <c:v>341.55055054342887</c:v>
                </c:pt>
                <c:pt idx="79">
                  <c:v>337.2271258530057</c:v>
                </c:pt>
                <c:pt idx="80">
                  <c:v>333.01178677984319</c:v>
                </c:pt>
                <c:pt idx="81">
                  <c:v>328.90053015293148</c:v>
                </c:pt>
                <c:pt idx="82">
                  <c:v>324.88954807789577</c:v>
                </c:pt>
                <c:pt idx="83">
                  <c:v>320.97521617334274</c:v>
                </c:pt>
                <c:pt idx="84">
                  <c:v>317.15408264746969</c:v>
                </c:pt>
                <c:pt idx="85">
                  <c:v>313.42285814573472</c:v>
                </c:pt>
                <c:pt idx="86">
                  <c:v>309.7784063068309</c:v>
                </c:pt>
                <c:pt idx="87">
                  <c:v>306.21773496997065</c:v>
                </c:pt>
                <c:pt idx="88">
                  <c:v>302.73798798167559</c:v>
                </c:pt>
                <c:pt idx="89">
                  <c:v>299.33643755491516</c:v>
                </c:pt>
                <c:pt idx="90">
                  <c:v>296.0104771376383</c:v>
                </c:pt>
                <c:pt idx="91">
                  <c:v>292.75761475151046</c:v>
                </c:pt>
                <c:pt idx="92">
                  <c:v>289.57546676508099</c:v>
                </c:pt>
                <c:pt idx="93">
                  <c:v>286.4617520686823</c:v>
                </c:pt>
                <c:pt idx="94">
                  <c:v>283.41428662114305</c:v>
                </c:pt>
                <c:pt idx="95">
                  <c:v>280.43097834092055</c:v>
                </c:pt>
                <c:pt idx="96">
                  <c:v>277.50982231653597</c:v>
                </c:pt>
                <c:pt idx="97">
                  <c:v>274.6488963132727</c:v>
                </c:pt>
                <c:pt idx="98">
                  <c:v>271.84635655497397</c:v>
                </c:pt>
                <c:pt idx="99">
                  <c:v>269.1004337614894</c:v>
                </c:pt>
                <c:pt idx="100">
                  <c:v>266.4094294238746</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157.65145399026611</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342.8919124288289</c:v>
                </c:pt>
                <c:pt idx="41">
                  <c:v>334.52869505251601</c:v>
                </c:pt>
                <c:pt idx="42">
                  <c:v>326.56372612269422</c:v>
                </c:pt>
                <c:pt idx="43">
                  <c:v>318.96922086402685</c:v>
                </c:pt>
                <c:pt idx="44">
                  <c:v>311.71992038984445</c:v>
                </c:pt>
                <c:pt idx="45">
                  <c:v>304.79281104784781</c:v>
                </c:pt>
                <c:pt idx="46">
                  <c:v>298.16688037289464</c:v>
                </c:pt>
                <c:pt idx="47">
                  <c:v>291.82290419474799</c:v>
                </c:pt>
                <c:pt idx="48">
                  <c:v>285.74326035735743</c:v>
                </c:pt>
                <c:pt idx="49">
                  <c:v>279.91176524802358</c:v>
                </c:pt>
                <c:pt idx="50">
                  <c:v>274.31352994306314</c:v>
                </c:pt>
                <c:pt idx="51">
                  <c:v>268.93483327751284</c:v>
                </c:pt>
                <c:pt idx="52">
                  <c:v>263.76300956063756</c:v>
                </c:pt>
                <c:pt idx="53">
                  <c:v>258.78634900288972</c:v>
                </c:pt>
                <c:pt idx="54">
                  <c:v>253.99400920653986</c:v>
                </c:pt>
                <c:pt idx="55">
                  <c:v>249.37593631187545</c:v>
                </c:pt>
                <c:pt idx="56">
                  <c:v>244.92279459202058</c:v>
                </c:pt>
                <c:pt idx="57">
                  <c:v>240.62590345882731</c:v>
                </c:pt>
                <c:pt idx="58">
                  <c:v>236.47718098539926</c:v>
                </c:pt>
                <c:pt idx="59">
                  <c:v>232.46909317208738</c:v>
                </c:pt>
                <c:pt idx="60">
                  <c:v>228.5946082858859</c:v>
                </c:pt>
                <c:pt idx="61">
                  <c:v>224.84715569103534</c:v>
                </c:pt>
                <c:pt idx="62">
                  <c:v>221.22058866376057</c:v>
                </c:pt>
                <c:pt idx="63">
                  <c:v>217.70915074846275</c:v>
                </c:pt>
                <c:pt idx="64">
                  <c:v>214.30744526801806</c:v>
                </c:pt>
                <c:pt idx="65">
                  <c:v>211.01040764851004</c:v>
                </c:pt>
                <c:pt idx="66">
                  <c:v>207.81328025989632</c:v>
                </c:pt>
                <c:pt idx="67">
                  <c:v>204.71158950974856</c:v>
                </c:pt>
                <c:pt idx="68">
                  <c:v>201.70112495813467</c:v>
                </c:pt>
                <c:pt idx="69">
                  <c:v>198.77792024859644</c:v>
                </c:pt>
                <c:pt idx="70">
                  <c:v>195.93823567361648</c:v>
                </c:pt>
                <c:pt idx="71">
                  <c:v>193.17854221342472</c:v>
                </c:pt>
                <c:pt idx="72">
                  <c:v>190.49550690490494</c:v>
                </c:pt>
                <c:pt idx="73">
                  <c:v>187.8859794130569</c:v>
                </c:pt>
                <c:pt idx="74">
                  <c:v>185.34697969125884</c:v>
                </c:pt>
                <c:pt idx="75">
                  <c:v>182.87568662870873</c:v>
                </c:pt>
                <c:pt idx="76">
                  <c:v>180.46942759412048</c:v>
                </c:pt>
                <c:pt idx="77">
                  <c:v>178.12566879419677</c:v>
                </c:pt>
                <c:pt idx="78">
                  <c:v>175.84200637375838</c:v>
                </c:pt>
                <c:pt idx="79">
                  <c:v>173.61615819181208</c:v>
                </c:pt>
                <c:pt idx="80">
                  <c:v>171.44595621441445</c:v>
                </c:pt>
                <c:pt idx="81">
                  <c:v>169.32933947102663</c:v>
                </c:pt>
                <c:pt idx="82">
                  <c:v>167.26434752625801</c:v>
                </c:pt>
                <c:pt idx="83">
                  <c:v>165.24911442353198</c:v>
                </c:pt>
                <c:pt idx="84">
                  <c:v>163.28186306134711</c:v>
                </c:pt>
                <c:pt idx="85">
                  <c:v>161.3608999665077</c:v>
                </c:pt>
                <c:pt idx="86">
                  <c:v>159.48461043201343</c:v>
                </c:pt>
                <c:pt idx="87">
                  <c:v>157.65145399026611</c:v>
                </c:pt>
                <c:pt idx="88">
                  <c:v>156.9342526137828</c:v>
                </c:pt>
                <c:pt idx="89">
                  <c:v>156.33627064950034</c:v>
                </c:pt>
                <c:pt idx="90">
                  <c:v>155.74357214143717</c:v>
                </c:pt>
                <c:pt idx="91">
                  <c:v>155.15608737478689</c:v>
                </c:pt>
                <c:pt idx="92">
                  <c:v>154.57374785588095</c:v>
                </c:pt>
                <c:pt idx="93">
                  <c:v>153.99648628556824</c:v>
                </c:pt>
                <c:pt idx="94">
                  <c:v>153.42423653328777</c:v>
                </c:pt>
                <c:pt idx="95">
                  <c:v>152.85693361181382</c:v>
                </c:pt>
                <c:pt idx="96">
                  <c:v>152.29451365265362</c:v>
                </c:pt>
                <c:pt idx="97">
                  <c:v>151.73691388207686</c:v>
                </c:pt>
                <c:pt idx="98">
                  <c:v>151.18407259775955</c:v>
                </c:pt>
                <c:pt idx="99">
                  <c:v>150.63592914602293</c:v>
                </c:pt>
                <c:pt idx="100">
                  <c:v>150.09242389965024</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348.28713473734928</c:v>
                </c:pt>
                <c:pt idx="57">
                  <c:v>342.17683412792223</c:v>
                </c:pt>
                <c:pt idx="58">
                  <c:v>336.27723353950978</c:v>
                </c:pt>
                <c:pt idx="59">
                  <c:v>330.57761941172151</c:v>
                </c:pt>
                <c:pt idx="60">
                  <c:v>325.06799242152613</c:v>
                </c:pt>
                <c:pt idx="61">
                  <c:v>319.73900893920603</c:v>
                </c:pt>
                <c:pt idx="62">
                  <c:v>314.58192814986404</c:v>
                </c:pt>
                <c:pt idx="63">
                  <c:v>309.58856421097727</c:v>
                </c:pt>
                <c:pt idx="64">
                  <c:v>304.75124289518078</c:v>
                </c:pt>
                <c:pt idx="65">
                  <c:v>300.06276223525487</c:v>
                </c:pt>
                <c:pt idx="66">
                  <c:v>295.51635674684201</c:v>
                </c:pt>
                <c:pt idx="67">
                  <c:v>291.10566485509798</c:v>
                </c:pt>
                <c:pt idx="68">
                  <c:v>286.82469919546423</c:v>
                </c:pt>
                <c:pt idx="69">
                  <c:v>282.66781949697929</c:v>
                </c:pt>
                <c:pt idx="70">
                  <c:v>278.6297077898796</c:v>
                </c:pt>
                <c:pt idx="71">
                  <c:v>274.705345708332</c:v>
                </c:pt>
                <c:pt idx="72">
                  <c:v>270.88999368460514</c:v>
                </c:pt>
                <c:pt idx="73">
                  <c:v>267.17917185330913</c:v>
                </c:pt>
                <c:pt idx="74">
                  <c:v>263.56864250394011</c:v>
                </c:pt>
                <c:pt idx="75">
                  <c:v>260.05439393722088</c:v>
                </c:pt>
                <c:pt idx="76">
                  <c:v>256.6326255959417</c:v>
                </c:pt>
                <c:pt idx="77">
                  <c:v>253.29973435443591</c:v>
                </c:pt>
                <c:pt idx="78">
                  <c:v>250.05230186271237</c:v>
                </c:pt>
                <c:pt idx="79">
                  <c:v>246.88708285179197</c:v>
                </c:pt>
                <c:pt idx="80">
                  <c:v>243.80099431614457</c:v>
                </c:pt>
                <c:pt idx="81">
                  <c:v>240.79110549742671</c:v>
                </c:pt>
                <c:pt idx="82">
                  <c:v>237.85462860111673</c:v>
                </c:pt>
                <c:pt idx="83">
                  <c:v>234.98891018423569</c:v>
                </c:pt>
                <c:pt idx="84">
                  <c:v>232.19142315823294</c:v>
                </c:pt>
                <c:pt idx="85">
                  <c:v>229.45975935637139</c:v>
                </c:pt>
                <c:pt idx="86">
                  <c:v>226.79162261966945</c:v>
                </c:pt>
                <c:pt idx="87">
                  <c:v>224.18482235967312</c:v>
                </c:pt>
                <c:pt idx="88">
                  <c:v>221.63726756013148</c:v>
                </c:pt>
                <c:pt idx="89">
                  <c:v>219.1469611830513</c:v>
                </c:pt>
                <c:pt idx="90">
                  <c:v>216.71199494768405</c:v>
                </c:pt>
                <c:pt idx="91">
                  <c:v>214.33054445375348</c:v>
                </c:pt>
                <c:pt idx="92">
                  <c:v>212.00086462273444</c:v>
                </c:pt>
                <c:pt idx="93">
                  <c:v>209.72128543324268</c:v>
                </c:pt>
                <c:pt idx="94">
                  <c:v>207.49020792863365</c:v>
                </c:pt>
                <c:pt idx="95">
                  <c:v>205.30610047675336</c:v>
                </c:pt>
                <c:pt idx="96">
                  <c:v>203.16749526345382</c:v>
                </c:pt>
                <c:pt idx="97">
                  <c:v>201.07298500300581</c:v>
                </c:pt>
                <c:pt idx="98">
                  <c:v>199.02121984991388</c:v>
                </c:pt>
                <c:pt idx="99">
                  <c:v>197.01090449789461</c:v>
                </c:pt>
                <c:pt idx="100">
                  <c:v>195.04079545291572</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345.98627197905779</c:v>
                </c:pt>
                <c:pt idx="78">
                  <c:v>341.55055054342887</c:v>
                </c:pt>
                <c:pt idx="79">
                  <c:v>337.2271258530057</c:v>
                </c:pt>
                <c:pt idx="80">
                  <c:v>333.01178677984319</c:v>
                </c:pt>
                <c:pt idx="81">
                  <c:v>328.90053015293148</c:v>
                </c:pt>
                <c:pt idx="82">
                  <c:v>324.88954807789577</c:v>
                </c:pt>
                <c:pt idx="83">
                  <c:v>320.97521617334274</c:v>
                </c:pt>
                <c:pt idx="84">
                  <c:v>317.15408264746969</c:v>
                </c:pt>
                <c:pt idx="85">
                  <c:v>313.42285814573472</c:v>
                </c:pt>
                <c:pt idx="86">
                  <c:v>309.7784063068309</c:v>
                </c:pt>
                <c:pt idx="87">
                  <c:v>306.21773496997065</c:v>
                </c:pt>
                <c:pt idx="88">
                  <c:v>302.73798798167559</c:v>
                </c:pt>
                <c:pt idx="89">
                  <c:v>299.33643755491516</c:v>
                </c:pt>
                <c:pt idx="90">
                  <c:v>296.0104771376383</c:v>
                </c:pt>
                <c:pt idx="91">
                  <c:v>292.75761475151046</c:v>
                </c:pt>
                <c:pt idx="92">
                  <c:v>289.57546676508099</c:v>
                </c:pt>
                <c:pt idx="93">
                  <c:v>286.4617520686823</c:v>
                </c:pt>
                <c:pt idx="94">
                  <c:v>283.41428662114305</c:v>
                </c:pt>
                <c:pt idx="95">
                  <c:v>280.43097834092055</c:v>
                </c:pt>
                <c:pt idx="96">
                  <c:v>277.50982231653597</c:v>
                </c:pt>
                <c:pt idx="97">
                  <c:v>274.6488963132727</c:v>
                </c:pt>
                <c:pt idx="98">
                  <c:v>271.84635655497397</c:v>
                </c:pt>
                <c:pt idx="99">
                  <c:v>269.1004337614894</c:v>
                </c:pt>
                <c:pt idx="100">
                  <c:v>266.4094294238746</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157.65145399026611</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9</c:v>
                </c:pt>
                <c:pt idx="1">
                  <c:v>9.07</c:v>
                </c:pt>
                <c:pt idx="2">
                  <c:v>9.14</c:v>
                </c:pt>
                <c:pt idx="3">
                  <c:v>9.2100000000000009</c:v>
                </c:pt>
                <c:pt idx="4">
                  <c:v>9.2799999999999994</c:v>
                </c:pt>
                <c:pt idx="5">
                  <c:v>9.35</c:v>
                </c:pt>
                <c:pt idx="6">
                  <c:v>9.42</c:v>
                </c:pt>
                <c:pt idx="7">
                  <c:v>9.49</c:v>
                </c:pt>
                <c:pt idx="8">
                  <c:v>9.56</c:v>
                </c:pt>
                <c:pt idx="9">
                  <c:v>9.6300000000000008</c:v>
                </c:pt>
                <c:pt idx="10">
                  <c:v>9.6999999999999993</c:v>
                </c:pt>
                <c:pt idx="11">
                  <c:v>9.77</c:v>
                </c:pt>
                <c:pt idx="12">
                  <c:v>9.84</c:v>
                </c:pt>
                <c:pt idx="13">
                  <c:v>9.91</c:v>
                </c:pt>
                <c:pt idx="14">
                  <c:v>9.98</c:v>
                </c:pt>
                <c:pt idx="15">
                  <c:v>10.050000000000001</c:v>
                </c:pt>
                <c:pt idx="16">
                  <c:v>10.120000000000001</c:v>
                </c:pt>
                <c:pt idx="17">
                  <c:v>10.19</c:v>
                </c:pt>
                <c:pt idx="18">
                  <c:v>10.26</c:v>
                </c:pt>
                <c:pt idx="19">
                  <c:v>10.33</c:v>
                </c:pt>
                <c:pt idx="20">
                  <c:v>10.4</c:v>
                </c:pt>
                <c:pt idx="21">
                  <c:v>10.47</c:v>
                </c:pt>
                <c:pt idx="22">
                  <c:v>10.54</c:v>
                </c:pt>
                <c:pt idx="23">
                  <c:v>10.61</c:v>
                </c:pt>
                <c:pt idx="24">
                  <c:v>10.68</c:v>
                </c:pt>
                <c:pt idx="25">
                  <c:v>10.75</c:v>
                </c:pt>
                <c:pt idx="26">
                  <c:v>10.82</c:v>
                </c:pt>
                <c:pt idx="27">
                  <c:v>10.89</c:v>
                </c:pt>
                <c:pt idx="28">
                  <c:v>10.96</c:v>
                </c:pt>
                <c:pt idx="29">
                  <c:v>11.03</c:v>
                </c:pt>
                <c:pt idx="30">
                  <c:v>11.1</c:v>
                </c:pt>
                <c:pt idx="31">
                  <c:v>11.17</c:v>
                </c:pt>
                <c:pt idx="32">
                  <c:v>11.24</c:v>
                </c:pt>
                <c:pt idx="33">
                  <c:v>11.31</c:v>
                </c:pt>
                <c:pt idx="34">
                  <c:v>11.38</c:v>
                </c:pt>
                <c:pt idx="35">
                  <c:v>11.45</c:v>
                </c:pt>
                <c:pt idx="36">
                  <c:v>11.52</c:v>
                </c:pt>
                <c:pt idx="37">
                  <c:v>11.59</c:v>
                </c:pt>
                <c:pt idx="38">
                  <c:v>11.66</c:v>
                </c:pt>
                <c:pt idx="39">
                  <c:v>11.73</c:v>
                </c:pt>
                <c:pt idx="40">
                  <c:v>11.8</c:v>
                </c:pt>
                <c:pt idx="41">
                  <c:v>11.87</c:v>
                </c:pt>
                <c:pt idx="42">
                  <c:v>11.94</c:v>
                </c:pt>
                <c:pt idx="43">
                  <c:v>12.01</c:v>
                </c:pt>
                <c:pt idx="44">
                  <c:v>12.08</c:v>
                </c:pt>
                <c:pt idx="45">
                  <c:v>12.15</c:v>
                </c:pt>
                <c:pt idx="46">
                  <c:v>12.22</c:v>
                </c:pt>
                <c:pt idx="47">
                  <c:v>12.29</c:v>
                </c:pt>
                <c:pt idx="48">
                  <c:v>12.36</c:v>
                </c:pt>
                <c:pt idx="49">
                  <c:v>12.43</c:v>
                </c:pt>
                <c:pt idx="50">
                  <c:v>12.5</c:v>
                </c:pt>
                <c:pt idx="51">
                  <c:v>12.57</c:v>
                </c:pt>
                <c:pt idx="52">
                  <c:v>12.64</c:v>
                </c:pt>
                <c:pt idx="53">
                  <c:v>12.71</c:v>
                </c:pt>
                <c:pt idx="54">
                  <c:v>12.780000000000001</c:v>
                </c:pt>
                <c:pt idx="55">
                  <c:v>12.850000000000001</c:v>
                </c:pt>
                <c:pt idx="56">
                  <c:v>12.92</c:v>
                </c:pt>
                <c:pt idx="57">
                  <c:v>12.99</c:v>
                </c:pt>
                <c:pt idx="58">
                  <c:v>13.059999999999999</c:v>
                </c:pt>
                <c:pt idx="59">
                  <c:v>13.129999999999999</c:v>
                </c:pt>
                <c:pt idx="60">
                  <c:v>13.2</c:v>
                </c:pt>
                <c:pt idx="61">
                  <c:v>13.27</c:v>
                </c:pt>
                <c:pt idx="62">
                  <c:v>13.34</c:v>
                </c:pt>
                <c:pt idx="63">
                  <c:v>13.41</c:v>
                </c:pt>
                <c:pt idx="64">
                  <c:v>13.48</c:v>
                </c:pt>
                <c:pt idx="65">
                  <c:v>13.55</c:v>
                </c:pt>
                <c:pt idx="66">
                  <c:v>13.620000000000001</c:v>
                </c:pt>
                <c:pt idx="67">
                  <c:v>13.690000000000001</c:v>
                </c:pt>
                <c:pt idx="68">
                  <c:v>13.760000000000002</c:v>
                </c:pt>
                <c:pt idx="69">
                  <c:v>13.83</c:v>
                </c:pt>
                <c:pt idx="70">
                  <c:v>13.899999999999999</c:v>
                </c:pt>
                <c:pt idx="71">
                  <c:v>13.969999999999999</c:v>
                </c:pt>
                <c:pt idx="72">
                  <c:v>14.04</c:v>
                </c:pt>
                <c:pt idx="73">
                  <c:v>14.11</c:v>
                </c:pt>
                <c:pt idx="74">
                  <c:v>14.18</c:v>
                </c:pt>
                <c:pt idx="75">
                  <c:v>14.25</c:v>
                </c:pt>
                <c:pt idx="76">
                  <c:v>14.32</c:v>
                </c:pt>
                <c:pt idx="77">
                  <c:v>14.39</c:v>
                </c:pt>
                <c:pt idx="78">
                  <c:v>14.46</c:v>
                </c:pt>
                <c:pt idx="79">
                  <c:v>14.530000000000001</c:v>
                </c:pt>
                <c:pt idx="80">
                  <c:v>14.600000000000001</c:v>
                </c:pt>
                <c:pt idx="81">
                  <c:v>14.67</c:v>
                </c:pt>
                <c:pt idx="82">
                  <c:v>14.739999999999998</c:v>
                </c:pt>
                <c:pt idx="83">
                  <c:v>14.809999999999999</c:v>
                </c:pt>
                <c:pt idx="84">
                  <c:v>14.879999999999999</c:v>
                </c:pt>
                <c:pt idx="85">
                  <c:v>14.95</c:v>
                </c:pt>
                <c:pt idx="86">
                  <c:v>15.02</c:v>
                </c:pt>
                <c:pt idx="87">
                  <c:v>15.09</c:v>
                </c:pt>
                <c:pt idx="88">
                  <c:v>15.16</c:v>
                </c:pt>
                <c:pt idx="89">
                  <c:v>15.23</c:v>
                </c:pt>
                <c:pt idx="90">
                  <c:v>15.3</c:v>
                </c:pt>
                <c:pt idx="91">
                  <c:v>15.370000000000001</c:v>
                </c:pt>
                <c:pt idx="92">
                  <c:v>15.440000000000001</c:v>
                </c:pt>
                <c:pt idx="93">
                  <c:v>15.510000000000002</c:v>
                </c:pt>
                <c:pt idx="94">
                  <c:v>15.58</c:v>
                </c:pt>
                <c:pt idx="95">
                  <c:v>15.649999999999999</c:v>
                </c:pt>
                <c:pt idx="96">
                  <c:v>15.719999999999999</c:v>
                </c:pt>
                <c:pt idx="97">
                  <c:v>15.79</c:v>
                </c:pt>
                <c:pt idx="98">
                  <c:v>15.86</c:v>
                </c:pt>
                <c:pt idx="99">
                  <c:v>15.93</c:v>
                </c:pt>
                <c:pt idx="100">
                  <c:v>16</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03A-4421-B98F-6F84293F0361}"/>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0.42000000000000004</c:v>
                </c:pt>
                <c:pt idx="1">
                  <c:v>4.2</c:v>
                </c:pt>
                <c:pt idx="2">
                  <c:v>8.4</c:v>
                </c:pt>
                <c:pt idx="3">
                  <c:v>12.599999999999998</c:v>
                </c:pt>
                <c:pt idx="100">
                  <c:v>420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0.42000000000000004</c:v>
                </c:pt>
                <c:pt idx="1">
                  <c:v>4.2</c:v>
                </c:pt>
                <c:pt idx="2">
                  <c:v>8.4</c:v>
                </c:pt>
                <c:pt idx="3">
                  <c:v>12.599999999999998</c:v>
                </c:pt>
                <c:pt idx="100">
                  <c:v>420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0.42000000000000004</c:v>
                </c:pt>
                <c:pt idx="1">
                  <c:v>4.2</c:v>
                </c:pt>
                <c:pt idx="2">
                  <c:v>8.4</c:v>
                </c:pt>
                <c:pt idx="3">
                  <c:v>12.599999999999998</c:v>
                </c:pt>
                <c:pt idx="100">
                  <c:v>420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0.42000000000000004</c:v>
                </c:pt>
                <c:pt idx="1">
                  <c:v>4.2</c:v>
                </c:pt>
                <c:pt idx="2">
                  <c:v>8.4</c:v>
                </c:pt>
                <c:pt idx="3">
                  <c:v>12.599999999999998</c:v>
                </c:pt>
                <c:pt idx="100">
                  <c:v>420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0.42000000000000004</c:v>
                </c:pt>
                <c:pt idx="1">
                  <c:v>4.2</c:v>
                </c:pt>
                <c:pt idx="2">
                  <c:v>8.4</c:v>
                </c:pt>
                <c:pt idx="3">
                  <c:v>12.599999999999998</c:v>
                </c:pt>
                <c:pt idx="100">
                  <c:v>420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0.42000000000000004</c:v>
                </c:pt>
                <c:pt idx="1">
                  <c:v>4.2</c:v>
                </c:pt>
                <c:pt idx="2">
                  <c:v>8.4</c:v>
                </c:pt>
                <c:pt idx="3">
                  <c:v>12.599999999999998</c:v>
                </c:pt>
                <c:pt idx="100">
                  <c:v>420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0.42000000000000004</c:v>
                </c:pt>
                <c:pt idx="1">
                  <c:v>4.2</c:v>
                </c:pt>
                <c:pt idx="2">
                  <c:v>8.4</c:v>
                </c:pt>
                <c:pt idx="3">
                  <c:v>12.599999999999998</c:v>
                </c:pt>
                <c:pt idx="100">
                  <c:v>420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0.42000000000000004</c:v>
                </c:pt>
                <c:pt idx="1">
                  <c:v>4.2</c:v>
                </c:pt>
                <c:pt idx="2">
                  <c:v>8.4</c:v>
                </c:pt>
                <c:pt idx="3">
                  <c:v>12.599999999999998</c:v>
                </c:pt>
                <c:pt idx="100">
                  <c:v>420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AF5-43F1-876A-5A34F7D62225}"/>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Single'!$AN$110:$AN$210</c:f>
              <c:numCache>
                <c:formatCode>0.0</c:formatCode>
                <c:ptCount val="101"/>
                <c:pt idx="0">
                  <c:v>12</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204.87804878048783</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345.80640589852601</c:v>
                </c:pt>
                <c:pt idx="76">
                  <c:v>341.25632161038754</c:v>
                </c:pt>
                <c:pt idx="77">
                  <c:v>336.82442132973318</c:v>
                </c:pt>
                <c:pt idx="78">
                  <c:v>332.50615951781344</c:v>
                </c:pt>
                <c:pt idx="79">
                  <c:v>328.29722078973987</c:v>
                </c:pt>
                <c:pt idx="80">
                  <c:v>324.19350552986816</c:v>
                </c:pt>
                <c:pt idx="81">
                  <c:v>320.19111657270923</c:v>
                </c:pt>
                <c:pt idx="82">
                  <c:v>316.28634685840802</c:v>
                </c:pt>
                <c:pt idx="83">
                  <c:v>312.47566798059586</c:v>
                </c:pt>
                <c:pt idx="84">
                  <c:v>308.75571955225541</c:v>
                </c:pt>
                <c:pt idx="85">
                  <c:v>305.12329932222889</c:v>
                </c:pt>
                <c:pt idx="86">
                  <c:v>301.57535398127277</c:v>
                </c:pt>
                <c:pt idx="87">
                  <c:v>298.10897060217758</c:v>
                </c:pt>
                <c:pt idx="88">
                  <c:v>294.7213686635165</c:v>
                </c:pt>
                <c:pt idx="89">
                  <c:v>291.40989261111741</c:v>
                </c:pt>
                <c:pt idx="90">
                  <c:v>288.17200491543838</c:v>
                </c:pt>
                <c:pt idx="91">
                  <c:v>285.00527958669727</c:v>
                </c:pt>
                <c:pt idx="92">
                  <c:v>281.90739611292884</c:v>
                </c:pt>
                <c:pt idx="93">
                  <c:v>278.87613378913392</c:v>
                </c:pt>
                <c:pt idx="94">
                  <c:v>275.9093664083984</c:v>
                </c:pt>
                <c:pt idx="95">
                  <c:v>273.00505728830996</c:v>
                </c:pt>
                <c:pt idx="96">
                  <c:v>270.16125460822354</c:v>
                </c:pt>
                <c:pt idx="97">
                  <c:v>267.37608703494283</c:v>
                </c:pt>
                <c:pt idx="98">
                  <c:v>264.64775961621893</c:v>
                </c:pt>
                <c:pt idx="99">
                  <c:v>261.97454992312583</c:v>
                </c:pt>
                <c:pt idx="100">
                  <c:v>259.35480442389445</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Single'!$AN$5:$AN$105</c:f>
              <c:numCache>
                <c:formatCode>0.0</c:formatCode>
                <c:ptCount val="101"/>
                <c:pt idx="0">
                  <c:v>12</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204.87804878048783</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Single'!$AN$216:$AN$316</c:f>
              <c:numCache>
                <c:formatCode>0.0</c:formatCode>
                <c:ptCount val="101"/>
                <c:pt idx="0">
                  <c:v>12</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204.87804878048783</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7.3799999999999994E-3</c:v>
                </c:pt>
                <c:pt idx="1">
                  <c:v>1.3999999999999997E-2</c:v>
                </c:pt>
                <c:pt idx="2">
                  <c:v>2.7999999999999994E-2</c:v>
                </c:pt>
                <c:pt idx="3">
                  <c:v>4.1999999999999989E-2</c:v>
                </c:pt>
                <c:pt idx="4">
                  <c:v>5.5999999999999987E-2</c:v>
                </c:pt>
                <c:pt idx="5">
                  <c:v>6.9999999999999993E-2</c:v>
                </c:pt>
                <c:pt idx="6">
                  <c:v>8.3999999999999977E-2</c:v>
                </c:pt>
                <c:pt idx="7">
                  <c:v>9.8000000000000004E-2</c:v>
                </c:pt>
                <c:pt idx="8">
                  <c:v>0.11199999999999997</c:v>
                </c:pt>
                <c:pt idx="9">
                  <c:v>0.126</c:v>
                </c:pt>
                <c:pt idx="10">
                  <c:v>0.13999999999999999</c:v>
                </c:pt>
                <c:pt idx="11">
                  <c:v>0.15399999999999997</c:v>
                </c:pt>
                <c:pt idx="12">
                  <c:v>0.16799999999999995</c:v>
                </c:pt>
                <c:pt idx="13">
                  <c:v>0.18199999999999997</c:v>
                </c:pt>
                <c:pt idx="14">
                  <c:v>0.19714749910840207</c:v>
                </c:pt>
                <c:pt idx="15">
                  <c:v>0.21864326664404851</c:v>
                </c:pt>
                <c:pt idx="16">
                  <c:v>0.23145913966256185</c:v>
                </c:pt>
                <c:pt idx="17">
                  <c:v>0.23858262021083315</c:v>
                </c:pt>
                <c:pt idx="18">
                  <c:v>0.24549949083450248</c:v>
                </c:pt>
                <c:pt idx="19">
                  <c:v>0.2522267498369935</c:v>
                </c:pt>
                <c:pt idx="20">
                  <c:v>0.25877918514955306</c:v>
                </c:pt>
                <c:pt idx="21">
                  <c:v>0.26516975694826134</c:v>
                </c:pt>
                <c:pt idx="22">
                  <c:v>0.27140989910711311</c:v>
                </c:pt>
                <c:pt idx="23">
                  <c:v>0.27750975958813895</c:v>
                </c:pt>
                <c:pt idx="24">
                  <c:v>0.28347839423843219</c:v>
                </c:pt>
                <c:pt idx="25">
                  <c:v>0.28932392457820233</c:v>
                </c:pt>
                <c:pt idx="26">
                  <c:v>0.29505366743470018</c:v>
                </c:pt>
                <c:pt idx="27">
                  <c:v>0.30067424232880341</c:v>
                </c:pt>
                <c:pt idx="28">
                  <c:v>0.30619166111005264</c:v>
                </c:pt>
                <c:pt idx="29">
                  <c:v>0.31161140330011455</c:v>
                </c:pt>
                <c:pt idx="30">
                  <c:v>0.31693847983480955</c:v>
                </c:pt>
                <c:pt idx="31">
                  <c:v>0.32217748731612728</c:v>
                </c:pt>
                <c:pt idx="32">
                  <c:v>0.32733265444600329</c:v>
                </c:pt>
                <c:pt idx="33">
                  <c:v>0.33240788197634541</c:v>
                </c:pt>
                <c:pt idx="34">
                  <c:v>0.33740677724866952</c:v>
                </c:pt>
                <c:pt idx="35">
                  <c:v>0.3423326841928282</c:v>
                </c:pt>
                <c:pt idx="36">
                  <c:v>0.34718870949384284</c:v>
                </c:pt>
                <c:pt idx="37">
                  <c:v>0.35197774550862343</c:v>
                </c:pt>
                <c:pt idx="38">
                  <c:v>0.35670249041276209</c:v>
                </c:pt>
                <c:pt idx="39">
                  <c:v>0.36136546597592856</c:v>
                </c:pt>
                <c:pt idx="40">
                  <c:v>0.36596903329835612</c:v>
                </c:pt>
                <c:pt idx="41">
                  <c:v>0.37051540678717615</c:v>
                </c:pt>
                <c:pt idx="42">
                  <c:v>0.37500666660740839</c:v>
                </c:pt>
                <c:pt idx="43">
                  <c:v>0.37944476980627012</c:v>
                </c:pt>
                <c:pt idx="44">
                  <c:v>0.3838315602795927</c:v>
                </c:pt>
                <c:pt idx="45">
                  <c:v>0.38816877772432956</c:v>
                </c:pt>
                <c:pt idx="46">
                  <c:v>0.39245806570044306</c:v>
                </c:pt>
                <c:pt idx="47">
                  <c:v>0.39670097890812756</c:v>
                </c:pt>
                <c:pt idx="48">
                  <c:v>0.40089898977173782</c:v>
                </c:pt>
                <c:pt idx="49">
                  <c:v>0.40505349440948324</c:v>
                </c:pt>
                <c:pt idx="50">
                  <c:v>0.40916581805750418</c:v>
                </c:pt>
                <c:pt idx="51">
                  <c:v>0.41323722000807234</c:v>
                </c:pt>
                <c:pt idx="52">
                  <c:v>0.41726889811407375</c:v>
                </c:pt>
                <c:pt idx="53">
                  <c:v>0.42126199290544436</c:v>
                </c:pt>
                <c:pt idx="54">
                  <c:v>0.42521759135764825</c:v>
                </c:pt>
                <c:pt idx="55">
                  <c:v>0.42913673034748878</c:v>
                </c:pt>
                <c:pt idx="56">
                  <c:v>0.433020399827383</c:v>
                </c:pt>
                <c:pt idx="57">
                  <c:v>0.43686954574563786</c:v>
                </c:pt>
                <c:pt idx="58">
                  <c:v>0.4406850727371342</c:v>
                </c:pt>
                <c:pt idx="59">
                  <c:v>0.44446784660610333</c:v>
                </c:pt>
                <c:pt idx="60">
                  <c:v>0.44821869662029939</c:v>
                </c:pt>
                <c:pt idx="61">
                  <c:v>0.45193841763378917</c:v>
                </c:pt>
                <c:pt idx="62">
                  <c:v>0.45562777205375288</c:v>
                </c:pt>
                <c:pt idx="63">
                  <c:v>0.45928749166507893</c:v>
                </c:pt>
                <c:pt idx="64">
                  <c:v>0.46291827932512369</c:v>
                </c:pt>
                <c:pt idx="65">
                  <c:v>0.46652081053975142</c:v>
                </c:pt>
                <c:pt idx="66">
                  <c:v>0.47009573493066281</c:v>
                </c:pt>
                <c:pt idx="67">
                  <c:v>0.47364367760304088</c:v>
                </c:pt>
                <c:pt idx="68">
                  <c:v>0.4771652404216663</c:v>
                </c:pt>
                <c:pt idx="69">
                  <c:v>0.48066100320288091</c:v>
                </c:pt>
                <c:pt idx="70">
                  <c:v>0.48413152482908328</c:v>
                </c:pt>
                <c:pt idx="71">
                  <c:v>0.4875773442918227</c:v>
                </c:pt>
                <c:pt idx="72">
                  <c:v>0.49099898166900496</c:v>
                </c:pt>
                <c:pt idx="73">
                  <c:v>0.49439693904122545</c:v>
                </c:pt>
                <c:pt idx="74">
                  <c:v>0.49777170135180104</c:v>
                </c:pt>
                <c:pt idx="75">
                  <c:v>0.50112373721467229</c:v>
                </c:pt>
                <c:pt idx="76">
                  <c:v>0.504453499673987</c:v>
                </c:pt>
                <c:pt idx="77">
                  <c:v>0.50776142691885007</c:v>
                </c:pt>
                <c:pt idx="78">
                  <c:v>0.5110479429564313</c:v>
                </c:pt>
                <c:pt idx="79">
                  <c:v>0.51431345824636288</c:v>
                </c:pt>
                <c:pt idx="80">
                  <c:v>0.51755837029910612</c:v>
                </c:pt>
                <c:pt idx="81">
                  <c:v>0.52078306424076415</c:v>
                </c:pt>
                <c:pt idx="82">
                  <c:v>0.52398791334660888</c:v>
                </c:pt>
                <c:pt idx="83">
                  <c:v>0.52717327954541349</c:v>
                </c:pt>
                <c:pt idx="84">
                  <c:v>0.53033951389652267</c:v>
                </c:pt>
                <c:pt idx="85">
                  <c:v>0.53348695704143823</c:v>
                </c:pt>
                <c:pt idx="86">
                  <c:v>0.53661593963156407</c:v>
                </c:pt>
                <c:pt idx="87">
                  <c:v>0.5397267827336345</c:v>
                </c:pt>
                <c:pt idx="88">
                  <c:v>0.54281979821422621</c:v>
                </c:pt>
                <c:pt idx="89">
                  <c:v>0.54589528910466567</c:v>
                </c:pt>
                <c:pt idx="90">
                  <c:v>0.54895354994753409</c:v>
                </c:pt>
                <c:pt idx="91">
                  <c:v>0.55199486712589385</c:v>
                </c:pt>
                <c:pt idx="92">
                  <c:v>0.5550195191762779</c:v>
                </c:pt>
                <c:pt idx="93">
                  <c:v>0.55802777708640972</c:v>
                </c:pt>
                <c:pt idx="94">
                  <c:v>0.5610199045785571</c:v>
                </c:pt>
                <c:pt idx="95">
                  <c:v>0.56399615837935146</c:v>
                </c:pt>
                <c:pt idx="96">
                  <c:v>0.56695678847686437</c:v>
                </c:pt>
                <c:pt idx="97">
                  <c:v>0.56990203836565922</c:v>
                </c:pt>
                <c:pt idx="98">
                  <c:v>0.57283214528050574</c:v>
                </c:pt>
                <c:pt idx="99">
                  <c:v>0.57574734041938902</c:v>
                </c:pt>
                <c:pt idx="100">
                  <c:v>0.57864784915640466</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9.8399999999999998E-3</c:v>
                </c:pt>
                <c:pt idx="1">
                  <c:v>1.8666666666666665E-2</c:v>
                </c:pt>
                <c:pt idx="2">
                  <c:v>3.7333333333333329E-2</c:v>
                </c:pt>
                <c:pt idx="3">
                  <c:v>5.5999999999999994E-2</c:v>
                </c:pt>
                <c:pt idx="4">
                  <c:v>7.4666666666666659E-2</c:v>
                </c:pt>
                <c:pt idx="5">
                  <c:v>9.3333333333333338E-2</c:v>
                </c:pt>
                <c:pt idx="6">
                  <c:v>0.11199999999999999</c:v>
                </c:pt>
                <c:pt idx="7">
                  <c:v>0.13066666666666668</c:v>
                </c:pt>
                <c:pt idx="8">
                  <c:v>0.14933333333333332</c:v>
                </c:pt>
                <c:pt idx="9">
                  <c:v>0.16800000000000004</c:v>
                </c:pt>
                <c:pt idx="10">
                  <c:v>0.18666666666666668</c:v>
                </c:pt>
                <c:pt idx="11">
                  <c:v>0.20533333333333331</c:v>
                </c:pt>
                <c:pt idx="12">
                  <c:v>0.22399999999999998</c:v>
                </c:pt>
                <c:pt idx="13">
                  <c:v>0.24266666666666664</c:v>
                </c:pt>
                <c:pt idx="14">
                  <c:v>0.26133333333333336</c:v>
                </c:pt>
                <c:pt idx="15">
                  <c:v>0.28000000000000003</c:v>
                </c:pt>
                <c:pt idx="16">
                  <c:v>0.29277522663868494</c:v>
                </c:pt>
                <c:pt idx="17">
                  <c:v>0.30178579599886185</c:v>
                </c:pt>
                <c:pt idx="18">
                  <c:v>0.31053502217946372</c:v>
                </c:pt>
                <c:pt idx="19">
                  <c:v>0.31904440652256122</c:v>
                </c:pt>
                <c:pt idx="20">
                  <c:v>0.32733265444600329</c:v>
                </c:pt>
                <c:pt idx="21">
                  <c:v>0.33541615941990627</c:v>
                </c:pt>
                <c:pt idx="22">
                  <c:v>0.34330938427799107</c:v>
                </c:pt>
                <c:pt idx="23">
                  <c:v>0.35102516528970773</c:v>
                </c:pt>
                <c:pt idx="24">
                  <c:v>0.35857495729623945</c:v>
                </c:pt>
                <c:pt idx="25">
                  <c:v>0.36596903329835601</c:v>
                </c:pt>
                <c:pt idx="26">
                  <c:v>0.37321664843180108</c:v>
                </c:pt>
                <c:pt idx="27">
                  <c:v>0.38032617580177142</c:v>
                </c:pt>
                <c:pt idx="28">
                  <c:v>0.38730521986326655</c:v>
                </c:pt>
                <c:pt idx="29">
                  <c:v>0.39416071172386857</c:v>
                </c:pt>
                <c:pt idx="30">
                  <c:v>0.40089898977173788</c:v>
                </c:pt>
                <c:pt idx="31">
                  <c:v>0.40752586829958815</c:v>
                </c:pt>
                <c:pt idx="32">
                  <c:v>0.41404669623928486</c:v>
                </c:pt>
                <c:pt idx="33">
                  <c:v>0.42046640769507376</c:v>
                </c:pt>
                <c:pt idx="34">
                  <c:v>0.42678956563315062</c:v>
                </c:pt>
                <c:pt idx="35">
                  <c:v>0.433020399827383</c:v>
                </c:pt>
                <c:pt idx="36">
                  <c:v>0.43916283995802741</c:v>
                </c:pt>
                <c:pt idx="37">
                  <c:v>0.44522054459934046</c:v>
                </c:pt>
                <c:pt idx="38">
                  <c:v>0.45119692670348122</c:v>
                </c:pt>
                <c:pt idx="39">
                  <c:v>0.45709517608480621</c:v>
                </c:pt>
                <c:pt idx="40">
                  <c:v>0.46291827932512375</c:v>
                </c:pt>
                <c:pt idx="41">
                  <c:v>0.4686690374525147</c:v>
                </c:pt>
                <c:pt idx="42">
                  <c:v>0.47435008169072751</c:v>
                </c:pt>
                <c:pt idx="43">
                  <c:v>0.4799638875304405</c:v>
                </c:pt>
                <c:pt idx="44">
                  <c:v>0.48551278733589154</c:v>
                </c:pt>
                <c:pt idx="45">
                  <c:v>0.49099898166900496</c:v>
                </c:pt>
                <c:pt idx="46">
                  <c:v>0.49642454948696207</c:v>
                </c:pt>
                <c:pt idx="47">
                  <c:v>0.50179145734723962</c:v>
                </c:pt>
                <c:pt idx="48">
                  <c:v>0.50710156773569515</c:v>
                </c:pt>
                <c:pt idx="49">
                  <c:v>0.51235664661769853</c:v>
                </c:pt>
                <c:pt idx="50">
                  <c:v>0.51755837029910612</c:v>
                </c:pt>
                <c:pt idx="51">
                  <c:v>0.52270833167264508</c:v>
                </c:pt>
                <c:pt idx="52">
                  <c:v>0.52780804591568442</c:v>
                </c:pt>
                <c:pt idx="53">
                  <c:v>0.5328589556971588</c:v>
                </c:pt>
                <c:pt idx="54">
                  <c:v>0.53786243594435934</c:v>
                </c:pt>
                <c:pt idx="55">
                  <c:v>0.54281979821422632</c:v>
                </c:pt>
                <c:pt idx="56">
                  <c:v>0.54773229470852514</c:v>
                </c:pt>
                <c:pt idx="57">
                  <c:v>0.55260112196773536</c:v>
                </c:pt>
                <c:pt idx="58">
                  <c:v>0.55742742427452685</c:v>
                </c:pt>
                <c:pt idx="59">
                  <c:v>0.56221229679425067</c:v>
                </c:pt>
                <c:pt idx="60">
                  <c:v>0.56695678847686437</c:v>
                </c:pt>
                <c:pt idx="61">
                  <c:v>0.57166190474207146</c:v>
                </c:pt>
                <c:pt idx="62">
                  <c:v>0.57632860996714941</c:v>
                </c:pt>
                <c:pt idx="63">
                  <c:v>0.58095782979490007</c:v>
                </c:pt>
                <c:pt idx="64">
                  <c:v>0.58555045327736988</c:v>
                </c:pt>
                <c:pt idx="65">
                  <c:v>0.59010733486940037</c:v>
                </c:pt>
                <c:pt idx="66">
                  <c:v>0.59462929628466832</c:v>
                </c:pt>
                <c:pt idx="67">
                  <c:v>0.59911712822563612</c:v>
                </c:pt>
                <c:pt idx="68">
                  <c:v>0.6035715919977237</c:v>
                </c:pt>
                <c:pt idx="69">
                  <c:v>0.60799342101703691</c:v>
                </c:pt>
                <c:pt idx="70">
                  <c:v>0.61238332222010528</c:v>
                </c:pt>
                <c:pt idx="71">
                  <c:v>0.61674197738330305</c:v>
                </c:pt>
                <c:pt idx="72">
                  <c:v>0.62107004435892743</c:v>
                </c:pt>
                <c:pt idx="73">
                  <c:v>0.62536815823427816</c:v>
                </c:pt>
                <c:pt idx="74">
                  <c:v>0.62963693241952279</c:v>
                </c:pt>
                <c:pt idx="75">
                  <c:v>0.6262820377292454</c:v>
                </c:pt>
                <c:pt idx="76">
                  <c:v>0.62214811771576217</c:v>
                </c:pt>
                <c:pt idx="77">
                  <c:v>0.6180949923702227</c:v>
                </c:pt>
                <c:pt idx="78">
                  <c:v>0.64566929133858264</c:v>
                </c:pt>
                <c:pt idx="79">
                  <c:v>0.64566929133858264</c:v>
                </c:pt>
                <c:pt idx="80">
                  <c:v>0.64566929133858264</c:v>
                </c:pt>
                <c:pt idx="81">
                  <c:v>0.64566929133858264</c:v>
                </c:pt>
                <c:pt idx="82">
                  <c:v>0.64566929133858275</c:v>
                </c:pt>
                <c:pt idx="83">
                  <c:v>0.64566929133858264</c:v>
                </c:pt>
                <c:pt idx="84">
                  <c:v>0.64566929133858264</c:v>
                </c:pt>
                <c:pt idx="85">
                  <c:v>0.64566929133858275</c:v>
                </c:pt>
                <c:pt idx="86">
                  <c:v>0.64566929133858264</c:v>
                </c:pt>
                <c:pt idx="87">
                  <c:v>0.64566929133858264</c:v>
                </c:pt>
                <c:pt idx="88">
                  <c:v>0.64566929133858264</c:v>
                </c:pt>
                <c:pt idx="89">
                  <c:v>0.64566929133858253</c:v>
                </c:pt>
                <c:pt idx="90">
                  <c:v>0.64566929133858264</c:v>
                </c:pt>
                <c:pt idx="91">
                  <c:v>0.64566929133858275</c:v>
                </c:pt>
                <c:pt idx="92">
                  <c:v>0.64566929133858264</c:v>
                </c:pt>
                <c:pt idx="93">
                  <c:v>0.64566929133858264</c:v>
                </c:pt>
                <c:pt idx="94">
                  <c:v>0.64566929133858253</c:v>
                </c:pt>
                <c:pt idx="95">
                  <c:v>0.64566929133858242</c:v>
                </c:pt>
                <c:pt idx="96">
                  <c:v>0.64566929133858275</c:v>
                </c:pt>
                <c:pt idx="97">
                  <c:v>0.64566929133858286</c:v>
                </c:pt>
                <c:pt idx="98">
                  <c:v>0.64566929133858264</c:v>
                </c:pt>
                <c:pt idx="99">
                  <c:v>0.64566929133858264</c:v>
                </c:pt>
                <c:pt idx="100">
                  <c:v>0.64566929133858253</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5.535E-3</c:v>
                </c:pt>
                <c:pt idx="1">
                  <c:v>1.0499999999999999E-2</c:v>
                </c:pt>
                <c:pt idx="2">
                  <c:v>2.0999999999999998E-2</c:v>
                </c:pt>
                <c:pt idx="3">
                  <c:v>3.15E-2</c:v>
                </c:pt>
                <c:pt idx="4">
                  <c:v>4.1999999999999996E-2</c:v>
                </c:pt>
                <c:pt idx="5">
                  <c:v>5.2500000000000005E-2</c:v>
                </c:pt>
                <c:pt idx="6">
                  <c:v>6.3E-2</c:v>
                </c:pt>
                <c:pt idx="7">
                  <c:v>7.350000000000001E-2</c:v>
                </c:pt>
                <c:pt idx="8">
                  <c:v>8.3999999999999991E-2</c:v>
                </c:pt>
                <c:pt idx="9">
                  <c:v>9.4500000000000028E-2</c:v>
                </c:pt>
                <c:pt idx="10">
                  <c:v>0.10500000000000001</c:v>
                </c:pt>
                <c:pt idx="11">
                  <c:v>0.11550000000000001</c:v>
                </c:pt>
                <c:pt idx="12">
                  <c:v>0.126</c:v>
                </c:pt>
                <c:pt idx="13">
                  <c:v>0.13650000000000001</c:v>
                </c:pt>
                <c:pt idx="14">
                  <c:v>0.14700000000000002</c:v>
                </c:pt>
                <c:pt idx="15">
                  <c:v>0.1575</c:v>
                </c:pt>
                <c:pt idx="16">
                  <c:v>0.16468606498426028</c:v>
                </c:pt>
                <c:pt idx="17">
                  <c:v>0.16975451024935978</c:v>
                </c:pt>
                <c:pt idx="18">
                  <c:v>0.17467594997594835</c:v>
                </c:pt>
                <c:pt idx="19">
                  <c:v>0.17946247866894069</c:v>
                </c:pt>
                <c:pt idx="20">
                  <c:v>0.18412461812587688</c:v>
                </c:pt>
                <c:pt idx="21">
                  <c:v>0.18867158967369727</c:v>
                </c:pt>
                <c:pt idx="22">
                  <c:v>0.19311152865636996</c:v>
                </c:pt>
                <c:pt idx="23">
                  <c:v>0.19745165547546059</c:v>
                </c:pt>
                <c:pt idx="24">
                  <c:v>0.20169841347913467</c:v>
                </c:pt>
                <c:pt idx="25">
                  <c:v>0.20585758123032533</c:v>
                </c:pt>
                <c:pt idx="26">
                  <c:v>0.2099343647428881</c:v>
                </c:pt>
                <c:pt idx="27">
                  <c:v>0.21393347388849643</c:v>
                </c:pt>
                <c:pt idx="28">
                  <c:v>0.21785918617308744</c:v>
                </c:pt>
                <c:pt idx="29">
                  <c:v>0.2217154003446761</c:v>
                </c:pt>
                <c:pt idx="30">
                  <c:v>0.22550568174660254</c:v>
                </c:pt>
                <c:pt idx="31">
                  <c:v>0.22923330091851835</c:v>
                </c:pt>
                <c:pt idx="32">
                  <c:v>0.2329012666345977</c:v>
                </c:pt>
                <c:pt idx="33">
                  <c:v>0.236512354328479</c:v>
                </c:pt>
                <c:pt idx="34">
                  <c:v>0.24006913066864718</c:v>
                </c:pt>
                <c:pt idx="35">
                  <c:v>0.24357397490290292</c:v>
                </c:pt>
                <c:pt idx="36">
                  <c:v>0.2470290974763904</c:v>
                </c:pt>
                <c:pt idx="37">
                  <c:v>0.25043655633712902</c:v>
                </c:pt>
                <c:pt idx="38">
                  <c:v>0.2537982712707082</c:v>
                </c:pt>
                <c:pt idx="39">
                  <c:v>0.25711603654770349</c:v>
                </c:pt>
                <c:pt idx="40">
                  <c:v>0.26039153212038213</c:v>
                </c:pt>
                <c:pt idx="41">
                  <c:v>0.26362633356703952</c:v>
                </c:pt>
                <c:pt idx="42">
                  <c:v>0.26682192095103424</c:v>
                </c:pt>
                <c:pt idx="43">
                  <c:v>0.2699796867358728</c:v>
                </c:pt>
                <c:pt idx="44">
                  <c:v>0.27310094287643899</c:v>
                </c:pt>
                <c:pt idx="45">
                  <c:v>0.27618692718881532</c:v>
                </c:pt>
                <c:pt idx="46">
                  <c:v>0.27923880908641618</c:v>
                </c:pt>
                <c:pt idx="47">
                  <c:v>0.28225769475782231</c:v>
                </c:pt>
                <c:pt idx="48">
                  <c:v>0.28524463185132853</c:v>
                </c:pt>
                <c:pt idx="49">
                  <c:v>0.28820061372245542</c:v>
                </c:pt>
                <c:pt idx="50">
                  <c:v>0.2911265832932472</c:v>
                </c:pt>
                <c:pt idx="51">
                  <c:v>0.29402343656586288</c:v>
                </c:pt>
                <c:pt idx="52">
                  <c:v>0.29689202582757251</c:v>
                </c:pt>
                <c:pt idx="53">
                  <c:v>0.29973316257965177</c:v>
                </c:pt>
                <c:pt idx="54">
                  <c:v>0.30254762021870213</c:v>
                </c:pt>
                <c:pt idx="55">
                  <c:v>0.30533613649550229</c:v>
                </c:pt>
                <c:pt idx="56">
                  <c:v>0.30809941577354538</c:v>
                </c:pt>
                <c:pt idx="57">
                  <c:v>0.31083813110685116</c:v>
                </c:pt>
                <c:pt idx="58">
                  <c:v>0.31355292615442132</c:v>
                </c:pt>
                <c:pt idx="59">
                  <c:v>0.31624441694676597</c:v>
                </c:pt>
                <c:pt idx="60">
                  <c:v>0.31891319351823622</c:v>
                </c:pt>
                <c:pt idx="61">
                  <c:v>0.32155982141741524</c:v>
                </c:pt>
                <c:pt idx="62">
                  <c:v>0.32418484310652157</c:v>
                </c:pt>
                <c:pt idx="63">
                  <c:v>0.32678877925963123</c:v>
                </c:pt>
                <c:pt idx="64">
                  <c:v>0.32937212996852056</c:v>
                </c:pt>
                <c:pt idx="65">
                  <c:v>0.33193537586403771</c:v>
                </c:pt>
                <c:pt idx="66">
                  <c:v>0.33447897916012592</c:v>
                </c:pt>
                <c:pt idx="67">
                  <c:v>0.33700338462692031</c:v>
                </c:pt>
                <c:pt idx="68">
                  <c:v>0.33950902049871956</c:v>
                </c:pt>
                <c:pt idx="69">
                  <c:v>0.34199629932208325</c:v>
                </c:pt>
                <c:pt idx="70">
                  <c:v>0.34446561874880921</c:v>
                </c:pt>
                <c:pt idx="71">
                  <c:v>0.34691736227810793</c:v>
                </c:pt>
                <c:pt idx="72">
                  <c:v>0.34935189995189669</c:v>
                </c:pt>
                <c:pt idx="73">
                  <c:v>0.35176958900678146</c:v>
                </c:pt>
                <c:pt idx="74">
                  <c:v>0.3541707744859815</c:v>
                </c:pt>
                <c:pt idx="75">
                  <c:v>0.3565557898141607</c:v>
                </c:pt>
                <c:pt idx="76">
                  <c:v>0.35892495733788138</c:v>
                </c:pt>
                <c:pt idx="77">
                  <c:v>0.36127858883415714</c:v>
                </c:pt>
                <c:pt idx="78">
                  <c:v>0.36361698598937869</c:v>
                </c:pt>
                <c:pt idx="79">
                  <c:v>0.36594044085069366</c:v>
                </c:pt>
                <c:pt idx="80">
                  <c:v>0.36824923625175376</c:v>
                </c:pt>
                <c:pt idx="81">
                  <c:v>0.37054364621458563</c:v>
                </c:pt>
                <c:pt idx="82">
                  <c:v>0.37282393632920086</c:v>
                </c:pt>
                <c:pt idx="83">
                  <c:v>0.37509036411243618</c:v>
                </c:pt>
                <c:pt idx="84">
                  <c:v>0.37734317934739453</c:v>
                </c:pt>
                <c:pt idx="85">
                  <c:v>0.37958262440475321</c:v>
                </c:pt>
                <c:pt idx="86">
                  <c:v>0.38180893454711085</c:v>
                </c:pt>
                <c:pt idx="87">
                  <c:v>0.38402233821745307</c:v>
                </c:pt>
                <c:pt idx="88">
                  <c:v>0.38622305731273993</c:v>
                </c:pt>
                <c:pt idx="89">
                  <c:v>0.38841130744353974</c:v>
                </c:pt>
                <c:pt idx="90">
                  <c:v>0.39058729818057319</c:v>
                </c:pt>
                <c:pt idx="91">
                  <c:v>0.39275123328896117</c:v>
                </c:pt>
                <c:pt idx="92">
                  <c:v>0.39490331095092118</c:v>
                </c:pt>
                <c:pt idx="93">
                  <c:v>0.39704372397759918</c:v>
                </c:pt>
                <c:pt idx="94">
                  <c:v>0.39917266001067753</c:v>
                </c:pt>
                <c:pt idx="95">
                  <c:v>0.40129030171435731</c:v>
                </c:pt>
                <c:pt idx="96">
                  <c:v>0.40339682695826934</c:v>
                </c:pt>
                <c:pt idx="97">
                  <c:v>0.40549240899183292</c:v>
                </c:pt>
                <c:pt idx="98">
                  <c:v>0.40757721661054597</c:v>
                </c:pt>
                <c:pt idx="99">
                  <c:v>0.40965141431465846</c:v>
                </c:pt>
                <c:pt idx="100">
                  <c:v>0.41171516246065065</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Single'!$CD$5:$CD$105</c:f>
              <c:numCache>
                <c:formatCode>0.00</c:formatCode>
                <c:ptCount val="101"/>
                <c:pt idx="0">
                  <c:v>2.502193097656046E-5</c:v>
                </c:pt>
                <c:pt idx="1">
                  <c:v>48.29029143811789</c:v>
                </c:pt>
                <c:pt idx="2">
                  <c:v>61.38149737943278</c:v>
                </c:pt>
                <c:pt idx="3">
                  <c:v>67.478975561934135</c:v>
                </c:pt>
                <c:pt idx="4">
                  <c:v>71.005522798069947</c:v>
                </c:pt>
                <c:pt idx="5">
                  <c:v>73.303925332283768</c:v>
                </c:pt>
                <c:pt idx="6">
                  <c:v>74.920521200348134</c:v>
                </c:pt>
                <c:pt idx="7">
                  <c:v>76.119444384187048</c:v>
                </c:pt>
                <c:pt idx="8">
                  <c:v>77.043997282553406</c:v>
                </c:pt>
                <c:pt idx="9">
                  <c:v>77.778654594082823</c:v>
                </c:pt>
                <c:pt idx="10">
                  <c:v>78.376440643976167</c:v>
                </c:pt>
                <c:pt idx="11">
                  <c:v>78.872319504714611</c:v>
                </c:pt>
                <c:pt idx="12">
                  <c:v>79.290280853622178</c:v>
                </c:pt>
                <c:pt idx="13">
                  <c:v>79.647332441273619</c:v>
                </c:pt>
                <c:pt idx="14">
                  <c:v>79.891608026857043</c:v>
                </c:pt>
                <c:pt idx="15">
                  <c:v>79.788117558867</c:v>
                </c:pt>
                <c:pt idx="16">
                  <c:v>80.019635969358276</c:v>
                </c:pt>
                <c:pt idx="17">
                  <c:v>80.415895811560972</c:v>
                </c:pt>
                <c:pt idx="18">
                  <c:v>80.774287845561545</c:v>
                </c:pt>
                <c:pt idx="19">
                  <c:v>81.100206120692278</c:v>
                </c:pt>
                <c:pt idx="20">
                  <c:v>81.398054142926142</c:v>
                </c:pt>
                <c:pt idx="21">
                  <c:v>81.671463639490881</c:v>
                </c:pt>
                <c:pt idx="22">
                  <c:v>81.923457591065741</c:v>
                </c:pt>
                <c:pt idx="23">
                  <c:v>82.15657346052285</c:v>
                </c:pt>
                <c:pt idx="24">
                  <c:v>82.372957539627109</c:v>
                </c:pt>
                <c:pt idx="25">
                  <c:v>82.57443803374909</c:v>
                </c:pt>
                <c:pt idx="26">
                  <c:v>82.762582286498628</c:v>
                </c:pt>
                <c:pt idx="27">
                  <c:v>82.938742029861928</c:v>
                </c:pt>
                <c:pt idx="28">
                  <c:v>83.104089492329337</c:v>
                </c:pt>
                <c:pt idx="29">
                  <c:v>83.25964645540401</c:v>
                </c:pt>
                <c:pt idx="30">
                  <c:v>83.40630781887225</c:v>
                </c:pt>
                <c:pt idx="31">
                  <c:v>83.544860851949949</c:v>
                </c:pt>
                <c:pt idx="32">
                  <c:v>83.676001027053388</c:v>
                </c:pt>
                <c:pt idx="33">
                  <c:v>83.800345125636184</c:v>
                </c:pt>
                <c:pt idx="34">
                  <c:v>83.918442150706511</c:v>
                </c:pt>
                <c:pt idx="35">
                  <c:v>84.03078246391577</c:v>
                </c:pt>
                <c:pt idx="36">
                  <c:v>84.137805476338499</c:v>
                </c:pt>
                <c:pt idx="37">
                  <c:v>84.239906153988983</c:v>
                </c:pt>
                <c:pt idx="38">
                  <c:v>84.337440546512383</c:v>
                </c:pt>
                <c:pt idx="39">
                  <c:v>84.430730506531717</c:v>
                </c:pt>
                <c:pt idx="40">
                  <c:v>84.520067735027411</c:v>
                </c:pt>
                <c:pt idx="41">
                  <c:v>84.605717262794116</c:v>
                </c:pt>
                <c:pt idx="42">
                  <c:v>84.68792045790569</c:v>
                </c:pt>
                <c:pt idx="43">
                  <c:v>84.766897633057269</c:v>
                </c:pt>
                <c:pt idx="44">
                  <c:v>84.842850313752621</c:v>
                </c:pt>
                <c:pt idx="45">
                  <c:v>84.91596321788947</c:v>
                </c:pt>
                <c:pt idx="46">
                  <c:v>84.986405988842748</c:v>
                </c:pt>
                <c:pt idx="47">
                  <c:v>85.054334717254036</c:v>
                </c:pt>
                <c:pt idx="48">
                  <c:v>85.119893281088849</c:v>
                </c:pt>
                <c:pt idx="49">
                  <c:v>85.183214528877897</c:v>
                </c:pt>
                <c:pt idx="50">
                  <c:v>85.244421327219712</c:v>
                </c:pt>
                <c:pt idx="51">
                  <c:v>85.303627490437066</c:v>
                </c:pt>
                <c:pt idx="52">
                  <c:v>85.360938607627673</c:v>
                </c:pt>
                <c:pt idx="53">
                  <c:v>85.416452780131394</c:v>
                </c:pt>
                <c:pt idx="54">
                  <c:v>85.470261280577091</c:v>
                </c:pt>
                <c:pt idx="55">
                  <c:v>85.522449143105462</c:v>
                </c:pt>
                <c:pt idx="56">
                  <c:v>85.573095693041779</c:v>
                </c:pt>
                <c:pt idx="57">
                  <c:v>85.62227502317235</c:v>
                </c:pt>
                <c:pt idx="58">
                  <c:v>85.670056422825098</c:v>
                </c:pt>
                <c:pt idx="59">
                  <c:v>85.716504765143981</c:v>
                </c:pt>
                <c:pt idx="60">
                  <c:v>85.761680857252259</c:v>
                </c:pt>
                <c:pt idx="61">
                  <c:v>85.805641757405127</c:v>
                </c:pt>
                <c:pt idx="62">
                  <c:v>85.848441062721051</c:v>
                </c:pt>
                <c:pt idx="63">
                  <c:v>85.890129170640535</c:v>
                </c:pt>
                <c:pt idx="64">
                  <c:v>85.930753516880927</c:v>
                </c:pt>
                <c:pt idx="65">
                  <c:v>85.970358792325968</c:v>
                </c:pt>
                <c:pt idx="66">
                  <c:v>86.008987141003573</c:v>
                </c:pt>
                <c:pt idx="67">
                  <c:v>86.046678341056037</c:v>
                </c:pt>
                <c:pt idx="68">
                  <c:v>86.083469970390738</c:v>
                </c:pt>
                <c:pt idx="69">
                  <c:v>86.119397558509689</c:v>
                </c:pt>
                <c:pt idx="70">
                  <c:v>86.154494725850682</c:v>
                </c:pt>
                <c:pt idx="71">
                  <c:v>86.188793311827567</c:v>
                </c:pt>
                <c:pt idx="72">
                  <c:v>86.222323492629371</c:v>
                </c:pt>
                <c:pt idx="73">
                  <c:v>86.255113889725692</c:v>
                </c:pt>
                <c:pt idx="74">
                  <c:v>86.287191669926415</c:v>
                </c:pt>
                <c:pt idx="75">
                  <c:v>86.31858263775645</c:v>
                </c:pt>
                <c:pt idx="76">
                  <c:v>86.349311320828363</c:v>
                </c:pt>
                <c:pt idx="77">
                  <c:v>86.379401048827603</c:v>
                </c:pt>
                <c:pt idx="78">
                  <c:v>86.408874026663284</c:v>
                </c:pt>
                <c:pt idx="79">
                  <c:v>86.437751402283482</c:v>
                </c:pt>
                <c:pt idx="80">
                  <c:v>86.466053329606098</c:v>
                </c:pt>
                <c:pt idx="81">
                  <c:v>86.493799026972511</c:v>
                </c:pt>
                <c:pt idx="82">
                  <c:v>86.52100683149321</c:v>
                </c:pt>
                <c:pt idx="83">
                  <c:v>86.547694249619695</c:v>
                </c:pt>
                <c:pt idx="84">
                  <c:v>86.573878004246822</c:v>
                </c:pt>
                <c:pt idx="85">
                  <c:v>86.599574078620861</c:v>
                </c:pt>
                <c:pt idx="86">
                  <c:v>86.624797757305032</c:v>
                </c:pt>
                <c:pt idx="87">
                  <c:v>86.649563664430787</c:v>
                </c:pt>
                <c:pt idx="88">
                  <c:v>86.673885799443411</c:v>
                </c:pt>
                <c:pt idx="89">
                  <c:v>86.697777570532622</c:v>
                </c:pt>
                <c:pt idx="90">
                  <c:v>86.721251825921556</c:v>
                </c:pt>
                <c:pt idx="91">
                  <c:v>86.744320883174041</c:v>
                </c:pt>
                <c:pt idx="92">
                  <c:v>86.766996556665049</c:v>
                </c:pt>
                <c:pt idx="93">
                  <c:v>86.789290183348456</c:v>
                </c:pt>
                <c:pt idx="94">
                  <c:v>86.811212646944441</c:v>
                </c:pt>
                <c:pt idx="95">
                  <c:v>86.832774400658963</c:v>
                </c:pt>
                <c:pt idx="96">
                  <c:v>86.853985488538882</c:v>
                </c:pt>
                <c:pt idx="97">
                  <c:v>86.87485556555778</c:v>
                </c:pt>
                <c:pt idx="98">
                  <c:v>86.89539391652022</c:v>
                </c:pt>
                <c:pt idx="99">
                  <c:v>86.915609473864876</c:v>
                </c:pt>
                <c:pt idx="100">
                  <c:v>86.935510834441487</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9.0000000000000007E-7</c:v>
                </c:pt>
                <c:pt idx="1">
                  <c:v>3.78</c:v>
                </c:pt>
                <c:pt idx="2">
                  <c:v>7.56</c:v>
                </c:pt>
                <c:pt idx="3">
                  <c:v>11.34</c:v>
                </c:pt>
                <c:pt idx="4">
                  <c:v>15.12</c:v>
                </c:pt>
                <c:pt idx="5">
                  <c:v>18.899999999999999</c:v>
                </c:pt>
                <c:pt idx="6">
                  <c:v>22.68</c:v>
                </c:pt>
                <c:pt idx="7">
                  <c:v>26.460000000000004</c:v>
                </c:pt>
                <c:pt idx="8">
                  <c:v>30.24</c:v>
                </c:pt>
                <c:pt idx="9">
                  <c:v>34.020000000000003</c:v>
                </c:pt>
                <c:pt idx="10">
                  <c:v>37.799999999999997</c:v>
                </c:pt>
                <c:pt idx="11">
                  <c:v>41.58</c:v>
                </c:pt>
                <c:pt idx="12">
                  <c:v>45.36</c:v>
                </c:pt>
                <c:pt idx="13">
                  <c:v>49.14</c:v>
                </c:pt>
                <c:pt idx="14">
                  <c:v>52.920000000000009</c:v>
                </c:pt>
                <c:pt idx="15">
                  <c:v>56.7</c:v>
                </c:pt>
                <c:pt idx="16">
                  <c:v>60.48</c:v>
                </c:pt>
                <c:pt idx="17">
                  <c:v>64.260000000000005</c:v>
                </c:pt>
                <c:pt idx="18">
                  <c:v>68.040000000000006</c:v>
                </c:pt>
                <c:pt idx="19">
                  <c:v>71.819999999999993</c:v>
                </c:pt>
                <c:pt idx="20">
                  <c:v>75.599999999999994</c:v>
                </c:pt>
                <c:pt idx="21">
                  <c:v>79.38</c:v>
                </c:pt>
                <c:pt idx="22">
                  <c:v>83.16</c:v>
                </c:pt>
                <c:pt idx="23">
                  <c:v>86.94</c:v>
                </c:pt>
                <c:pt idx="24">
                  <c:v>90.72</c:v>
                </c:pt>
                <c:pt idx="25">
                  <c:v>94.5</c:v>
                </c:pt>
                <c:pt idx="26">
                  <c:v>98.28</c:v>
                </c:pt>
                <c:pt idx="27">
                  <c:v>102.06</c:v>
                </c:pt>
                <c:pt idx="28">
                  <c:v>105.84000000000002</c:v>
                </c:pt>
                <c:pt idx="29">
                  <c:v>109.61999999999999</c:v>
                </c:pt>
                <c:pt idx="30">
                  <c:v>113.4</c:v>
                </c:pt>
                <c:pt idx="31">
                  <c:v>117.17999999999999</c:v>
                </c:pt>
                <c:pt idx="32">
                  <c:v>120.96</c:v>
                </c:pt>
                <c:pt idx="33">
                  <c:v>124.74000000000001</c:v>
                </c:pt>
                <c:pt idx="34">
                  <c:v>128.52000000000001</c:v>
                </c:pt>
                <c:pt idx="35">
                  <c:v>132.30000000000001</c:v>
                </c:pt>
                <c:pt idx="36">
                  <c:v>136.08000000000001</c:v>
                </c:pt>
                <c:pt idx="37">
                  <c:v>139.85999999999999</c:v>
                </c:pt>
                <c:pt idx="38">
                  <c:v>143.63999999999999</c:v>
                </c:pt>
                <c:pt idx="39">
                  <c:v>147.41999999999999</c:v>
                </c:pt>
                <c:pt idx="40">
                  <c:v>151.19999999999999</c:v>
                </c:pt>
                <c:pt idx="41">
                  <c:v>154.98000000000002</c:v>
                </c:pt>
                <c:pt idx="42">
                  <c:v>158.76</c:v>
                </c:pt>
                <c:pt idx="43">
                  <c:v>162.54</c:v>
                </c:pt>
                <c:pt idx="44">
                  <c:v>166.32</c:v>
                </c:pt>
                <c:pt idx="45">
                  <c:v>170.1</c:v>
                </c:pt>
                <c:pt idx="46">
                  <c:v>173.88</c:v>
                </c:pt>
                <c:pt idx="47">
                  <c:v>177.66</c:v>
                </c:pt>
                <c:pt idx="48">
                  <c:v>181.44</c:v>
                </c:pt>
                <c:pt idx="49">
                  <c:v>185.22</c:v>
                </c:pt>
                <c:pt idx="50">
                  <c:v>189</c:v>
                </c:pt>
                <c:pt idx="51">
                  <c:v>192.78</c:v>
                </c:pt>
                <c:pt idx="52">
                  <c:v>196.56</c:v>
                </c:pt>
                <c:pt idx="53">
                  <c:v>200.34</c:v>
                </c:pt>
                <c:pt idx="54">
                  <c:v>204.12</c:v>
                </c:pt>
                <c:pt idx="55">
                  <c:v>207.9</c:v>
                </c:pt>
                <c:pt idx="56">
                  <c:v>211.68000000000004</c:v>
                </c:pt>
                <c:pt idx="57">
                  <c:v>215.45999999999998</c:v>
                </c:pt>
                <c:pt idx="58">
                  <c:v>219.23999999999998</c:v>
                </c:pt>
                <c:pt idx="59">
                  <c:v>223.01999999999998</c:v>
                </c:pt>
                <c:pt idx="60">
                  <c:v>226.8</c:v>
                </c:pt>
                <c:pt idx="61">
                  <c:v>230.57999999999998</c:v>
                </c:pt>
                <c:pt idx="62">
                  <c:v>234.35999999999999</c:v>
                </c:pt>
                <c:pt idx="63">
                  <c:v>238.14000000000001</c:v>
                </c:pt>
                <c:pt idx="64">
                  <c:v>241.92</c:v>
                </c:pt>
                <c:pt idx="65">
                  <c:v>245.70000000000002</c:v>
                </c:pt>
                <c:pt idx="66">
                  <c:v>249.48000000000002</c:v>
                </c:pt>
                <c:pt idx="67">
                  <c:v>253.26</c:v>
                </c:pt>
                <c:pt idx="68">
                  <c:v>257.04000000000002</c:v>
                </c:pt>
                <c:pt idx="69">
                  <c:v>260.81999999999994</c:v>
                </c:pt>
                <c:pt idx="70">
                  <c:v>264.60000000000002</c:v>
                </c:pt>
                <c:pt idx="71">
                  <c:v>268.37999999999994</c:v>
                </c:pt>
                <c:pt idx="72">
                  <c:v>272.16000000000003</c:v>
                </c:pt>
                <c:pt idx="73">
                  <c:v>275.94</c:v>
                </c:pt>
                <c:pt idx="74">
                  <c:v>279.71999999999997</c:v>
                </c:pt>
                <c:pt idx="75">
                  <c:v>283.50000000000006</c:v>
                </c:pt>
                <c:pt idx="76">
                  <c:v>287.27999999999997</c:v>
                </c:pt>
                <c:pt idx="77">
                  <c:v>291.06000000000006</c:v>
                </c:pt>
                <c:pt idx="78">
                  <c:v>294.83999999999997</c:v>
                </c:pt>
                <c:pt idx="79">
                  <c:v>298.62</c:v>
                </c:pt>
                <c:pt idx="80">
                  <c:v>302.39999999999998</c:v>
                </c:pt>
                <c:pt idx="81">
                  <c:v>306.18</c:v>
                </c:pt>
                <c:pt idx="82">
                  <c:v>309.96000000000004</c:v>
                </c:pt>
                <c:pt idx="83">
                  <c:v>313.73999999999995</c:v>
                </c:pt>
                <c:pt idx="84">
                  <c:v>317.52</c:v>
                </c:pt>
                <c:pt idx="85">
                  <c:v>321.29999999999995</c:v>
                </c:pt>
                <c:pt idx="86">
                  <c:v>325.08</c:v>
                </c:pt>
                <c:pt idx="87">
                  <c:v>328.86</c:v>
                </c:pt>
                <c:pt idx="88">
                  <c:v>332.64</c:v>
                </c:pt>
                <c:pt idx="89">
                  <c:v>336.42</c:v>
                </c:pt>
                <c:pt idx="90">
                  <c:v>340.2</c:v>
                </c:pt>
                <c:pt idx="91">
                  <c:v>343.98</c:v>
                </c:pt>
                <c:pt idx="92">
                  <c:v>347.76</c:v>
                </c:pt>
                <c:pt idx="93">
                  <c:v>351.54</c:v>
                </c:pt>
                <c:pt idx="94">
                  <c:v>355.32</c:v>
                </c:pt>
                <c:pt idx="95">
                  <c:v>359.09999999999997</c:v>
                </c:pt>
                <c:pt idx="96">
                  <c:v>362.88</c:v>
                </c:pt>
                <c:pt idx="97">
                  <c:v>366.65999999999997</c:v>
                </c:pt>
                <c:pt idx="98">
                  <c:v>370.44</c:v>
                </c:pt>
                <c:pt idx="99">
                  <c:v>374.21999999999997</c:v>
                </c:pt>
                <c:pt idx="100">
                  <c:v>378</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7.8380465635419885</c:v>
                </c:pt>
                <c:pt idx="1">
                  <c:v>11.747545972675704</c:v>
                </c:pt>
                <c:pt idx="2">
                  <c:v>20.016145083811946</c:v>
                </c:pt>
                <c:pt idx="3">
                  <c:v>28.285797534648228</c:v>
                </c:pt>
                <c:pt idx="4">
                  <c:v>36.556503526475346</c:v>
                </c:pt>
                <c:pt idx="5">
                  <c:v>44.828263260635374</c:v>
                </c:pt>
                <c:pt idx="6">
                  <c:v>53.101076938521686</c:v>
                </c:pt>
                <c:pt idx="7">
                  <c:v>61.374944761579009</c:v>
                </c:pt>
                <c:pt idx="8">
                  <c:v>69.649866931303379</c:v>
                </c:pt>
                <c:pt idx="9">
                  <c:v>77.925843649242211</c:v>
                </c:pt>
                <c:pt idx="10">
                  <c:v>86.202875116994235</c:v>
                </c:pt>
                <c:pt idx="11">
                  <c:v>94.480961536209662</c:v>
                </c:pt>
                <c:pt idx="12">
                  <c:v>102.76010310859007</c:v>
                </c:pt>
                <c:pt idx="13">
                  <c:v>111.04030003588846</c:v>
                </c:pt>
                <c:pt idx="14">
                  <c:v>119.62633982103834</c:v>
                </c:pt>
                <c:pt idx="15">
                  <c:v>129.92446359936977</c:v>
                </c:pt>
                <c:pt idx="16">
                  <c:v>135.10686626490838</c:v>
                </c:pt>
                <c:pt idx="17">
                  <c:v>137.10206026930868</c:v>
                </c:pt>
                <c:pt idx="18">
                  <c:v>139.07780975260178</c:v>
                </c:pt>
                <c:pt idx="19">
                  <c:v>141.03680816364465</c:v>
                </c:pt>
                <c:pt idx="20">
                  <c:v>142.98137351069565</c:v>
                </c:pt>
                <c:pt idx="21">
                  <c:v>144.91351534455725</c:v>
                </c:pt>
                <c:pt idx="22">
                  <c:v>146.83498729771316</c:v>
                </c:pt>
                <c:pt idx="23">
                  <c:v>148.74732879374858</c:v>
                </c:pt>
                <c:pt idx="24">
                  <c:v>150.6518985216245</c:v>
                </c:pt>
                <c:pt idx="25">
                  <c:v>152.54990156735857</c:v>
                </c:pt>
                <c:pt idx="26">
                  <c:v>154.44241160373412</c:v>
                </c:pt>
                <c:pt idx="27">
                  <c:v>156.3303891883599</c:v>
                </c:pt>
                <c:pt idx="28">
                  <c:v>158.21469696727038</c:v>
                </c:pt>
                <c:pt idx="29">
                  <c:v>160.09611239586812</c:v>
                </c:pt>
                <c:pt idx="30">
                  <c:v>161.97533845155152</c:v>
                </c:pt>
                <c:pt idx="31">
                  <c:v>163.85301270927852</c:v>
                </c:pt>
                <c:pt idx="32">
                  <c:v>165.72971507318681</c:v>
                </c:pt>
                <c:pt idx="33">
                  <c:v>167.6059743975897</c:v>
                </c:pt>
                <c:pt idx="34">
                  <c:v>169.48227418448045</c:v>
                </c:pt>
                <c:pt idx="35">
                  <c:v>171.35905750870276</c:v>
                </c:pt>
                <c:pt idx="36">
                  <c:v>173.23673129369561</c:v>
                </c:pt>
                <c:pt idx="37">
                  <c:v>175.11567003837817</c:v>
                </c:pt>
                <c:pt idx="38">
                  <c:v>176.99621907793997</c:v>
                </c:pt>
                <c:pt idx="39">
                  <c:v>178.87869744703059</c:v>
                </c:pt>
                <c:pt idx="40">
                  <c:v>180.76340040232728</c:v>
                </c:pt>
                <c:pt idx="41">
                  <c:v>182.65060165211452</c:v>
                </c:pt>
                <c:pt idx="42">
                  <c:v>184.54055533288224</c:v>
                </c:pt>
                <c:pt idx="43">
                  <c:v>186.43349776669231</c:v>
                </c:pt>
                <c:pt idx="44">
                  <c:v>188.3296490279061</c:v>
                </c:pt>
                <c:pt idx="45">
                  <c:v>190.22921434359066</c:v>
                </c:pt>
                <c:pt idx="46">
                  <c:v>192.13238534836577</c:v>
                </c:pt>
                <c:pt idx="47">
                  <c:v>194.03934121148356</c:v>
                </c:pt>
                <c:pt idx="48">
                  <c:v>195.95024965143648</c:v>
                </c:pt>
                <c:pt idx="49">
                  <c:v>197.86526785129067</c:v>
                </c:pt>
                <c:pt idx="50">
                  <c:v>199.78454328616468</c:v>
                </c:pt>
                <c:pt idx="51">
                  <c:v>201.70821447276577</c:v>
                </c:pt>
                <c:pt idx="52">
                  <c:v>203.63641164961328</c:v>
                </c:pt>
                <c:pt idx="53">
                  <c:v>205.5692573954818</c:v>
                </c:pt>
                <c:pt idx="54">
                  <c:v>207.50686719265735</c:v>
                </c:pt>
                <c:pt idx="55">
                  <c:v>209.44934994079171</c:v>
                </c:pt>
                <c:pt idx="56">
                  <c:v>211.39680842644387</c:v>
                </c:pt>
                <c:pt idx="57">
                  <c:v>213.34933975279699</c:v>
                </c:pt>
                <c:pt idx="58">
                  <c:v>215.30703573351542</c:v>
                </c:pt>
                <c:pt idx="59">
                  <c:v>217.26998325425396</c:v>
                </c:pt>
                <c:pt idx="60">
                  <c:v>219.23826460493797</c:v>
                </c:pt>
                <c:pt idx="61">
                  <c:v>221.21195778558501</c:v>
                </c:pt>
                <c:pt idx="62">
                  <c:v>223.1911367881402</c:v>
                </c:pt>
                <c:pt idx="63">
                  <c:v>225.17587185652926</c:v>
                </c:pt>
                <c:pt idx="64">
                  <c:v>227.16622972690331</c:v>
                </c:pt>
                <c:pt idx="65">
                  <c:v>229.16227384984333</c:v>
                </c:pt>
                <c:pt idx="66">
                  <c:v>231.1640645961088</c:v>
                </c:pt>
                <c:pt idx="67">
                  <c:v>233.17165944736047</c:v>
                </c:pt>
                <c:pt idx="68">
                  <c:v>235.18511317313801</c:v>
                </c:pt>
                <c:pt idx="69">
                  <c:v>237.20447799525405</c:v>
                </c:pt>
                <c:pt idx="70">
                  <c:v>239.22980374064952</c:v>
                </c:pt>
                <c:pt idx="71">
                  <c:v>241.26113798365708</c:v>
                </c:pt>
                <c:pt idx="72">
                  <c:v>243.29852617853081</c:v>
                </c:pt>
                <c:pt idx="73">
                  <c:v>245.34201178301925</c:v>
                </c:pt>
                <c:pt idx="74">
                  <c:v>247.39163637368927</c:v>
                </c:pt>
                <c:pt idx="75">
                  <c:v>249.44743975364156</c:v>
                </c:pt>
                <c:pt idx="76">
                  <c:v>251.50946005320645</c:v>
                </c:pt>
                <c:pt idx="77">
                  <c:v>253.57773382414979</c:v>
                </c:pt>
                <c:pt idx="78">
                  <c:v>255.65229612787832</c:v>
                </c:pt>
                <c:pt idx="79">
                  <c:v>257.73318061808988</c:v>
                </c:pt>
                <c:pt idx="80">
                  <c:v>259.82041961827463</c:v>
                </c:pt>
                <c:pt idx="81">
                  <c:v>261.91404419444103</c:v>
                </c:pt>
                <c:pt idx="82">
                  <c:v>264.01408422340927</c:v>
                </c:pt>
                <c:pt idx="83">
                  <c:v>266.12056845698532</c:v>
                </c:pt>
                <c:pt idx="84">
                  <c:v>268.23352458230511</c:v>
                </c:pt>
                <c:pt idx="85">
                  <c:v>270.35297927861325</c:v>
                </c:pt>
                <c:pt idx="86">
                  <c:v>272.4789582707221</c:v>
                </c:pt>
                <c:pt idx="87">
                  <c:v>274.61148637937572</c:v>
                </c:pt>
                <c:pt idx="88">
                  <c:v>276.75058756872517</c:v>
                </c:pt>
                <c:pt idx="89">
                  <c:v>278.89628499110978</c:v>
                </c:pt>
                <c:pt idx="90">
                  <c:v>281.04860102931997</c:v>
                </c:pt>
                <c:pt idx="91">
                  <c:v>283.20755733650418</c:v>
                </c:pt>
                <c:pt idx="92">
                  <c:v>285.37317487387526</c:v>
                </c:pt>
                <c:pt idx="93">
                  <c:v>287.54547394635307</c:v>
                </c:pt>
                <c:pt idx="94">
                  <c:v>289.72447423627727</c:v>
                </c:pt>
                <c:pt idx="95">
                  <c:v>291.9101948353067</c:v>
                </c:pt>
                <c:pt idx="96">
                  <c:v>294.10265427462292</c:v>
                </c:pt>
                <c:pt idx="97">
                  <c:v>296.3018705535377</c:v>
                </c:pt>
                <c:pt idx="98">
                  <c:v>298.50786116660413</c:v>
                </c:pt>
                <c:pt idx="99">
                  <c:v>300.7206431293215</c:v>
                </c:pt>
                <c:pt idx="100">
                  <c:v>302.94023300251575</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54.107595884769026</c:v>
                </c:pt>
                <c:pt idx="1">
                  <c:v>54.182160204854995</c:v>
                </c:pt>
                <c:pt idx="2">
                  <c:v>54.339892417134344</c:v>
                </c:pt>
                <c:pt idx="3">
                  <c:v>54.497683443879801</c:v>
                </c:pt>
                <c:pt idx="4">
                  <c:v>54.655533276552184</c:v>
                </c:pt>
                <c:pt idx="5">
                  <c:v>54.813441906613832</c:v>
                </c:pt>
                <c:pt idx="6">
                  <c:v>54.971409325528803</c:v>
                </c:pt>
                <c:pt idx="7">
                  <c:v>55.129435524762812</c:v>
                </c:pt>
                <c:pt idx="8">
                  <c:v>55.287520495783205</c:v>
                </c:pt>
                <c:pt idx="9">
                  <c:v>55.445664230058995</c:v>
                </c:pt>
                <c:pt idx="10">
                  <c:v>55.603866719060839</c:v>
                </c:pt>
                <c:pt idx="11">
                  <c:v>55.762127954261032</c:v>
                </c:pt>
                <c:pt idx="12">
                  <c:v>55.920447927133566</c:v>
                </c:pt>
                <c:pt idx="13">
                  <c:v>56.078826629153994</c:v>
                </c:pt>
                <c:pt idx="14">
                  <c:v>56.849323840676924</c:v>
                </c:pt>
                <c:pt idx="15">
                  <c:v>60.741984032442865</c:v>
                </c:pt>
                <c:pt idx="16">
                  <c:v>64.493636754197183</c:v>
                </c:pt>
                <c:pt idx="17">
                  <c:v>68.158385739695078</c:v>
                </c:pt>
                <c:pt idx="18">
                  <c:v>71.791359284521633</c:v>
                </c:pt>
                <c:pt idx="19">
                  <c:v>75.393446274995597</c:v>
                </c:pt>
                <c:pt idx="20">
                  <c:v>78.965462969976755</c:v>
                </c:pt>
                <c:pt idx="21">
                  <c:v>82.50816227759023</c:v>
                </c:pt>
                <c:pt idx="22">
                  <c:v>86.022241458742883</c:v>
                </c:pt>
                <c:pt idx="23">
                  <c:v>89.508348584360974</c:v>
                </c:pt>
                <c:pt idx="24">
                  <c:v>92.967087993916252</c:v>
                </c:pt>
                <c:pt idx="25">
                  <c:v>96.399024945253927</c:v>
                </c:pt>
                <c:pt idx="26">
                  <c:v>99.804689603353523</c:v>
                </c:pt>
                <c:pt idx="27">
                  <c:v>103.18458048400808</c:v>
                </c:pt>
                <c:pt idx="28">
                  <c:v>106.53916744447781</c:v>
                </c:pt>
                <c:pt idx="29">
                  <c:v>109.86889429486702</c:v>
                </c:pt>
                <c:pt idx="30">
                  <c:v>113.17418108981957</c:v>
                </c:pt>
                <c:pt idx="31">
                  <c:v>116.45542614907342</c:v>
                </c:pt>
                <c:pt idx="32">
                  <c:v>119.71300784670777</c:v>
                </c:pt>
                <c:pt idx="33">
                  <c:v>122.94728620199267</c:v>
                </c:pt>
                <c:pt idx="34">
                  <c:v>126.15860429920706</c:v>
                </c:pt>
                <c:pt idx="35">
                  <c:v>129.3472895593205</c:v>
                </c:pt>
                <c:pt idx="36">
                  <c:v>132.51365488279532</c:v>
                </c:pt>
                <c:pt idx="37">
                  <c:v>135.65799967979706</c:v>
                </c:pt>
                <c:pt idx="38">
                  <c:v>138.7806108016562</c:v>
                </c:pt>
                <c:pt idx="39">
                  <c:v>141.88176338539844</c:v>
                </c:pt>
                <c:pt idx="40">
                  <c:v>144.96172162148272</c:v>
                </c:pt>
                <c:pt idx="41">
                  <c:v>148.02073945347399</c:v>
                </c:pt>
                <c:pt idx="42">
                  <c:v>151.05906121720136</c:v>
                </c:pt>
                <c:pt idx="43">
                  <c:v>154.07692222595017</c:v>
                </c:pt>
                <c:pt idx="44">
                  <c:v>157.07454930739468</c:v>
                </c:pt>
                <c:pt idx="45">
                  <c:v>160.05216129725537</c:v>
                </c:pt>
                <c:pt idx="46">
                  <c:v>163.00996949405399</c:v>
                </c:pt>
                <c:pt idx="47">
                  <c:v>165.94817807880887</c:v>
                </c:pt>
                <c:pt idx="48">
                  <c:v>168.86698450306062</c:v>
                </c:pt>
                <c:pt idx="49">
                  <c:v>171.76657984822779</c:v>
                </c:pt>
                <c:pt idx="50">
                  <c:v>174.64714915895038</c:v>
                </c:pt>
                <c:pt idx="51">
                  <c:v>177.50887175278581</c:v>
                </c:pt>
                <c:pt idx="52">
                  <c:v>180.35192150836528</c:v>
                </c:pt>
                <c:pt idx="53">
                  <c:v>183.1764671338907</c:v>
                </c:pt>
                <c:pt idx="54">
                  <c:v>185.9826724176605</c:v>
                </c:pt>
                <c:pt idx="55">
                  <c:v>188.77069646213369</c:v>
                </c:pt>
                <c:pt idx="56">
                  <c:v>191.5406939028951</c:v>
                </c:pt>
                <c:pt idx="57">
                  <c:v>194.2928151137441</c:v>
                </c:pt>
                <c:pt idx="58">
                  <c:v>197.02720639901602</c:v>
                </c:pt>
                <c:pt idx="59">
                  <c:v>199.74401017413308</c:v>
                </c:pt>
                <c:pt idx="60">
                  <c:v>202.44336513529507</c:v>
                </c:pt>
                <c:pt idx="61">
                  <c:v>205.12540641912878</c:v>
                </c:pt>
                <c:pt idx="62">
                  <c:v>207.79026575304772</c:v>
                </c:pt>
                <c:pt idx="63">
                  <c:v>210.43807159699895</c:v>
                </c:pt>
                <c:pt idx="64">
                  <c:v>213.06894927722209</c:v>
                </c:pt>
                <c:pt idx="65">
                  <c:v>215.68302111258606</c:v>
                </c:pt>
                <c:pt idx="66">
                  <c:v>218.2804065340207</c:v>
                </c:pt>
                <c:pt idx="67">
                  <c:v>220.86122219752315</c:v>
                </c:pt>
                <c:pt idx="68">
                  <c:v>223.42558209116987</c:v>
                </c:pt>
                <c:pt idx="69">
                  <c:v>225.9735976365385</c:v>
                </c:pt>
                <c:pt idx="70">
                  <c:v>228.50537778490653</c:v>
                </c:pt>
                <c:pt idx="71">
                  <c:v>231.02102910856513</c:v>
                </c:pt>
                <c:pt idx="72">
                  <c:v>233.52065588756244</c:v>
                </c:pt>
                <c:pt idx="73">
                  <c:v>236.00436019216352</c:v>
                </c:pt>
                <c:pt idx="74">
                  <c:v>238.47224196129503</c:v>
                </c:pt>
                <c:pt idx="75">
                  <c:v>240.92439907721905</c:v>
                </c:pt>
                <c:pt idx="76">
                  <c:v>243.36092743666754</c:v>
                </c:pt>
                <c:pt idx="77">
                  <c:v>245.78192101864698</c:v>
                </c:pt>
                <c:pt idx="78">
                  <c:v>248.18747194911029</c:v>
                </c:pt>
                <c:pt idx="79">
                  <c:v>250.57767056267889</c:v>
                </c:pt>
                <c:pt idx="80">
                  <c:v>252.95260546158522</c:v>
                </c:pt>
                <c:pt idx="81">
                  <c:v>255.31236357199205</c:v>
                </c:pt>
                <c:pt idx="82">
                  <c:v>257.65703019783746</c:v>
                </c:pt>
                <c:pt idx="83">
                  <c:v>259.98668907234247</c:v>
                </c:pt>
                <c:pt idx="84">
                  <c:v>262.3014224073076</c:v>
                </c:pt>
                <c:pt idx="85">
                  <c:v>264.6013109403213</c:v>
                </c:pt>
                <c:pt idx="86">
                  <c:v>266.88643397998879</c:v>
                </c:pt>
                <c:pt idx="87">
                  <c:v>269.15686944928831</c:v>
                </c:pt>
                <c:pt idx="88">
                  <c:v>271.41269392715043</c:v>
                </c:pt>
                <c:pt idx="89">
                  <c:v>273.65398268835531</c:v>
                </c:pt>
                <c:pt idx="90">
                  <c:v>275.88080974183117</c:v>
                </c:pt>
                <c:pt idx="91">
                  <c:v>278.09324786743491</c:v>
                </c:pt>
                <c:pt idx="92">
                  <c:v>280.29136865129402</c:v>
                </c:pt>
                <c:pt idx="93">
                  <c:v>282.47524251977603</c:v>
                </c:pt>
                <c:pt idx="94">
                  <c:v>284.64493877215688</c:v>
                </c:pt>
                <c:pt idx="95">
                  <c:v>286.80052561204792</c:v>
                </c:pt>
                <c:pt idx="96">
                  <c:v>288.94207017764472</c:v>
                </c:pt>
                <c:pt idx="97">
                  <c:v>291.06963857084878</c:v>
                </c:pt>
                <c:pt idx="98">
                  <c:v>293.18329588531947</c:v>
                </c:pt>
                <c:pt idx="99">
                  <c:v>295.28310623350353</c:v>
                </c:pt>
                <c:pt idx="100">
                  <c:v>297.36913277268911</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1.1284956245671482E-5</c:v>
                </c:pt>
                <c:pt idx="1">
                  <c:v>35.661700296988805</c:v>
                </c:pt>
                <c:pt idx="2">
                  <c:v>50.772210965546229</c:v>
                </c:pt>
                <c:pt idx="3">
                  <c:v>59.122449822203357</c:v>
                </c:pt>
                <c:pt idx="4">
                  <c:v>64.419660098983115</c:v>
                </c:pt>
                <c:pt idx="5">
                  <c:v>68.079336061211336</c:v>
                </c:pt>
                <c:pt idx="6">
                  <c:v>70.759069932457379</c:v>
                </c:pt>
                <c:pt idx="7">
                  <c:v>72.805924419496563</c:v>
                </c:pt>
                <c:pt idx="8">
                  <c:v>74.420376798957946</c:v>
                </c:pt>
                <c:pt idx="9">
                  <c:v>75.272684528050476</c:v>
                </c:pt>
                <c:pt idx="10">
                  <c:v>75.365854240913222</c:v>
                </c:pt>
                <c:pt idx="11">
                  <c:v>75.470766100812298</c:v>
                </c:pt>
                <c:pt idx="12">
                  <c:v>75.587419046241791</c:v>
                </c:pt>
                <c:pt idx="13">
                  <c:v>75.715705656121173</c:v>
                </c:pt>
                <c:pt idx="14">
                  <c:v>75.855464455693493</c:v>
                </c:pt>
                <c:pt idx="15">
                  <c:v>76.006507459961796</c:v>
                </c:pt>
                <c:pt idx="16">
                  <c:v>76.247259646985484</c:v>
                </c:pt>
                <c:pt idx="17">
                  <c:v>76.517743668361476</c:v>
                </c:pt>
                <c:pt idx="18">
                  <c:v>76.767352579054688</c:v>
                </c:pt>
                <c:pt idx="19">
                  <c:v>76.999030262539577</c:v>
                </c:pt>
                <c:pt idx="20">
                  <c:v>77.215174539047212</c:v>
                </c:pt>
                <c:pt idx="21">
                  <c:v>77.41775984625329</c:v>
                </c:pt>
                <c:pt idx="22">
                  <c:v>77.608428035351977</c:v>
                </c:pt>
                <c:pt idx="23">
                  <c:v>77.788556589188516</c:v>
                </c:pt>
                <c:pt idx="24">
                  <c:v>77.959310580509936</c:v>
                </c:pt>
                <c:pt idx="25">
                  <c:v>78.121682739793755</c:v>
                </c:pt>
                <c:pt idx="26">
                  <c:v>78.2765247058325</c:v>
                </c:pt>
                <c:pt idx="27">
                  <c:v>78.424571654014841</c:v>
                </c:pt>
                <c:pt idx="28">
                  <c:v>78.566461892217262</c:v>
                </c:pt>
                <c:pt idx="29">
                  <c:v>78.702752590978591</c:v>
                </c:pt>
                <c:pt idx="30">
                  <c:v>78.83393251434974</c:v>
                </c:pt>
                <c:pt idx="31">
                  <c:v>78.960432401975567</c:v>
                </c:pt>
                <c:pt idx="32">
                  <c:v>79.082633495943398</c:v>
                </c:pt>
                <c:pt idx="33">
                  <c:v>79.200874590408247</c:v>
                </c:pt>
                <c:pt idx="34">
                  <c:v>79.315457896118033</c:v>
                </c:pt>
                <c:pt idx="35">
                  <c:v>79.426653947481967</c:v>
                </c:pt>
                <c:pt idx="36">
                  <c:v>79.534705730973101</c:v>
                </c:pt>
                <c:pt idx="37">
                  <c:v>79.639832176323225</c:v>
                </c:pt>
                <c:pt idx="38">
                  <c:v>79.742231123209365</c:v>
                </c:pt>
                <c:pt idx="39">
                  <c:v>79.842081853806363</c:v>
                </c:pt>
                <c:pt idx="40">
                  <c:v>79.939547264126531</c:v>
                </c:pt>
                <c:pt idx="41">
                  <c:v>80.034775733328601</c:v>
                </c:pt>
                <c:pt idx="42">
                  <c:v>80.127902739293901</c:v>
                </c:pt>
                <c:pt idx="43">
                  <c:v>80.219052260093221</c:v>
                </c:pt>
                <c:pt idx="44">
                  <c:v>80.308337994012902</c:v>
                </c:pt>
                <c:pt idx="45">
                  <c:v>80.395864425202944</c:v>
                </c:pt>
                <c:pt idx="46">
                  <c:v>80.481727757467851</c:v>
                </c:pt>
                <c:pt idx="47">
                  <c:v>80.56601673502135</c:v>
                </c:pt>
                <c:pt idx="48">
                  <c:v>80.648813366000056</c:v>
                </c:pt>
                <c:pt idx="49">
                  <c:v>80.730193562042814</c:v>
                </c:pt>
                <c:pt idx="50">
                  <c:v>80.810227705189007</c:v>
                </c:pt>
                <c:pt idx="51">
                  <c:v>80.88898115164713</c:v>
                </c:pt>
                <c:pt idx="52">
                  <c:v>80.966514680567045</c:v>
                </c:pt>
                <c:pt idx="53">
                  <c:v>81.042884894766914</c:v>
                </c:pt>
                <c:pt idx="54">
                  <c:v>81.118144579372</c:v>
                </c:pt>
                <c:pt idx="55">
                  <c:v>81.192343023488533</c:v>
                </c:pt>
                <c:pt idx="56">
                  <c:v>81.247449836073528</c:v>
                </c:pt>
                <c:pt idx="57">
                  <c:v>81.253070014727484</c:v>
                </c:pt>
                <c:pt idx="58">
                  <c:v>81.256841580449191</c:v>
                </c:pt>
                <c:pt idx="59">
                  <c:v>81.258895097676842</c:v>
                </c:pt>
                <c:pt idx="60">
                  <c:v>81.259350226875654</c:v>
                </c:pt>
                <c:pt idx="61">
                  <c:v>81.258316768040899</c:v>
                </c:pt>
                <c:pt idx="62">
                  <c:v>81.255895591134021</c:v>
                </c:pt>
                <c:pt idx="63">
                  <c:v>81.252179467113336</c:v>
                </c:pt>
                <c:pt idx="64">
                  <c:v>81.247253811404391</c:v>
                </c:pt>
                <c:pt idx="65">
                  <c:v>81.241197350100663</c:v>
                </c:pt>
                <c:pt idx="66">
                  <c:v>81.234082717853966</c:v>
                </c:pt>
                <c:pt idx="67">
                  <c:v>81.225976995269676</c:v>
                </c:pt>
                <c:pt idx="68">
                  <c:v>81.216942192636878</c:v>
                </c:pt>
                <c:pt idx="69">
                  <c:v>81.207035685973807</c:v>
                </c:pt>
                <c:pt idx="70">
                  <c:v>81.196310610634697</c:v>
                </c:pt>
                <c:pt idx="71">
                  <c:v>81.18481621708807</c:v>
                </c:pt>
                <c:pt idx="72">
                  <c:v>81.172598192923985</c:v>
                </c:pt>
                <c:pt idx="73">
                  <c:v>81.159698954668656</c:v>
                </c:pt>
                <c:pt idx="74">
                  <c:v>81.146157912566153</c:v>
                </c:pt>
                <c:pt idx="75">
                  <c:v>81.132011711122402</c:v>
                </c:pt>
                <c:pt idx="76">
                  <c:v>81.117294447888227</c:v>
                </c:pt>
                <c:pt idx="77">
                  <c:v>81.102037872678423</c:v>
                </c:pt>
                <c:pt idx="78">
                  <c:v>81.0862715691799</c:v>
                </c:pt>
                <c:pt idx="79">
                  <c:v>81.070023120686059</c:v>
                </c:pt>
                <c:pt idx="80">
                  <c:v>81.05331826150622</c:v>
                </c:pt>
                <c:pt idx="81">
                  <c:v>81.036181015431552</c:v>
                </c:pt>
                <c:pt idx="82">
                  <c:v>81.018633822492546</c:v>
                </c:pt>
                <c:pt idx="83">
                  <c:v>81.000697655112589</c:v>
                </c:pt>
                <c:pt idx="84">
                  <c:v>80.982392124647205</c:v>
                </c:pt>
                <c:pt idx="85">
                  <c:v>80.963735579197092</c:v>
                </c:pt>
                <c:pt idx="86">
                  <c:v>80.944745193491897</c:v>
                </c:pt>
                <c:pt idx="87">
                  <c:v>80.925437051561872</c:v>
                </c:pt>
                <c:pt idx="88">
                  <c:v>80.905826222842549</c:v>
                </c:pt>
                <c:pt idx="89">
                  <c:v>80.885926832294302</c:v>
                </c:pt>
                <c:pt idx="90">
                  <c:v>80.865752125061405</c:v>
                </c:pt>
                <c:pt idx="91">
                  <c:v>80.845314526144534</c:v>
                </c:pt>
                <c:pt idx="92">
                  <c:v>80.824625695515479</c:v>
                </c:pt>
                <c:pt idx="93">
                  <c:v>80.803696579061864</c:v>
                </c:pt>
                <c:pt idx="94">
                  <c:v>80.782537455713239</c:v>
                </c:pt>
                <c:pt idx="95">
                  <c:v>80.761157981067683</c:v>
                </c:pt>
                <c:pt idx="96">
                  <c:v>80.739567227807967</c:v>
                </c:pt>
                <c:pt idx="97">
                  <c:v>80.717773723170509</c:v>
                </c:pt>
                <c:pt idx="98">
                  <c:v>80.695785483706246</c:v>
                </c:pt>
                <c:pt idx="99">
                  <c:v>80.673610047551236</c:v>
                </c:pt>
                <c:pt idx="100">
                  <c:v>80.6512545044056</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1.8000000000000001E-6</c:v>
                </c:pt>
                <c:pt idx="1">
                  <c:v>10.305</c:v>
                </c:pt>
                <c:pt idx="2">
                  <c:v>20.61</c:v>
                </c:pt>
                <c:pt idx="3">
                  <c:v>30.914999999999999</c:v>
                </c:pt>
                <c:pt idx="4">
                  <c:v>41.22</c:v>
                </c:pt>
                <c:pt idx="5">
                  <c:v>51.524999999999999</c:v>
                </c:pt>
                <c:pt idx="6">
                  <c:v>61.83</c:v>
                </c:pt>
                <c:pt idx="7">
                  <c:v>72.135000000000005</c:v>
                </c:pt>
                <c:pt idx="8">
                  <c:v>82.44</c:v>
                </c:pt>
                <c:pt idx="9">
                  <c:v>92.745000000000005</c:v>
                </c:pt>
                <c:pt idx="10">
                  <c:v>103.05</c:v>
                </c:pt>
                <c:pt idx="11">
                  <c:v>113.35500000000002</c:v>
                </c:pt>
                <c:pt idx="12">
                  <c:v>123.66</c:v>
                </c:pt>
                <c:pt idx="13">
                  <c:v>133.965</c:v>
                </c:pt>
                <c:pt idx="14">
                  <c:v>144.27000000000001</c:v>
                </c:pt>
                <c:pt idx="15">
                  <c:v>154.57500000000002</c:v>
                </c:pt>
                <c:pt idx="16">
                  <c:v>164.88</c:v>
                </c:pt>
                <c:pt idx="17">
                  <c:v>175.185</c:v>
                </c:pt>
                <c:pt idx="18">
                  <c:v>185.49</c:v>
                </c:pt>
                <c:pt idx="19">
                  <c:v>195.79499999999999</c:v>
                </c:pt>
                <c:pt idx="20">
                  <c:v>206.1</c:v>
                </c:pt>
                <c:pt idx="21">
                  <c:v>216.405</c:v>
                </c:pt>
                <c:pt idx="22">
                  <c:v>226.71000000000004</c:v>
                </c:pt>
                <c:pt idx="23">
                  <c:v>237.01500000000004</c:v>
                </c:pt>
                <c:pt idx="24">
                  <c:v>247.32</c:v>
                </c:pt>
                <c:pt idx="25">
                  <c:v>257.625</c:v>
                </c:pt>
                <c:pt idx="26">
                  <c:v>267.93</c:v>
                </c:pt>
                <c:pt idx="27">
                  <c:v>278.23500000000001</c:v>
                </c:pt>
                <c:pt idx="28">
                  <c:v>288.54000000000002</c:v>
                </c:pt>
                <c:pt idx="29">
                  <c:v>298.84500000000003</c:v>
                </c:pt>
                <c:pt idx="30">
                  <c:v>309.15000000000003</c:v>
                </c:pt>
                <c:pt idx="31">
                  <c:v>319.45499999999998</c:v>
                </c:pt>
                <c:pt idx="32">
                  <c:v>329.76</c:v>
                </c:pt>
                <c:pt idx="33">
                  <c:v>340.065</c:v>
                </c:pt>
                <c:pt idx="34">
                  <c:v>350.37</c:v>
                </c:pt>
                <c:pt idx="35">
                  <c:v>360.67499999999995</c:v>
                </c:pt>
                <c:pt idx="36">
                  <c:v>370.98</c:v>
                </c:pt>
                <c:pt idx="37">
                  <c:v>381.28499999999997</c:v>
                </c:pt>
                <c:pt idx="38">
                  <c:v>391.59</c:v>
                </c:pt>
                <c:pt idx="39">
                  <c:v>401.89499999999998</c:v>
                </c:pt>
                <c:pt idx="40">
                  <c:v>412.2</c:v>
                </c:pt>
                <c:pt idx="41">
                  <c:v>422.50499999999994</c:v>
                </c:pt>
                <c:pt idx="42">
                  <c:v>432.81</c:v>
                </c:pt>
                <c:pt idx="43">
                  <c:v>443.11499999999995</c:v>
                </c:pt>
                <c:pt idx="44">
                  <c:v>453.42000000000007</c:v>
                </c:pt>
                <c:pt idx="45">
                  <c:v>463.72499999999997</c:v>
                </c:pt>
                <c:pt idx="46">
                  <c:v>474.03000000000009</c:v>
                </c:pt>
                <c:pt idx="47">
                  <c:v>484.33500000000004</c:v>
                </c:pt>
                <c:pt idx="48">
                  <c:v>494.64</c:v>
                </c:pt>
                <c:pt idx="49">
                  <c:v>504.94499999999999</c:v>
                </c:pt>
                <c:pt idx="50">
                  <c:v>515.25</c:v>
                </c:pt>
                <c:pt idx="51">
                  <c:v>525.55499999999995</c:v>
                </c:pt>
                <c:pt idx="52">
                  <c:v>535.86</c:v>
                </c:pt>
                <c:pt idx="53">
                  <c:v>546.16499999999996</c:v>
                </c:pt>
                <c:pt idx="54">
                  <c:v>556.47</c:v>
                </c:pt>
                <c:pt idx="55">
                  <c:v>566.77499999999998</c:v>
                </c:pt>
                <c:pt idx="56">
                  <c:v>577.08000000000004</c:v>
                </c:pt>
                <c:pt idx="57">
                  <c:v>587.38499999999999</c:v>
                </c:pt>
                <c:pt idx="58">
                  <c:v>597.69000000000005</c:v>
                </c:pt>
                <c:pt idx="59">
                  <c:v>607.995</c:v>
                </c:pt>
                <c:pt idx="60">
                  <c:v>618.30000000000007</c:v>
                </c:pt>
                <c:pt idx="61">
                  <c:v>628.60500000000002</c:v>
                </c:pt>
                <c:pt idx="62">
                  <c:v>638.91</c:v>
                </c:pt>
                <c:pt idx="63">
                  <c:v>649.21500000000015</c:v>
                </c:pt>
                <c:pt idx="64">
                  <c:v>659.52</c:v>
                </c:pt>
                <c:pt idx="65">
                  <c:v>669.82500000000016</c:v>
                </c:pt>
                <c:pt idx="66">
                  <c:v>680.13</c:v>
                </c:pt>
                <c:pt idx="67">
                  <c:v>690.43500000000006</c:v>
                </c:pt>
                <c:pt idx="68">
                  <c:v>700.74</c:v>
                </c:pt>
                <c:pt idx="69">
                  <c:v>711.04499999999996</c:v>
                </c:pt>
                <c:pt idx="70">
                  <c:v>721.34999999999991</c:v>
                </c:pt>
                <c:pt idx="71">
                  <c:v>731.65499999999997</c:v>
                </c:pt>
                <c:pt idx="72">
                  <c:v>741.96</c:v>
                </c:pt>
                <c:pt idx="73">
                  <c:v>752.26499999999999</c:v>
                </c:pt>
                <c:pt idx="74">
                  <c:v>762.56999999999994</c:v>
                </c:pt>
                <c:pt idx="75">
                  <c:v>772.875</c:v>
                </c:pt>
                <c:pt idx="76">
                  <c:v>783.18</c:v>
                </c:pt>
                <c:pt idx="77">
                  <c:v>793.48500000000001</c:v>
                </c:pt>
                <c:pt idx="78">
                  <c:v>803.79</c:v>
                </c:pt>
                <c:pt idx="79">
                  <c:v>814.09500000000003</c:v>
                </c:pt>
                <c:pt idx="80">
                  <c:v>824.4</c:v>
                </c:pt>
                <c:pt idx="81">
                  <c:v>834.70500000000004</c:v>
                </c:pt>
                <c:pt idx="82">
                  <c:v>845.00999999999988</c:v>
                </c:pt>
                <c:pt idx="83">
                  <c:v>855.31500000000005</c:v>
                </c:pt>
                <c:pt idx="84">
                  <c:v>865.62</c:v>
                </c:pt>
                <c:pt idx="85">
                  <c:v>875.92500000000007</c:v>
                </c:pt>
                <c:pt idx="86">
                  <c:v>886.2299999999999</c:v>
                </c:pt>
                <c:pt idx="87">
                  <c:v>896.53500000000008</c:v>
                </c:pt>
                <c:pt idx="88">
                  <c:v>906.84000000000015</c:v>
                </c:pt>
                <c:pt idx="89">
                  <c:v>917.1450000000001</c:v>
                </c:pt>
                <c:pt idx="90">
                  <c:v>927.44999999999993</c:v>
                </c:pt>
                <c:pt idx="91">
                  <c:v>937.75499999999988</c:v>
                </c:pt>
                <c:pt idx="92">
                  <c:v>948.06000000000017</c:v>
                </c:pt>
                <c:pt idx="93">
                  <c:v>958.36500000000012</c:v>
                </c:pt>
                <c:pt idx="94">
                  <c:v>968.67000000000007</c:v>
                </c:pt>
                <c:pt idx="95">
                  <c:v>978.97499999999991</c:v>
                </c:pt>
                <c:pt idx="96">
                  <c:v>989.28</c:v>
                </c:pt>
                <c:pt idx="97">
                  <c:v>999.58499999999992</c:v>
                </c:pt>
                <c:pt idx="98">
                  <c:v>1009.89</c:v>
                </c:pt>
                <c:pt idx="99">
                  <c:v>1020.1949999999999</c:v>
                </c:pt>
                <c:pt idx="100">
                  <c:v>1030.5</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7.1116851496331464</c:v>
                </c:pt>
                <c:pt idx="1">
                  <c:v>11.747545972675704</c:v>
                </c:pt>
                <c:pt idx="2">
                  <c:v>20.016145083811946</c:v>
                </c:pt>
                <c:pt idx="3">
                  <c:v>28.285797534648228</c:v>
                </c:pt>
                <c:pt idx="4">
                  <c:v>36.556503526475346</c:v>
                </c:pt>
                <c:pt idx="5">
                  <c:v>44.828263260635374</c:v>
                </c:pt>
                <c:pt idx="6">
                  <c:v>53.101076938521686</c:v>
                </c:pt>
                <c:pt idx="7">
                  <c:v>61.374944761579009</c:v>
                </c:pt>
                <c:pt idx="8">
                  <c:v>69.649866931303379</c:v>
                </c:pt>
                <c:pt idx="9">
                  <c:v>78.691151725501555</c:v>
                </c:pt>
                <c:pt idx="10">
                  <c:v>89.164354118239487</c:v>
                </c:pt>
                <c:pt idx="11">
                  <c:v>100.02144442391574</c:v>
                </c:pt>
                <c:pt idx="12">
                  <c:v>111.26172508137795</c:v>
                </c:pt>
                <c:pt idx="13">
                  <c:v>122.88555710689374</c:v>
                </c:pt>
                <c:pt idx="14">
                  <c:v>134.89415472331055</c:v>
                </c:pt>
                <c:pt idx="15">
                  <c:v>147.28943665781233</c:v>
                </c:pt>
                <c:pt idx="16">
                  <c:v>153.94173788564197</c:v>
                </c:pt>
                <c:pt idx="17">
                  <c:v>156.97828774198544</c:v>
                </c:pt>
                <c:pt idx="18">
                  <c:v>160.00603016297953</c:v>
                </c:pt>
                <c:pt idx="19">
                  <c:v>163.02800284113584</c:v>
                </c:pt>
                <c:pt idx="20">
                  <c:v>166.04680062668834</c:v>
                </c:pt>
                <c:pt idx="21">
                  <c:v>169.06465626759507</c:v>
                </c:pt>
                <c:pt idx="22">
                  <c:v>172.08350354325299</c:v>
                </c:pt>
                <c:pt idx="23">
                  <c:v>175.1050272279669</c:v>
                </c:pt>
                <c:pt idx="24">
                  <c:v>178.13070306278925</c:v>
                </c:pt>
                <c:pt idx="25">
                  <c:v>181.16183005001082</c:v>
                </c:pt>
                <c:pt idx="26">
                  <c:v>184.1995567798385</c:v>
                </c:pt>
                <c:pt idx="27">
                  <c:v>187.24490306883189</c:v>
                </c:pt>
                <c:pt idx="28">
                  <c:v>190.2987778794498</c:v>
                </c:pt>
                <c:pt idx="29">
                  <c:v>193.3619942632217</c:v>
                </c:pt>
                <c:pt idx="30">
                  <c:v>196.43528190212504</c:v>
                </c:pt>
                <c:pt idx="31">
                  <c:v>199.51929769700612</c:v>
                </c:pt>
                <c:pt idx="32">
                  <c:v>202.61463475673401</c:v>
                </c:pt>
                <c:pt idx="33">
                  <c:v>205.72183006906661</c:v>
                </c:pt>
                <c:pt idx="34">
                  <c:v>208.84137107814513</c:v>
                </c:pt>
                <c:pt idx="35">
                  <c:v>211.97370134993014</c:v>
                </c:pt>
                <c:pt idx="36">
                  <c:v>215.11922547271462</c:v>
                </c:pt>
                <c:pt idx="37">
                  <c:v>218.27831331285935</c:v>
                </c:pt>
                <c:pt idx="38">
                  <c:v>221.45130372442796</c:v>
                </c:pt>
                <c:pt idx="39">
                  <c:v>224.63850779421921</c:v>
                </c:pt>
                <c:pt idx="40">
                  <c:v>227.84021168984992</c:v>
                </c:pt>
                <c:pt idx="41">
                  <c:v>231.05667916733015</c:v>
                </c:pt>
                <c:pt idx="42">
                  <c:v>234.28815378543652</c:v>
                </c:pt>
                <c:pt idx="43">
                  <c:v>237.53486086670432</c:v>
                </c:pt>
                <c:pt idx="44">
                  <c:v>240.79700923870516</c:v>
                </c:pt>
                <c:pt idx="45">
                  <c:v>244.07479278417887</c:v>
                </c:pt>
                <c:pt idx="46">
                  <c:v>247.36839182436327</c:v>
                </c:pt>
                <c:pt idx="47">
                  <c:v>250.67797435633031</c:v>
                </c:pt>
                <c:pt idx="48">
                  <c:v>254.0036971621868</c:v>
                </c:pt>
                <c:pt idx="49">
                  <c:v>257.34570680550564</c:v>
                </c:pt>
                <c:pt idx="50">
                  <c:v>260.70414052826089</c:v>
                </c:pt>
                <c:pt idx="51">
                  <c:v>264.07912705975752</c:v>
                </c:pt>
                <c:pt idx="52">
                  <c:v>267.47078734753995</c:v>
                </c:pt>
                <c:pt idx="53">
                  <c:v>270.87923521897147</c:v>
                </c:pt>
                <c:pt idx="54">
                  <c:v>274.30457798107886</c:v>
                </c:pt>
                <c:pt idx="55">
                  <c:v>277.7469169653067</c:v>
                </c:pt>
                <c:pt idx="56">
                  <c:v>279.82482797921733</c:v>
                </c:pt>
                <c:pt idx="57">
                  <c:v>278.29322716773072</c:v>
                </c:pt>
                <c:pt idx="58">
                  <c:v>276.82758136326953</c:v>
                </c:pt>
                <c:pt idx="59">
                  <c:v>275.42456496936126</c:v>
                </c:pt>
                <c:pt idx="60">
                  <c:v>274.08107013768415</c:v>
                </c:pt>
                <c:pt idx="61">
                  <c:v>272.79418921465168</c:v>
                </c:pt>
                <c:pt idx="62">
                  <c:v>271.5611988626452</c:v>
                </c:pt>
                <c:pt idx="63">
                  <c:v>270.37954567206845</c:v>
                </c:pt>
                <c:pt idx="64">
                  <c:v>269.24683310314037</c:v>
                </c:pt>
                <c:pt idx="65">
                  <c:v>268.16080961595549</c:v>
                </c:pt>
                <c:pt idx="66">
                  <c:v>267.11935786432048</c:v>
                </c:pt>
                <c:pt idx="67">
                  <c:v>266.12048484357427</c:v>
                </c:pt>
                <c:pt idx="68">
                  <c:v>265.16231289538877</c:v>
                </c:pt>
                <c:pt idx="69">
                  <c:v>264.24307148366893</c:v>
                </c:pt>
                <c:pt idx="70">
                  <c:v>263.3610896653887</c:v>
                </c:pt>
                <c:pt idx="71">
                  <c:v>262.51478918868349</c:v>
                </c:pt>
                <c:pt idx="72">
                  <c:v>261.70267815796785</c:v>
                </c:pt>
                <c:pt idx="73">
                  <c:v>260.92334521236904</c:v>
                </c:pt>
                <c:pt idx="74">
                  <c:v>260.17545416951918</c:v>
                </c:pt>
                <c:pt idx="75">
                  <c:v>259.45773909180559</c:v>
                </c:pt>
                <c:pt idx="76">
                  <c:v>258.7689997366457</c:v>
                </c:pt>
                <c:pt idx="77">
                  <c:v>258.10809735630852</c:v>
                </c:pt>
                <c:pt idx="78">
                  <c:v>257.47395081629395</c:v>
                </c:pt>
                <c:pt idx="79">
                  <c:v>256.86553300439664</c:v>
                </c:pt>
                <c:pt idx="80">
                  <c:v>256.2818675053274</c:v>
                </c:pt>
                <c:pt idx="81">
                  <c:v>255.72202551822926</c:v>
                </c:pt>
                <c:pt idx="82">
                  <c:v>255.18512299660568</c:v>
                </c:pt>
                <c:pt idx="83">
                  <c:v>254.67031799213692</c:v>
                </c:pt>
                <c:pt idx="84">
                  <c:v>254.17680818559973</c:v>
                </c:pt>
                <c:pt idx="85">
                  <c:v>253.70382858967395</c:v>
                </c:pt>
                <c:pt idx="86">
                  <c:v>253.25064940981557</c:v>
                </c:pt>
                <c:pt idx="87">
                  <c:v>252.8165740506353</c:v>
                </c:pt>
                <c:pt idx="88">
                  <c:v>252.40093725635055</c:v>
                </c:pt>
                <c:pt idx="89">
                  <c:v>252.00310337489296</c:v>
                </c:pt>
                <c:pt idx="90">
                  <c:v>251.62246473617461</c:v>
                </c:pt>
                <c:pt idx="91">
                  <c:v>251.25844013583693</c:v>
                </c:pt>
                <c:pt idx="92">
                  <c:v>250.91047341655437</c:v>
                </c:pt>
                <c:pt idx="93">
                  <c:v>250.5780321396411</c:v>
                </c:pt>
                <c:pt idx="94">
                  <c:v>250.26060634031589</c:v>
                </c:pt>
                <c:pt idx="95">
                  <c:v>249.95770736053873</c:v>
                </c:pt>
                <c:pt idx="96">
                  <c:v>249.66886675382739</c:v>
                </c:pt>
                <c:pt idx="97">
                  <c:v>249.39363525692727</c:v>
                </c:pt>
                <c:pt idx="98">
                  <c:v>249.13158182361349</c:v>
                </c:pt>
                <c:pt idx="99">
                  <c:v>248.88229271628654</c:v>
                </c:pt>
                <c:pt idx="100">
                  <c:v>248.64537065136406</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201.13012486110438</c:v>
                </c:pt>
                <c:pt idx="1">
                  <c:v>200.03570633955144</c:v>
                </c:pt>
                <c:pt idx="2">
                  <c:v>198.08478417839822</c:v>
                </c:pt>
                <c:pt idx="3">
                  <c:v>196.13502373219956</c:v>
                </c:pt>
                <c:pt idx="4">
                  <c:v>194.18642425583479</c:v>
                </c:pt>
                <c:pt idx="5">
                  <c:v>192.23898500481931</c:v>
                </c:pt>
                <c:pt idx="6">
                  <c:v>190.29270523530568</c:v>
                </c:pt>
                <c:pt idx="7">
                  <c:v>188.3475842040817</c:v>
                </c:pt>
                <c:pt idx="8">
                  <c:v>186.40362116857054</c:v>
                </c:pt>
                <c:pt idx="9">
                  <c:v>192.51251017141729</c:v>
                </c:pt>
                <c:pt idx="10">
                  <c:v>210.15132905308923</c:v>
                </c:pt>
                <c:pt idx="11">
                  <c:v>226.7282125040677</c:v>
                </c:pt>
                <c:pt idx="12">
                  <c:v>242.17175211262415</c:v>
                </c:pt>
                <c:pt idx="13">
                  <c:v>256.41357880448476</c:v>
                </c:pt>
                <c:pt idx="14">
                  <c:v>269.38818564713523</c:v>
                </c:pt>
                <c:pt idx="15">
                  <c:v>281.03281064063412</c:v>
                </c:pt>
                <c:pt idx="16">
                  <c:v>294.7530661912283</c:v>
                </c:pt>
                <c:pt idx="17">
                  <c:v>310.05792095184671</c:v>
                </c:pt>
                <c:pt idx="18">
                  <c:v>325.08721161701885</c:v>
                </c:pt>
                <c:pt idx="19">
                  <c:v>339.84771983572728</c:v>
                </c:pt>
                <c:pt idx="20">
                  <c:v>354.34563586321781</c:v>
                </c:pt>
                <c:pt idx="21">
                  <c:v>368.58663698325989</c:v>
                </c:pt>
                <c:pt idx="22">
                  <c:v>382.57595245238741</c:v>
                </c:pt>
                <c:pt idx="23">
                  <c:v>396.31841778839134</c:v>
                </c:pt>
                <c:pt idx="24">
                  <c:v>409.81852053679586</c:v>
                </c:pt>
                <c:pt idx="25">
                  <c:v>423.08043915037251</c:v>
                </c:pt>
                <c:pt idx="26">
                  <c:v>436.10807625002803</c:v>
                </c:pt>
                <c:pt idx="27">
                  <c:v>448.9050872619344</c:v>
                </c:pt>
                <c:pt idx="28">
                  <c:v>461.47490521926346</c:v>
                </c:pt>
                <c:pt idx="29">
                  <c:v>473.82076235911097</c:v>
                </c:pt>
                <c:pt idx="30">
                  <c:v>485.94570902336523</c:v>
                </c:pt>
                <c:pt idx="31">
                  <c:v>497.85263027726631</c:v>
                </c:pt>
                <c:pt idx="32">
                  <c:v>509.54426058463588</c:v>
                </c:pt>
                <c:pt idx="33">
                  <c:v>521.02319681941322</c:v>
                </c:pt>
                <c:pt idx="34">
                  <c:v>532.29190984567003</c:v>
                </c:pt>
                <c:pt idx="35">
                  <c:v>543.35275486002342</c:v>
                </c:pt>
                <c:pt idx="36">
                  <c:v>554.20798065932229</c:v>
                </c:pt>
                <c:pt idx="37">
                  <c:v>564.85973797114866</c:v>
                </c:pt>
                <c:pt idx="38">
                  <c:v>575.31008696384129</c:v>
                </c:pt>
                <c:pt idx="39">
                  <c:v>585.56100403553921</c:v>
                </c:pt>
                <c:pt idx="40">
                  <c:v>595.61438796746063</c:v>
                </c:pt>
                <c:pt idx="41">
                  <c:v>605.47206551467525</c:v>
                </c:pt>
                <c:pt idx="42">
                  <c:v>615.1357964976371</c:v>
                </c:pt>
                <c:pt idx="43">
                  <c:v>624.60727844927828</c:v>
                </c:pt>
                <c:pt idx="44">
                  <c:v>633.8881508653435</c:v>
                </c:pt>
                <c:pt idx="45">
                  <c:v>642.97999909955195</c:v>
                </c:pt>
                <c:pt idx="46">
                  <c:v>651.88435794000316</c:v>
                </c:pt>
                <c:pt idx="47">
                  <c:v>660.60271489879744</c:v>
                </c:pt>
                <c:pt idx="48">
                  <c:v>669.1365132430318</c:v>
                </c:pt>
                <c:pt idx="49">
                  <c:v>677.4871547920402</c:v>
                </c:pt>
                <c:pt idx="50">
                  <c:v>685.65600250289572</c:v>
                </c:pt>
                <c:pt idx="51">
                  <c:v>693.64438286372979</c:v>
                </c:pt>
                <c:pt idx="52">
                  <c:v>701.45358811226447</c:v>
                </c:pt>
                <c:pt idx="53">
                  <c:v>709.08487829508363</c:v>
                </c:pt>
                <c:pt idx="54">
                  <c:v>716.53948318151572</c:v>
                </c:pt>
                <c:pt idx="55">
                  <c:v>723.81860404457336</c:v>
                </c:pt>
                <c:pt idx="56">
                  <c:v>734.19224732427097</c:v>
                </c:pt>
                <c:pt idx="57">
                  <c:v>753.23393952109882</c:v>
                </c:pt>
                <c:pt idx="58">
                  <c:v>772.38869607820004</c:v>
                </c:pt>
                <c:pt idx="59">
                  <c:v>791.65576840142569</c:v>
                </c:pt>
                <c:pt idx="60">
                  <c:v>811.03446097144877</c:v>
                </c:pt>
                <c:pt idx="61">
                  <c:v>830.52412835589826</c:v>
                </c:pt>
                <c:pt idx="62">
                  <c:v>850.12417244671224</c:v>
                </c:pt>
                <c:pt idx="63">
                  <c:v>869.83403990260194</c:v>
                </c:pt>
                <c:pt idx="64">
                  <c:v>889.6532197786164</c:v>
                </c:pt>
                <c:pt idx="65">
                  <c:v>909.58124132662226</c:v>
                </c:pt>
                <c:pt idx="66">
                  <c:v>929.61767195214497</c:v>
                </c:pt>
                <c:pt idx="67">
                  <c:v>949.76211531446108</c:v>
                </c:pt>
                <c:pt idx="68">
                  <c:v>970.01420955809465</c:v>
                </c:pt>
                <c:pt idx="69">
                  <c:v>990.37362566504055</c:v>
                </c:pt>
                <c:pt idx="70">
                  <c:v>1010.8400659180112</c:v>
                </c:pt>
                <c:pt idx="71">
                  <c:v>1031.4132624659342</c:v>
                </c:pt>
                <c:pt idx="72">
                  <c:v>1052.0929759837366</c:v>
                </c:pt>
                <c:pt idx="73">
                  <c:v>1072.8789944191553</c:v>
                </c:pt>
                <c:pt idx="74">
                  <c:v>1093.7711318199867</c:v>
                </c:pt>
                <c:pt idx="75">
                  <c:v>1114.7692272357644</c:v>
                </c:pt>
                <c:pt idx="76">
                  <c:v>1135.8731436883556</c:v>
                </c:pt>
                <c:pt idx="77">
                  <c:v>1157.0827672064925</c:v>
                </c:pt>
                <c:pt idx="78">
                  <c:v>1178.3980059196103</c:v>
                </c:pt>
                <c:pt idx="79">
                  <c:v>1199.8187892068304</c:v>
                </c:pt>
                <c:pt idx="80">
                  <c:v>1221.3450668971893</c:v>
                </c:pt>
                <c:pt idx="81">
                  <c:v>1242.9768085176129</c:v>
                </c:pt>
                <c:pt idx="82">
                  <c:v>1264.7140025853521</c:v>
                </c:pt>
                <c:pt idx="83">
                  <c:v>1286.5566559419065</c:v>
                </c:pt>
                <c:pt idx="84">
                  <c:v>1308.5047931256709</c:v>
                </c:pt>
                <c:pt idx="85">
                  <c:v>1330.5584557807654</c:v>
                </c:pt>
                <c:pt idx="86">
                  <c:v>1352.717702099704</c:v>
                </c:pt>
                <c:pt idx="87">
                  <c:v>1374.9826062977329</c:v>
                </c:pt>
                <c:pt idx="88">
                  <c:v>1397.3532581168392</c:v>
                </c:pt>
                <c:pt idx="89">
                  <c:v>1419.8297623575868</c:v>
                </c:pt>
                <c:pt idx="90">
                  <c:v>1442.4122384370316</c:v>
                </c:pt>
                <c:pt idx="91">
                  <c:v>1465.1008199711694</c:v>
                </c:pt>
                <c:pt idx="92">
                  <c:v>1487.8956543803999</c:v>
                </c:pt>
                <c:pt idx="93">
                  <c:v>1510.7969025166692</c:v>
                </c:pt>
                <c:pt idx="94">
                  <c:v>1533.8047383109908</c:v>
                </c:pt>
                <c:pt idx="95">
                  <c:v>1556.9193484401787</c:v>
                </c:pt>
                <c:pt idx="96">
                  <c:v>1580.1409320116943</c:v>
                </c:pt>
                <c:pt idx="97">
                  <c:v>1603.4697002655516</c:v>
                </c:pt>
                <c:pt idx="98">
                  <c:v>1626.9058762923648</c:v>
                </c:pt>
                <c:pt idx="99">
                  <c:v>1650.4496947666164</c:v>
                </c:pt>
                <c:pt idx="100">
                  <c:v>1674.1014016943302</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Single'!$AN$110:$AN$210</c:f>
              <c:numCache>
                <c:formatCode>0.0</c:formatCode>
                <c:ptCount val="101"/>
                <c:pt idx="0">
                  <c:v>12</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204.87804878048783</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345.80640589852601</c:v>
                </c:pt>
                <c:pt idx="76">
                  <c:v>341.25632161038754</c:v>
                </c:pt>
                <c:pt idx="77">
                  <c:v>336.82442132973318</c:v>
                </c:pt>
                <c:pt idx="78">
                  <c:v>332.50615951781344</c:v>
                </c:pt>
                <c:pt idx="79">
                  <c:v>328.29722078973987</c:v>
                </c:pt>
                <c:pt idx="80">
                  <c:v>324.19350552986816</c:v>
                </c:pt>
                <c:pt idx="81">
                  <c:v>320.19111657270923</c:v>
                </c:pt>
                <c:pt idx="82">
                  <c:v>316.28634685840802</c:v>
                </c:pt>
                <c:pt idx="83">
                  <c:v>312.47566798059586</c:v>
                </c:pt>
                <c:pt idx="84">
                  <c:v>308.75571955225541</c:v>
                </c:pt>
                <c:pt idx="85">
                  <c:v>305.12329932222889</c:v>
                </c:pt>
                <c:pt idx="86">
                  <c:v>301.57535398127277</c:v>
                </c:pt>
                <c:pt idx="87">
                  <c:v>298.10897060217758</c:v>
                </c:pt>
                <c:pt idx="88">
                  <c:v>294.7213686635165</c:v>
                </c:pt>
                <c:pt idx="89">
                  <c:v>291.40989261111741</c:v>
                </c:pt>
                <c:pt idx="90">
                  <c:v>288.17200491543838</c:v>
                </c:pt>
                <c:pt idx="91">
                  <c:v>285.00527958669727</c:v>
                </c:pt>
                <c:pt idx="92">
                  <c:v>281.90739611292884</c:v>
                </c:pt>
                <c:pt idx="93">
                  <c:v>278.87613378913392</c:v>
                </c:pt>
                <c:pt idx="94">
                  <c:v>275.9093664083984</c:v>
                </c:pt>
                <c:pt idx="95">
                  <c:v>273.00505728830996</c:v>
                </c:pt>
                <c:pt idx="96">
                  <c:v>270.16125460822354</c:v>
                </c:pt>
                <c:pt idx="97">
                  <c:v>267.37608703494283</c:v>
                </c:pt>
                <c:pt idx="98">
                  <c:v>264.64775961621893</c:v>
                </c:pt>
                <c:pt idx="99">
                  <c:v>261.97454992312583</c:v>
                </c:pt>
                <c:pt idx="100">
                  <c:v>259.35480442389445</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Single'!$AN$5:$AN$105</c:f>
              <c:numCache>
                <c:formatCode>0.0</c:formatCode>
                <c:ptCount val="101"/>
                <c:pt idx="0">
                  <c:v>12</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204.87804878048783</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Single'!$AN$216:$AN$316</c:f>
              <c:numCache>
                <c:formatCode>0.0</c:formatCode>
                <c:ptCount val="101"/>
                <c:pt idx="0">
                  <c:v>12</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204.87804878048783</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342.8919124288289</c:v>
                </c:pt>
                <c:pt idx="41">
                  <c:v>334.52869505251601</c:v>
                </c:pt>
                <c:pt idx="42">
                  <c:v>326.56372612269422</c:v>
                </c:pt>
                <c:pt idx="43">
                  <c:v>318.96922086402685</c:v>
                </c:pt>
                <c:pt idx="44">
                  <c:v>311.71992038984445</c:v>
                </c:pt>
                <c:pt idx="45">
                  <c:v>304.79281104784781</c:v>
                </c:pt>
                <c:pt idx="46">
                  <c:v>298.16688037289464</c:v>
                </c:pt>
                <c:pt idx="47">
                  <c:v>291.82290419474799</c:v>
                </c:pt>
                <c:pt idx="48">
                  <c:v>285.74326035735743</c:v>
                </c:pt>
                <c:pt idx="49">
                  <c:v>279.91176524802358</c:v>
                </c:pt>
                <c:pt idx="50">
                  <c:v>274.31352994306314</c:v>
                </c:pt>
                <c:pt idx="51">
                  <c:v>268.93483327751284</c:v>
                </c:pt>
                <c:pt idx="52">
                  <c:v>263.76300956063756</c:v>
                </c:pt>
                <c:pt idx="53">
                  <c:v>258.78634900288972</c:v>
                </c:pt>
                <c:pt idx="54">
                  <c:v>253.99400920653986</c:v>
                </c:pt>
                <c:pt idx="55">
                  <c:v>249.37593631187545</c:v>
                </c:pt>
                <c:pt idx="56">
                  <c:v>244.92279459202058</c:v>
                </c:pt>
                <c:pt idx="57">
                  <c:v>240.62590345882731</c:v>
                </c:pt>
                <c:pt idx="58">
                  <c:v>236.47718098539926</c:v>
                </c:pt>
                <c:pt idx="59">
                  <c:v>232.46909317208738</c:v>
                </c:pt>
                <c:pt idx="60">
                  <c:v>228.5946082858859</c:v>
                </c:pt>
                <c:pt idx="61">
                  <c:v>224.84715569103534</c:v>
                </c:pt>
                <c:pt idx="62">
                  <c:v>221.22058866376057</c:v>
                </c:pt>
                <c:pt idx="63">
                  <c:v>217.70915074846275</c:v>
                </c:pt>
                <c:pt idx="64">
                  <c:v>214.30744526801806</c:v>
                </c:pt>
                <c:pt idx="65">
                  <c:v>211.01040764851004</c:v>
                </c:pt>
                <c:pt idx="66">
                  <c:v>207.81328025989632</c:v>
                </c:pt>
                <c:pt idx="67">
                  <c:v>204.71158950974856</c:v>
                </c:pt>
                <c:pt idx="68">
                  <c:v>201.70112495813467</c:v>
                </c:pt>
                <c:pt idx="69">
                  <c:v>198.77792024859644</c:v>
                </c:pt>
                <c:pt idx="70">
                  <c:v>195.93823567361648</c:v>
                </c:pt>
                <c:pt idx="71">
                  <c:v>193.17854221342472</c:v>
                </c:pt>
                <c:pt idx="72">
                  <c:v>190.49550690490494</c:v>
                </c:pt>
                <c:pt idx="73">
                  <c:v>187.8859794130569</c:v>
                </c:pt>
                <c:pt idx="74">
                  <c:v>185.34697969125884</c:v>
                </c:pt>
                <c:pt idx="75">
                  <c:v>182.87568662870873</c:v>
                </c:pt>
                <c:pt idx="76">
                  <c:v>180.46942759412048</c:v>
                </c:pt>
                <c:pt idx="77">
                  <c:v>178.12566879419677</c:v>
                </c:pt>
                <c:pt idx="78">
                  <c:v>175.84200637375838</c:v>
                </c:pt>
                <c:pt idx="79">
                  <c:v>173.61615819181208</c:v>
                </c:pt>
                <c:pt idx="80">
                  <c:v>171.44595621441445</c:v>
                </c:pt>
                <c:pt idx="81">
                  <c:v>169.32933947102663</c:v>
                </c:pt>
                <c:pt idx="82">
                  <c:v>167.26434752625801</c:v>
                </c:pt>
                <c:pt idx="83">
                  <c:v>165.24911442353198</c:v>
                </c:pt>
                <c:pt idx="84">
                  <c:v>163.28186306134711</c:v>
                </c:pt>
                <c:pt idx="85">
                  <c:v>161.3608999665077</c:v>
                </c:pt>
                <c:pt idx="86">
                  <c:v>159.48461043201343</c:v>
                </c:pt>
                <c:pt idx="87">
                  <c:v>157.65145399026611</c:v>
                </c:pt>
                <c:pt idx="88">
                  <c:v>156.9342526137828</c:v>
                </c:pt>
                <c:pt idx="89">
                  <c:v>156.33627064950034</c:v>
                </c:pt>
                <c:pt idx="90">
                  <c:v>155.74357214143717</c:v>
                </c:pt>
                <c:pt idx="91">
                  <c:v>155.15608737478689</c:v>
                </c:pt>
                <c:pt idx="92">
                  <c:v>154.57374785588095</c:v>
                </c:pt>
                <c:pt idx="93">
                  <c:v>153.99648628556824</c:v>
                </c:pt>
                <c:pt idx="94">
                  <c:v>153.42423653328777</c:v>
                </c:pt>
                <c:pt idx="95">
                  <c:v>152.85693361181382</c:v>
                </c:pt>
                <c:pt idx="96">
                  <c:v>152.29451365265362</c:v>
                </c:pt>
                <c:pt idx="97">
                  <c:v>151.73691388207686</c:v>
                </c:pt>
                <c:pt idx="98">
                  <c:v>151.18407259775955</c:v>
                </c:pt>
                <c:pt idx="99">
                  <c:v>150.63592914602293</c:v>
                </c:pt>
                <c:pt idx="100">
                  <c:v>150.09242389965024</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348.28713473734928</c:v>
                </c:pt>
                <c:pt idx="57">
                  <c:v>342.17683412792223</c:v>
                </c:pt>
                <c:pt idx="58">
                  <c:v>336.27723353950978</c:v>
                </c:pt>
                <c:pt idx="59">
                  <c:v>330.57761941172151</c:v>
                </c:pt>
                <c:pt idx="60">
                  <c:v>325.06799242152613</c:v>
                </c:pt>
                <c:pt idx="61">
                  <c:v>319.73900893920603</c:v>
                </c:pt>
                <c:pt idx="62">
                  <c:v>314.58192814986404</c:v>
                </c:pt>
                <c:pt idx="63">
                  <c:v>309.58856421097727</c:v>
                </c:pt>
                <c:pt idx="64">
                  <c:v>304.75124289518078</c:v>
                </c:pt>
                <c:pt idx="65">
                  <c:v>300.06276223525487</c:v>
                </c:pt>
                <c:pt idx="66">
                  <c:v>295.51635674684201</c:v>
                </c:pt>
                <c:pt idx="67">
                  <c:v>291.10566485509798</c:v>
                </c:pt>
                <c:pt idx="68">
                  <c:v>286.82469919546423</c:v>
                </c:pt>
                <c:pt idx="69">
                  <c:v>282.66781949697929</c:v>
                </c:pt>
                <c:pt idx="70">
                  <c:v>278.6297077898796</c:v>
                </c:pt>
                <c:pt idx="71">
                  <c:v>274.705345708332</c:v>
                </c:pt>
                <c:pt idx="72">
                  <c:v>270.88999368460514</c:v>
                </c:pt>
                <c:pt idx="73">
                  <c:v>267.17917185330913</c:v>
                </c:pt>
                <c:pt idx="74">
                  <c:v>263.56864250394011</c:v>
                </c:pt>
                <c:pt idx="75">
                  <c:v>260.05439393722088</c:v>
                </c:pt>
                <c:pt idx="76">
                  <c:v>256.6326255959417</c:v>
                </c:pt>
                <c:pt idx="77">
                  <c:v>253.29973435443591</c:v>
                </c:pt>
                <c:pt idx="78">
                  <c:v>250.05230186271237</c:v>
                </c:pt>
                <c:pt idx="79">
                  <c:v>246.88708285179197</c:v>
                </c:pt>
                <c:pt idx="80">
                  <c:v>243.80099431614457</c:v>
                </c:pt>
                <c:pt idx="81">
                  <c:v>240.79110549742671</c:v>
                </c:pt>
                <c:pt idx="82">
                  <c:v>237.85462860111673</c:v>
                </c:pt>
                <c:pt idx="83">
                  <c:v>234.98891018423569</c:v>
                </c:pt>
                <c:pt idx="84">
                  <c:v>232.19142315823294</c:v>
                </c:pt>
                <c:pt idx="85">
                  <c:v>229.45975935637139</c:v>
                </c:pt>
                <c:pt idx="86">
                  <c:v>226.79162261966945</c:v>
                </c:pt>
                <c:pt idx="87">
                  <c:v>224.18482235967312</c:v>
                </c:pt>
                <c:pt idx="88">
                  <c:v>221.63726756013148</c:v>
                </c:pt>
                <c:pt idx="89">
                  <c:v>219.1469611830513</c:v>
                </c:pt>
                <c:pt idx="90">
                  <c:v>216.71199494768405</c:v>
                </c:pt>
                <c:pt idx="91">
                  <c:v>214.33054445375348</c:v>
                </c:pt>
                <c:pt idx="92">
                  <c:v>212.00086462273444</c:v>
                </c:pt>
                <c:pt idx="93">
                  <c:v>209.72128543324268</c:v>
                </c:pt>
                <c:pt idx="94">
                  <c:v>207.49020792863365</c:v>
                </c:pt>
                <c:pt idx="95">
                  <c:v>205.30610047675336</c:v>
                </c:pt>
                <c:pt idx="96">
                  <c:v>203.16749526345382</c:v>
                </c:pt>
                <c:pt idx="97">
                  <c:v>201.07298500300581</c:v>
                </c:pt>
                <c:pt idx="98">
                  <c:v>199.02121984991388</c:v>
                </c:pt>
                <c:pt idx="99">
                  <c:v>197.01090449789461</c:v>
                </c:pt>
                <c:pt idx="100">
                  <c:v>195.04079545291572</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345.98627197905779</c:v>
                </c:pt>
                <c:pt idx="78">
                  <c:v>341.55055054342887</c:v>
                </c:pt>
                <c:pt idx="79">
                  <c:v>337.2271258530057</c:v>
                </c:pt>
                <c:pt idx="80">
                  <c:v>333.01178677984319</c:v>
                </c:pt>
                <c:pt idx="81">
                  <c:v>328.90053015293148</c:v>
                </c:pt>
                <c:pt idx="82">
                  <c:v>324.88954807789577</c:v>
                </c:pt>
                <c:pt idx="83">
                  <c:v>320.97521617334274</c:v>
                </c:pt>
                <c:pt idx="84">
                  <c:v>317.15408264746969</c:v>
                </c:pt>
                <c:pt idx="85">
                  <c:v>313.42285814573472</c:v>
                </c:pt>
                <c:pt idx="86">
                  <c:v>309.7784063068309</c:v>
                </c:pt>
                <c:pt idx="87">
                  <c:v>306.21773496997065</c:v>
                </c:pt>
                <c:pt idx="88">
                  <c:v>302.73798798167559</c:v>
                </c:pt>
                <c:pt idx="89">
                  <c:v>299.33643755491516</c:v>
                </c:pt>
                <c:pt idx="90">
                  <c:v>296.0104771376383</c:v>
                </c:pt>
                <c:pt idx="91">
                  <c:v>292.75761475151046</c:v>
                </c:pt>
                <c:pt idx="92">
                  <c:v>289.57546676508099</c:v>
                </c:pt>
                <c:pt idx="93">
                  <c:v>286.4617520686823</c:v>
                </c:pt>
                <c:pt idx="94">
                  <c:v>283.41428662114305</c:v>
                </c:pt>
                <c:pt idx="95">
                  <c:v>280.43097834092055</c:v>
                </c:pt>
                <c:pt idx="96">
                  <c:v>277.50982231653597</c:v>
                </c:pt>
                <c:pt idx="97">
                  <c:v>274.6488963132727</c:v>
                </c:pt>
                <c:pt idx="98">
                  <c:v>271.84635655497397</c:v>
                </c:pt>
                <c:pt idx="99">
                  <c:v>269.1004337614894</c:v>
                </c:pt>
                <c:pt idx="100">
                  <c:v>266.4094294238746</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157.65145399026611</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c:v>
                </c:pt>
                <c:pt idx="15">
                  <c:v>0.82</c:v>
                </c:pt>
                <c:pt idx="16">
                  <c:v>0.83650064753909981</c:v>
                </c:pt>
                <c:pt idx="17">
                  <c:v>0.86224513142531956</c:v>
                </c:pt>
                <c:pt idx="18">
                  <c:v>0.88724292051275333</c:v>
                </c:pt>
                <c:pt idx="19">
                  <c:v>0.91155544720731785</c:v>
                </c:pt>
                <c:pt idx="20">
                  <c:v>0.93523615556000961</c:v>
                </c:pt>
                <c:pt idx="21">
                  <c:v>0.95833188405687497</c:v>
                </c:pt>
                <c:pt idx="22">
                  <c:v>0.98088395507997439</c:v>
                </c:pt>
                <c:pt idx="23">
                  <c:v>1.0029290436848792</c:v>
                </c:pt>
                <c:pt idx="24">
                  <c:v>1.0244998779892556</c:v>
                </c:pt>
                <c:pt idx="25">
                  <c:v>1.0456258094238746</c:v>
                </c:pt>
                <c:pt idx="26">
                  <c:v>1.0663332812337174</c:v>
                </c:pt>
                <c:pt idx="27">
                  <c:v>1.0866462165764899</c:v>
                </c:pt>
                <c:pt idx="28">
                  <c:v>1.1065863424664761</c:v>
                </c:pt>
                <c:pt idx="29">
                  <c:v>1.126173462068196</c:v>
                </c:pt>
                <c:pt idx="30">
                  <c:v>1.1454256850621083</c:v>
                </c:pt>
                <c:pt idx="31">
                  <c:v>1.1643596237131091</c:v>
                </c:pt>
                <c:pt idx="32">
                  <c:v>1.182990560683671</c:v>
                </c:pt>
                <c:pt idx="33">
                  <c:v>1.2013325934144965</c:v>
                </c:pt>
                <c:pt idx="34">
                  <c:v>1.2193987589518587</c:v>
                </c:pt>
                <c:pt idx="35">
                  <c:v>1.2372011423639515</c:v>
                </c:pt>
                <c:pt idx="36">
                  <c:v>1.2547509713086498</c:v>
                </c:pt>
                <c:pt idx="37">
                  <c:v>1.2720586988552585</c:v>
                </c:pt>
                <c:pt idx="38">
                  <c:v>1.2891340762956607</c:v>
                </c:pt>
                <c:pt idx="39">
                  <c:v>1.3059862173851606</c:v>
                </c:pt>
                <c:pt idx="40">
                  <c:v>1.3226236552146393</c:v>
                </c:pt>
                <c:pt idx="41">
                  <c:v>1.3390543927214706</c:v>
                </c:pt>
                <c:pt idx="42">
                  <c:v>1.355285947687793</c:v>
                </c:pt>
                <c:pt idx="43">
                  <c:v>1.3713253929441156</c:v>
                </c:pt>
                <c:pt idx="44">
                  <c:v>1.3871793923882616</c:v>
                </c:pt>
                <c:pt idx="45">
                  <c:v>1.4028542333400145</c:v>
                </c:pt>
                <c:pt idx="46">
                  <c:v>1.4183558556770346</c:v>
                </c:pt>
                <c:pt idx="47">
                  <c:v>1.4336898781349705</c:v>
                </c:pt>
                <c:pt idx="48">
                  <c:v>1.4488616221019863</c:v>
                </c:pt>
                <c:pt idx="49">
                  <c:v>1.4638761331934245</c:v>
                </c:pt>
                <c:pt idx="50">
                  <c:v>1.4787382008545888</c:v>
                </c:pt>
                <c:pt idx="51">
                  <c:v>1.4934523762075573</c:v>
                </c:pt>
                <c:pt idx="52">
                  <c:v>1.5080229883305269</c:v>
                </c:pt>
                <c:pt idx="53">
                  <c:v>1.5224541591347394</c:v>
                </c:pt>
                <c:pt idx="54">
                  <c:v>1.5367498169838836</c:v>
                </c:pt>
                <c:pt idx="55">
                  <c:v>1.5509137091835037</c:v>
                </c:pt>
                <c:pt idx="56">
                  <c:v>1.5649494134529289</c:v>
                </c:pt>
                <c:pt idx="57">
                  <c:v>1.5788603484792438</c:v>
                </c:pt>
                <c:pt idx="58">
                  <c:v>1.592649783641505</c:v>
                </c:pt>
                <c:pt idx="59">
                  <c:v>1.6063208479835733</c:v>
                </c:pt>
                <c:pt idx="60">
                  <c:v>1.6198765385053269</c:v>
                </c:pt>
                <c:pt idx="61">
                  <c:v>1.63331972783449</c:v>
                </c:pt>
                <c:pt idx="62">
                  <c:v>1.6466531713347126</c:v>
                </c:pt>
                <c:pt idx="63">
                  <c:v>1.6598795136997142</c:v>
                </c:pt>
                <c:pt idx="64">
                  <c:v>1.6730012950781996</c:v>
                </c:pt>
                <c:pt idx="65">
                  <c:v>1.6860209567697153</c:v>
                </c:pt>
                <c:pt idx="66">
                  <c:v>1.6989408465276239</c:v>
                </c:pt>
                <c:pt idx="67">
                  <c:v>1.7117632235018174</c:v>
                </c:pt>
                <c:pt idx="68">
                  <c:v>1.7244902628506391</c:v>
                </c:pt>
                <c:pt idx="69">
                  <c:v>1.7371240600486768</c:v>
                </c:pt>
                <c:pt idx="70">
                  <c:v>1.7496666349145864</c:v>
                </c:pt>
                <c:pt idx="71">
                  <c:v>1.7621199353808656</c:v>
                </c:pt>
                <c:pt idx="72">
                  <c:v>1.7744858410255067</c:v>
                </c:pt>
                <c:pt idx="73">
                  <c:v>1.786766166383652</c:v>
                </c:pt>
                <c:pt idx="74">
                  <c:v>1.7989626640557792</c:v>
                </c:pt>
                <c:pt idx="75">
                  <c:v>1.8110770276274832</c:v>
                </c:pt>
                <c:pt idx="76">
                  <c:v>1.8231108944146357</c:v>
                </c:pt>
                <c:pt idx="77">
                  <c:v>1.8350658480465125</c:v>
                </c:pt>
                <c:pt idx="78">
                  <c:v>1.9418265582655829</c:v>
                </c:pt>
                <c:pt idx="79">
                  <c:v>1.9667217705510391</c:v>
                </c:pt>
                <c:pt idx="80">
                  <c:v>1.9916169828364954</c:v>
                </c:pt>
                <c:pt idx="81">
                  <c:v>2.0165121951219516</c:v>
                </c:pt>
                <c:pt idx="82">
                  <c:v>2.0414074074074073</c:v>
                </c:pt>
                <c:pt idx="83">
                  <c:v>2.0663026196928636</c:v>
                </c:pt>
                <c:pt idx="84">
                  <c:v>2.0911978319783198</c:v>
                </c:pt>
                <c:pt idx="85">
                  <c:v>2.1160930442637764</c:v>
                </c:pt>
                <c:pt idx="86">
                  <c:v>2.1409882565492322</c:v>
                </c:pt>
                <c:pt idx="87">
                  <c:v>2.1658834688346889</c:v>
                </c:pt>
                <c:pt idx="88">
                  <c:v>2.1907786811201446</c:v>
                </c:pt>
                <c:pt idx="89">
                  <c:v>2.2156738934056008</c:v>
                </c:pt>
                <c:pt idx="90">
                  <c:v>2.2405691056910571</c:v>
                </c:pt>
                <c:pt idx="91">
                  <c:v>2.2654643179765133</c:v>
                </c:pt>
                <c:pt idx="92">
                  <c:v>2.2903595302619695</c:v>
                </c:pt>
                <c:pt idx="93">
                  <c:v>2.3152547425474257</c:v>
                </c:pt>
                <c:pt idx="94">
                  <c:v>2.3401499548328819</c:v>
                </c:pt>
                <c:pt idx="95">
                  <c:v>2.3650451671183381</c:v>
                </c:pt>
                <c:pt idx="96">
                  <c:v>2.3899403794037939</c:v>
                </c:pt>
                <c:pt idx="97">
                  <c:v>2.4148355916892505</c:v>
                </c:pt>
                <c:pt idx="98">
                  <c:v>2.4397308039747063</c:v>
                </c:pt>
                <c:pt idx="99">
                  <c:v>2.4646260162601625</c:v>
                </c:pt>
                <c:pt idx="100">
                  <c:v>2.4895212285456192</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Single'!$AJ$5:$AJ$105</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0.82480076157596771</c:v>
                </c:pt>
                <c:pt idx="15">
                  <c:v>0.85374989832437975</c:v>
                </c:pt>
                <c:pt idx="16">
                  <c:v>0.8817491034764261</c:v>
                </c:pt>
                <c:pt idx="17">
                  <c:v>0.90888617223174539</c:v>
                </c:pt>
                <c:pt idx="18">
                  <c:v>0.93523615556000961</c:v>
                </c:pt>
                <c:pt idx="19">
                  <c:v>0.96086380890283252</c:v>
                </c:pt>
                <c:pt idx="20">
                  <c:v>0.98582546723639253</c:v>
                </c:pt>
                <c:pt idx="21">
                  <c:v>1.0101705026600432</c:v>
                </c:pt>
                <c:pt idx="22">
                  <c:v>1.0339424727890023</c:v>
                </c:pt>
                <c:pt idx="23">
                  <c:v>1.0571800365262436</c:v>
                </c:pt>
                <c:pt idx="24">
                  <c:v>1.0799176923368845</c:v>
                </c:pt>
                <c:pt idx="25">
                  <c:v>1.1021863793455327</c:v>
                </c:pt>
                <c:pt idx="26">
                  <c:v>1.1240139711798103</c:v>
                </c:pt>
                <c:pt idx="27">
                  <c:v>1.1454256850621083</c:v>
                </c:pt>
                <c:pt idx="28">
                  <c:v>1.1664444232763911</c:v>
                </c:pt>
                <c:pt idx="29">
                  <c:v>1.1870910601909126</c:v>
                </c:pt>
                <c:pt idx="30">
                  <c:v>1.2073846850849888</c:v>
                </c:pt>
                <c:pt idx="31">
                  <c:v>1.2273428088233418</c:v>
                </c:pt>
                <c:pt idx="32">
                  <c:v>1.2469815407466793</c:v>
                </c:pt>
                <c:pt idx="33">
                  <c:v>1.2663157408622683</c:v>
                </c:pt>
                <c:pt idx="34">
                  <c:v>1.285359151423503</c:v>
                </c:pt>
                <c:pt idx="35">
                  <c:v>1.304124511210774</c:v>
                </c:pt>
                <c:pt idx="36">
                  <c:v>1.3226236552146393</c:v>
                </c:pt>
                <c:pt idx="37">
                  <c:v>1.3408676019376131</c:v>
                </c:pt>
                <c:pt idx="38">
                  <c:v>1.3588666301438557</c:v>
                </c:pt>
                <c:pt idx="39">
                  <c:v>1.3766303465749659</c:v>
                </c:pt>
                <c:pt idx="40">
                  <c:v>1.3941677458984996</c:v>
                </c:pt>
                <c:pt idx="41">
                  <c:v>1.4114872639511473</c:v>
                </c:pt>
                <c:pt idx="42">
                  <c:v>1.4285968251710797</c:v>
                </c:pt>
                <c:pt idx="43">
                  <c:v>1.4455038849762669</c:v>
                </c:pt>
                <c:pt idx="44">
                  <c:v>1.4622154677317818</c:v>
                </c:pt>
                <c:pt idx="45">
                  <c:v>1.4787382008545888</c:v>
                </c:pt>
                <c:pt idx="46">
                  <c:v>1.4950783455254975</c:v>
                </c:pt>
                <c:pt idx="47">
                  <c:v>1.5112418244119143</c:v>
                </c:pt>
                <c:pt idx="48">
                  <c:v>1.5272342467494775</c:v>
                </c:pt>
                <c:pt idx="49">
                  <c:v>1.5430609310837458</c:v>
                </c:pt>
                <c:pt idx="50">
                  <c:v>1.5587269259333494</c:v>
                </c:pt>
                <c:pt idx="51">
                  <c:v>1.5742370286021803</c:v>
                </c:pt>
                <c:pt idx="52">
                  <c:v>1.5895958023393288</c:v>
                </c:pt>
                <c:pt idx="53">
                  <c:v>1.6048075920207403</c:v>
                </c:pt>
                <c:pt idx="54">
                  <c:v>1.6198765385053269</c:v>
                </c:pt>
                <c:pt idx="55">
                  <c:v>1.6348065917999572</c:v>
                </c:pt>
                <c:pt idx="56">
                  <c:v>1.6496015231519354</c:v>
                </c:pt>
                <c:pt idx="57">
                  <c:v>1.6642649361738584</c:v>
                </c:pt>
                <c:pt idx="58">
                  <c:v>1.6788002770938446</c:v>
                </c:pt>
                <c:pt idx="59">
                  <c:v>1.693210844213727</c:v>
                </c:pt>
                <c:pt idx="60">
                  <c:v>1.7074997966487595</c:v>
                </c:pt>
                <c:pt idx="61">
                  <c:v>1.721670162414435</c:v>
                </c:pt>
                <c:pt idx="62">
                  <c:v>1.7357248459190586</c:v>
                </c:pt>
                <c:pt idx="63">
                  <c:v>1.7496666349145864</c:v>
                </c:pt>
                <c:pt idx="64">
                  <c:v>1.7634982069528522</c:v>
                </c:pt>
                <c:pt idx="65">
                  <c:v>1.7772221353895292</c:v>
                </c:pt>
                <c:pt idx="66">
                  <c:v>1.7908408949739534</c:v>
                </c:pt>
                <c:pt idx="67">
                  <c:v>1.8043568670592032</c:v>
                </c:pt>
                <c:pt idx="68">
                  <c:v>1.8177723444634908</c:v>
                </c:pt>
                <c:pt idx="69">
                  <c:v>1.8310895360109751</c:v>
                </c:pt>
                <c:pt idx="70">
                  <c:v>1.8443105707774601</c:v>
                </c:pt>
                <c:pt idx="71">
                  <c:v>1.8574375020640865</c:v>
                </c:pt>
                <c:pt idx="72">
                  <c:v>1.8704723111200192</c:v>
                </c:pt>
                <c:pt idx="73">
                  <c:v>1.8834169106332399</c:v>
                </c:pt>
                <c:pt idx="74">
                  <c:v>1.8962731480068611</c:v>
                </c:pt>
                <c:pt idx="75">
                  <c:v>1.9090428084368469</c:v>
                </c:pt>
                <c:pt idx="76">
                  <c:v>1.921727617805665</c:v>
                </c:pt>
                <c:pt idx="77">
                  <c:v>1.9343292454051428</c:v>
                </c:pt>
                <c:pt idx="78">
                  <c:v>1.9468493065006911</c:v>
                </c:pt>
                <c:pt idx="79">
                  <c:v>1.9592893647480492</c:v>
                </c:pt>
                <c:pt idx="80">
                  <c:v>1.9716509344727851</c:v>
                </c:pt>
                <c:pt idx="81">
                  <c:v>1.9839354828219591</c:v>
                </c:pt>
                <c:pt idx="82">
                  <c:v>1.9961444317966053</c:v>
                </c:pt>
                <c:pt idx="83">
                  <c:v>2.0082791601730037</c:v>
                </c:pt>
                <c:pt idx="84">
                  <c:v>2.0203410053200863</c:v>
                </c:pt>
                <c:pt idx="85">
                  <c:v>2.0323312649197645</c:v>
                </c:pt>
                <c:pt idx="86">
                  <c:v>2.0442511985964349</c:v>
                </c:pt>
                <c:pt idx="87">
                  <c:v>2.0561020294614649</c:v>
                </c:pt>
                <c:pt idx="88">
                  <c:v>2.0678849455780046</c:v>
                </c:pt>
                <c:pt idx="89">
                  <c:v>2.0796011013511073</c:v>
                </c:pt>
                <c:pt idx="90">
                  <c:v>2.0912516188477492</c:v>
                </c:pt>
                <c:pt idx="91">
                  <c:v>2.1028375890510245</c:v>
                </c:pt>
                <c:pt idx="92">
                  <c:v>2.1143600730524872</c:v>
                </c:pt>
                <c:pt idx="93">
                  <c:v>2.1258201031863231</c:v>
                </c:pt>
                <c:pt idx="94">
                  <c:v>2.137218684108789</c:v>
                </c:pt>
                <c:pt idx="95">
                  <c:v>2.148556793826101</c:v>
                </c:pt>
                <c:pt idx="96">
                  <c:v>2.159835384673769</c:v>
                </c:pt>
                <c:pt idx="97">
                  <c:v>2.1710553842501303</c:v>
                </c:pt>
                <c:pt idx="98">
                  <c:v>2.1822176963066888</c:v>
                </c:pt>
                <c:pt idx="99">
                  <c:v>2.1933232015976727</c:v>
                </c:pt>
                <c:pt idx="100">
                  <c:v>2.2043727586910653</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c:v>
                </c:pt>
                <c:pt idx="15">
                  <c:v>0.82</c:v>
                </c:pt>
                <c:pt idx="16">
                  <c:v>0.83650064753909981</c:v>
                </c:pt>
                <c:pt idx="17">
                  <c:v>0.86224513142531956</c:v>
                </c:pt>
                <c:pt idx="18">
                  <c:v>0.88724292051275333</c:v>
                </c:pt>
                <c:pt idx="19">
                  <c:v>0.91155544720731785</c:v>
                </c:pt>
                <c:pt idx="20">
                  <c:v>0.93523615556000961</c:v>
                </c:pt>
                <c:pt idx="21">
                  <c:v>0.95833188405687497</c:v>
                </c:pt>
                <c:pt idx="22">
                  <c:v>0.98088395507997439</c:v>
                </c:pt>
                <c:pt idx="23">
                  <c:v>1.0029290436848792</c:v>
                </c:pt>
                <c:pt idx="24">
                  <c:v>1.0244998779892556</c:v>
                </c:pt>
                <c:pt idx="25">
                  <c:v>1.0456258094238746</c:v>
                </c:pt>
                <c:pt idx="26">
                  <c:v>1.0663332812337174</c:v>
                </c:pt>
                <c:pt idx="27">
                  <c:v>1.0866462165764899</c:v>
                </c:pt>
                <c:pt idx="28">
                  <c:v>1.1065863424664761</c:v>
                </c:pt>
                <c:pt idx="29">
                  <c:v>1.126173462068196</c:v>
                </c:pt>
                <c:pt idx="30">
                  <c:v>1.1454256850621083</c:v>
                </c:pt>
                <c:pt idx="31">
                  <c:v>1.1643596237131091</c:v>
                </c:pt>
                <c:pt idx="32">
                  <c:v>1.182990560683671</c:v>
                </c:pt>
                <c:pt idx="33">
                  <c:v>1.2013325934144965</c:v>
                </c:pt>
                <c:pt idx="34">
                  <c:v>1.2193987589518587</c:v>
                </c:pt>
                <c:pt idx="35">
                  <c:v>1.2372011423639515</c:v>
                </c:pt>
                <c:pt idx="36">
                  <c:v>1.2547509713086498</c:v>
                </c:pt>
                <c:pt idx="37">
                  <c:v>1.2720586988552585</c:v>
                </c:pt>
                <c:pt idx="38">
                  <c:v>1.2891340762956607</c:v>
                </c:pt>
                <c:pt idx="39">
                  <c:v>1.3059862173851606</c:v>
                </c:pt>
                <c:pt idx="40">
                  <c:v>1.3226236552146393</c:v>
                </c:pt>
                <c:pt idx="41">
                  <c:v>1.3390543927214706</c:v>
                </c:pt>
                <c:pt idx="42">
                  <c:v>1.355285947687793</c:v>
                </c:pt>
                <c:pt idx="43">
                  <c:v>1.3713253929441156</c:v>
                </c:pt>
                <c:pt idx="44">
                  <c:v>1.3871793923882616</c:v>
                </c:pt>
                <c:pt idx="45">
                  <c:v>1.4028542333400145</c:v>
                </c:pt>
                <c:pt idx="46">
                  <c:v>1.4183558556770346</c:v>
                </c:pt>
                <c:pt idx="47">
                  <c:v>1.4336898781349705</c:v>
                </c:pt>
                <c:pt idx="48">
                  <c:v>1.4488616221019863</c:v>
                </c:pt>
                <c:pt idx="49">
                  <c:v>1.4638761331934245</c:v>
                </c:pt>
                <c:pt idx="50">
                  <c:v>1.4787382008545888</c:v>
                </c:pt>
                <c:pt idx="51">
                  <c:v>1.4934523762075573</c:v>
                </c:pt>
                <c:pt idx="52">
                  <c:v>1.5080229883305269</c:v>
                </c:pt>
                <c:pt idx="53">
                  <c:v>1.5224541591347394</c:v>
                </c:pt>
                <c:pt idx="54">
                  <c:v>1.5367498169838836</c:v>
                </c:pt>
                <c:pt idx="55">
                  <c:v>1.5509137091835037</c:v>
                </c:pt>
                <c:pt idx="56">
                  <c:v>1.5649494134529289</c:v>
                </c:pt>
                <c:pt idx="57">
                  <c:v>1.5788603484792438</c:v>
                </c:pt>
                <c:pt idx="58">
                  <c:v>1.592649783641505</c:v>
                </c:pt>
                <c:pt idx="59">
                  <c:v>1.6063208479835733</c:v>
                </c:pt>
                <c:pt idx="60">
                  <c:v>1.6198765385053269</c:v>
                </c:pt>
                <c:pt idx="61">
                  <c:v>1.63331972783449</c:v>
                </c:pt>
                <c:pt idx="62">
                  <c:v>1.6466531713347126</c:v>
                </c:pt>
                <c:pt idx="63">
                  <c:v>1.6598795136997142</c:v>
                </c:pt>
                <c:pt idx="64">
                  <c:v>1.6730012950781996</c:v>
                </c:pt>
                <c:pt idx="65">
                  <c:v>1.6860209567697153</c:v>
                </c:pt>
                <c:pt idx="66">
                  <c:v>1.6989408465276239</c:v>
                </c:pt>
                <c:pt idx="67">
                  <c:v>1.7117632235018174</c:v>
                </c:pt>
                <c:pt idx="68">
                  <c:v>1.7244902628506391</c:v>
                </c:pt>
                <c:pt idx="69">
                  <c:v>1.7371240600486768</c:v>
                </c:pt>
                <c:pt idx="70">
                  <c:v>1.7496666349145864</c:v>
                </c:pt>
                <c:pt idx="71">
                  <c:v>1.7621199353808656</c:v>
                </c:pt>
                <c:pt idx="72">
                  <c:v>1.7744858410255067</c:v>
                </c:pt>
                <c:pt idx="73">
                  <c:v>1.786766166383652</c:v>
                </c:pt>
                <c:pt idx="74">
                  <c:v>1.7989626640557792</c:v>
                </c:pt>
                <c:pt idx="75">
                  <c:v>1.8110770276274832</c:v>
                </c:pt>
                <c:pt idx="76">
                  <c:v>1.8231108944146357</c:v>
                </c:pt>
                <c:pt idx="77">
                  <c:v>1.8350658480465125</c:v>
                </c:pt>
                <c:pt idx="78">
                  <c:v>1.8469434208984312</c:v>
                </c:pt>
                <c:pt idx="79">
                  <c:v>1.8587450963844754</c:v>
                </c:pt>
                <c:pt idx="80">
                  <c:v>1.8704723111200192</c:v>
                </c:pt>
                <c:pt idx="81">
                  <c:v>1.8821264569629745</c:v>
                </c:pt>
                <c:pt idx="82">
                  <c:v>1.8937088829419724</c:v>
                </c:pt>
                <c:pt idx="83">
                  <c:v>1.905220897079041</c:v>
                </c:pt>
                <c:pt idx="84">
                  <c:v>1.9166637681137499</c:v>
                </c:pt>
                <c:pt idx="85">
                  <c:v>1.9280387271352546</c:v>
                </c:pt>
                <c:pt idx="86">
                  <c:v>1.9393469691281819</c:v>
                </c:pt>
                <c:pt idx="87">
                  <c:v>1.9505896544378571</c:v>
                </c:pt>
                <c:pt idx="88">
                  <c:v>1.9617679101599488</c:v>
                </c:pt>
                <c:pt idx="89">
                  <c:v>1.9728828314592495</c:v>
                </c:pt>
                <c:pt idx="90">
                  <c:v>1.9839354828219591</c:v>
                </c:pt>
                <c:pt idx="91">
                  <c:v>1.9949268992455169</c:v>
                </c:pt>
                <c:pt idx="92">
                  <c:v>2.0058580873697585</c:v>
                </c:pt>
                <c:pt idx="93">
                  <c:v>2.0167300265528847</c:v>
                </c:pt>
                <c:pt idx="94">
                  <c:v>2.0275436698955049</c:v>
                </c:pt>
                <c:pt idx="95">
                  <c:v>2.0382999452157833</c:v>
                </c:pt>
                <c:pt idx="96">
                  <c:v>2.0489997559785111</c:v>
                </c:pt>
                <c:pt idx="97">
                  <c:v>2.0596439821807389</c:v>
                </c:pt>
                <c:pt idx="98">
                  <c:v>2.070233481196424</c:v>
                </c:pt>
                <c:pt idx="99">
                  <c:v>2.0807690885823922</c:v>
                </c:pt>
                <c:pt idx="100">
                  <c:v>2.0912516188477492</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1.0130081300813008</c:v>
                </c:pt>
                <c:pt idx="2">
                  <c:v>1.0260162601626017</c:v>
                </c:pt>
                <c:pt idx="3">
                  <c:v>1.0390243902439025</c:v>
                </c:pt>
                <c:pt idx="4">
                  <c:v>1.0520325203252032</c:v>
                </c:pt>
                <c:pt idx="5">
                  <c:v>1.065040650406504</c:v>
                </c:pt>
                <c:pt idx="6">
                  <c:v>1.0780487804878049</c:v>
                </c:pt>
                <c:pt idx="7">
                  <c:v>1.0910569105691057</c:v>
                </c:pt>
                <c:pt idx="8">
                  <c:v>1.1040650406504064</c:v>
                </c:pt>
                <c:pt idx="9">
                  <c:v>1.1170731707317074</c:v>
                </c:pt>
                <c:pt idx="10">
                  <c:v>1.1300813008130082</c:v>
                </c:pt>
                <c:pt idx="11">
                  <c:v>1.1430894308943089</c:v>
                </c:pt>
                <c:pt idx="12">
                  <c:v>1.1560975609756097</c:v>
                </c:pt>
                <c:pt idx="13">
                  <c:v>1.1691056910569106</c:v>
                </c:pt>
                <c:pt idx="14">
                  <c:v>1.1821138211382114</c:v>
                </c:pt>
                <c:pt idx="15">
                  <c:v>1.1951219512195121</c:v>
                </c:pt>
                <c:pt idx="16">
                  <c:v>1.2110004316927332</c:v>
                </c:pt>
                <c:pt idx="17">
                  <c:v>1.228163420950213</c:v>
                </c:pt>
                <c:pt idx="18">
                  <c:v>1.2448286136751689</c:v>
                </c:pt>
                <c:pt idx="19">
                  <c:v>1.2610369648048785</c:v>
                </c:pt>
                <c:pt idx="20">
                  <c:v>1.276824103706673</c:v>
                </c:pt>
                <c:pt idx="21">
                  <c:v>1.2922212560379167</c:v>
                </c:pt>
                <c:pt idx="22">
                  <c:v>1.3072559700533162</c:v>
                </c:pt>
                <c:pt idx="23">
                  <c:v>1.3219526957899195</c:v>
                </c:pt>
                <c:pt idx="24">
                  <c:v>1.336333251992837</c:v>
                </c:pt>
                <c:pt idx="25">
                  <c:v>1.3504172062825832</c:v>
                </c:pt>
                <c:pt idx="26">
                  <c:v>1.3642221874891449</c:v>
                </c:pt>
                <c:pt idx="27">
                  <c:v>1.3777641443843267</c:v>
                </c:pt>
                <c:pt idx="28">
                  <c:v>1.3910575616443175</c:v>
                </c:pt>
                <c:pt idx="29">
                  <c:v>1.4041156413787974</c:v>
                </c:pt>
                <c:pt idx="30">
                  <c:v>1.4169504567080722</c:v>
                </c:pt>
                <c:pt idx="31">
                  <c:v>1.429573082475406</c:v>
                </c:pt>
                <c:pt idx="32">
                  <c:v>1.4419937071224473</c:v>
                </c:pt>
                <c:pt idx="33">
                  <c:v>1.4542217289429977</c:v>
                </c:pt>
                <c:pt idx="34">
                  <c:v>1.4662658393012391</c:v>
                </c:pt>
                <c:pt idx="35">
                  <c:v>1.4781340949093011</c:v>
                </c:pt>
                <c:pt idx="36">
                  <c:v>1.4898339808724332</c:v>
                </c:pt>
                <c:pt idx="37">
                  <c:v>1.5013724659035057</c:v>
                </c:pt>
                <c:pt idx="38">
                  <c:v>1.5127560508637738</c:v>
                </c:pt>
                <c:pt idx="39">
                  <c:v>1.5239908115901071</c:v>
                </c:pt>
                <c:pt idx="40">
                  <c:v>1.5350824368097595</c:v>
                </c:pt>
                <c:pt idx="41">
                  <c:v>1.5460362618143138</c:v>
                </c:pt>
                <c:pt idx="42">
                  <c:v>1.5568572984585287</c:v>
                </c:pt>
                <c:pt idx="43">
                  <c:v>1.5675502619627437</c:v>
                </c:pt>
                <c:pt idx="44">
                  <c:v>1.5781195949255078</c:v>
                </c:pt>
                <c:pt idx="45">
                  <c:v>1.588569488893343</c:v>
                </c:pt>
                <c:pt idx="46">
                  <c:v>1.5989039037846897</c:v>
                </c:pt>
                <c:pt idx="47">
                  <c:v>1.6091265854233137</c:v>
                </c:pt>
                <c:pt idx="48">
                  <c:v>1.6192410814013243</c:v>
                </c:pt>
                <c:pt idx="49">
                  <c:v>1.629250755462283</c:v>
                </c:pt>
                <c:pt idx="50">
                  <c:v>1.639158800569726</c:v>
                </c:pt>
                <c:pt idx="51">
                  <c:v>1.6489682508050383</c:v>
                </c:pt>
                <c:pt idx="52">
                  <c:v>1.6586819922203513</c:v>
                </c:pt>
                <c:pt idx="53">
                  <c:v>1.668302772756493</c:v>
                </c:pt>
                <c:pt idx="54">
                  <c:v>1.6778332113225891</c:v>
                </c:pt>
                <c:pt idx="55">
                  <c:v>1.6872758061223359</c:v>
                </c:pt>
                <c:pt idx="56">
                  <c:v>1.6966329423019526</c:v>
                </c:pt>
                <c:pt idx="57">
                  <c:v>1.7059068989861625</c:v>
                </c:pt>
                <c:pt idx="58">
                  <c:v>1.7150998557610033</c:v>
                </c:pt>
                <c:pt idx="59">
                  <c:v>1.7242138986557154</c:v>
                </c:pt>
                <c:pt idx="60">
                  <c:v>1.733251025670218</c:v>
                </c:pt>
                <c:pt idx="61">
                  <c:v>1.74221315188966</c:v>
                </c:pt>
                <c:pt idx="62">
                  <c:v>1.7511021142231415</c:v>
                </c:pt>
                <c:pt idx="63">
                  <c:v>1.7599196757998095</c:v>
                </c:pt>
                <c:pt idx="64">
                  <c:v>1.7686675300521331</c:v>
                </c:pt>
                <c:pt idx="65">
                  <c:v>1.7773473045131434</c:v>
                </c:pt>
                <c:pt idx="66">
                  <c:v>1.7859605643517491</c:v>
                </c:pt>
                <c:pt idx="67">
                  <c:v>1.7945088156678781</c:v>
                </c:pt>
                <c:pt idx="68">
                  <c:v>1.8029935085670927</c:v>
                </c:pt>
                <c:pt idx="69">
                  <c:v>1.8114160400324513</c:v>
                </c:pt>
                <c:pt idx="70">
                  <c:v>1.8197777566097244</c:v>
                </c:pt>
                <c:pt idx="71">
                  <c:v>1.8280799569205772</c:v>
                </c:pt>
                <c:pt idx="72">
                  <c:v>1.8363238940170046</c:v>
                </c:pt>
                <c:pt idx="73">
                  <c:v>1.8445107775891014</c:v>
                </c:pt>
                <c:pt idx="74">
                  <c:v>1.8526417760371863</c:v>
                </c:pt>
                <c:pt idx="75">
                  <c:v>1.8607180184183223</c:v>
                </c:pt>
                <c:pt idx="76">
                  <c:v>1.8687405962764239</c:v>
                </c:pt>
                <c:pt idx="77">
                  <c:v>1.8767105653643417</c:v>
                </c:pt>
                <c:pt idx="78">
                  <c:v>1.9478843721770553</c:v>
                </c:pt>
                <c:pt idx="79">
                  <c:v>1.9644811803673596</c:v>
                </c:pt>
                <c:pt idx="80">
                  <c:v>1.9810779885576637</c:v>
                </c:pt>
                <c:pt idx="81">
                  <c:v>1.9976747967479678</c:v>
                </c:pt>
                <c:pt idx="82">
                  <c:v>2.0142716049382718</c:v>
                </c:pt>
                <c:pt idx="83">
                  <c:v>2.0308684131285757</c:v>
                </c:pt>
                <c:pt idx="84">
                  <c:v>2.04746522131888</c:v>
                </c:pt>
                <c:pt idx="85">
                  <c:v>2.0640620295091843</c:v>
                </c:pt>
                <c:pt idx="86">
                  <c:v>2.0806588376994881</c:v>
                </c:pt>
                <c:pt idx="87">
                  <c:v>2.0972556458897929</c:v>
                </c:pt>
                <c:pt idx="88">
                  <c:v>2.1138524540800967</c:v>
                </c:pt>
                <c:pt idx="89">
                  <c:v>2.1304492622704005</c:v>
                </c:pt>
                <c:pt idx="90">
                  <c:v>2.1470460704607048</c:v>
                </c:pt>
                <c:pt idx="91">
                  <c:v>2.1636428786510091</c:v>
                </c:pt>
                <c:pt idx="92">
                  <c:v>2.180239686841313</c:v>
                </c:pt>
                <c:pt idx="93">
                  <c:v>2.1968364950316173</c:v>
                </c:pt>
                <c:pt idx="94">
                  <c:v>2.2134333032219216</c:v>
                </c:pt>
                <c:pt idx="95">
                  <c:v>2.2300301114122254</c:v>
                </c:pt>
                <c:pt idx="96">
                  <c:v>2.2466269196025292</c:v>
                </c:pt>
                <c:pt idx="97">
                  <c:v>2.263223727792834</c:v>
                </c:pt>
                <c:pt idx="98">
                  <c:v>2.2798205359831378</c:v>
                </c:pt>
                <c:pt idx="99">
                  <c:v>2.2964173441734417</c:v>
                </c:pt>
                <c:pt idx="100">
                  <c:v>2.3130141523637464</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Single'!$AK$5:$AK$105</c:f>
              <c:numCache>
                <c:formatCode>0.000</c:formatCode>
                <c:ptCount val="101"/>
                <c:pt idx="0">
                  <c:v>1.0068571428571429</c:v>
                </c:pt>
                <c:pt idx="1">
                  <c:v>1.0130081300813008</c:v>
                </c:pt>
                <c:pt idx="2">
                  <c:v>1.0260162601626017</c:v>
                </c:pt>
                <c:pt idx="3">
                  <c:v>1.0390243902439025</c:v>
                </c:pt>
                <c:pt idx="4">
                  <c:v>1.0520325203252032</c:v>
                </c:pt>
                <c:pt idx="5">
                  <c:v>1.065040650406504</c:v>
                </c:pt>
                <c:pt idx="6">
                  <c:v>1.0780487804878049</c:v>
                </c:pt>
                <c:pt idx="7">
                  <c:v>1.0910569105691057</c:v>
                </c:pt>
                <c:pt idx="8">
                  <c:v>1.1040650406504064</c:v>
                </c:pt>
                <c:pt idx="9">
                  <c:v>1.1170731707317074</c:v>
                </c:pt>
                <c:pt idx="10">
                  <c:v>1.1300813008130082</c:v>
                </c:pt>
                <c:pt idx="11">
                  <c:v>1.1430894308943089</c:v>
                </c:pt>
                <c:pt idx="12">
                  <c:v>1.1560975609756097</c:v>
                </c:pt>
                <c:pt idx="13">
                  <c:v>1.1691056910569106</c:v>
                </c:pt>
                <c:pt idx="14">
                  <c:v>1.1821138211382114</c:v>
                </c:pt>
                <c:pt idx="15">
                  <c:v>1.1951219512195121</c:v>
                </c:pt>
                <c:pt idx="16">
                  <c:v>1.2411660689842841</c:v>
                </c:pt>
                <c:pt idx="17">
                  <c:v>1.2592574481544969</c:v>
                </c:pt>
                <c:pt idx="18">
                  <c:v>1.276824103706673</c:v>
                </c:pt>
                <c:pt idx="19">
                  <c:v>1.2939092059352217</c:v>
                </c:pt>
                <c:pt idx="20">
                  <c:v>1.3105503114909283</c:v>
                </c:pt>
                <c:pt idx="21">
                  <c:v>1.3267803351066954</c:v>
                </c:pt>
                <c:pt idx="22">
                  <c:v>1.3426283151926681</c:v>
                </c:pt>
                <c:pt idx="23">
                  <c:v>1.3581200243508291</c:v>
                </c:pt>
                <c:pt idx="24">
                  <c:v>1.373278461557923</c:v>
                </c:pt>
                <c:pt idx="25">
                  <c:v>1.3881242528970219</c:v>
                </c:pt>
                <c:pt idx="26">
                  <c:v>1.4026759807865403</c:v>
                </c:pt>
                <c:pt idx="27">
                  <c:v>1.4169504567080722</c:v>
                </c:pt>
                <c:pt idx="28">
                  <c:v>1.4309629488509275</c:v>
                </c:pt>
                <c:pt idx="29">
                  <c:v>1.4447273734606085</c:v>
                </c:pt>
                <c:pt idx="30">
                  <c:v>1.4582564567233258</c:v>
                </c:pt>
                <c:pt idx="31">
                  <c:v>1.4715618725488946</c:v>
                </c:pt>
                <c:pt idx="32">
                  <c:v>1.4846543604977862</c:v>
                </c:pt>
                <c:pt idx="33">
                  <c:v>1.4975438272415122</c:v>
                </c:pt>
                <c:pt idx="34">
                  <c:v>1.5102394342823353</c:v>
                </c:pt>
                <c:pt idx="35">
                  <c:v>1.522749674140516</c:v>
                </c:pt>
                <c:pt idx="36">
                  <c:v>1.5350824368097595</c:v>
                </c:pt>
                <c:pt idx="37">
                  <c:v>1.5472450679584089</c:v>
                </c:pt>
                <c:pt idx="38">
                  <c:v>1.5592444200959039</c:v>
                </c:pt>
                <c:pt idx="39">
                  <c:v>1.5710868977166439</c:v>
                </c:pt>
                <c:pt idx="40">
                  <c:v>1.5827784972656664</c:v>
                </c:pt>
                <c:pt idx="41">
                  <c:v>1.5943248426340983</c:v>
                </c:pt>
                <c:pt idx="42">
                  <c:v>1.6057312167807198</c:v>
                </c:pt>
                <c:pt idx="43">
                  <c:v>1.617002589984178</c:v>
                </c:pt>
                <c:pt idx="44">
                  <c:v>1.6281436451545213</c:v>
                </c:pt>
                <c:pt idx="45">
                  <c:v>1.639158800569726</c:v>
                </c:pt>
                <c:pt idx="46">
                  <c:v>1.6500522303503318</c:v>
                </c:pt>
                <c:pt idx="47">
                  <c:v>1.6608278829412764</c:v>
                </c:pt>
                <c:pt idx="48">
                  <c:v>1.6714894978329851</c:v>
                </c:pt>
                <c:pt idx="49">
                  <c:v>1.6820406207224972</c:v>
                </c:pt>
                <c:pt idx="50">
                  <c:v>1.6924846172888997</c:v>
                </c:pt>
                <c:pt idx="51">
                  <c:v>1.7028246857347868</c:v>
                </c:pt>
                <c:pt idx="52">
                  <c:v>1.7130638682262194</c:v>
                </c:pt>
                <c:pt idx="53">
                  <c:v>1.7232050613471603</c:v>
                </c:pt>
                <c:pt idx="54">
                  <c:v>1.733251025670218</c:v>
                </c:pt>
                <c:pt idx="55">
                  <c:v>1.7432043945333047</c:v>
                </c:pt>
                <c:pt idx="56">
                  <c:v>1.7530676821012903</c:v>
                </c:pt>
                <c:pt idx="57">
                  <c:v>1.7628432907825724</c:v>
                </c:pt>
                <c:pt idx="58">
                  <c:v>1.7725335180625632</c:v>
                </c:pt>
                <c:pt idx="59">
                  <c:v>1.7821405628091513</c:v>
                </c:pt>
                <c:pt idx="60">
                  <c:v>1.7916665310991728</c:v>
                </c:pt>
                <c:pt idx="61">
                  <c:v>1.8011134416096235</c:v>
                </c:pt>
                <c:pt idx="62">
                  <c:v>1.8104832306127059</c:v>
                </c:pt>
                <c:pt idx="63">
                  <c:v>1.8197777566097244</c:v>
                </c:pt>
                <c:pt idx="64">
                  <c:v>1.8289988046352348</c:v>
                </c:pt>
                <c:pt idx="65">
                  <c:v>1.8381480902596863</c:v>
                </c:pt>
                <c:pt idx="66">
                  <c:v>1.847227263315969</c:v>
                </c:pt>
                <c:pt idx="67">
                  <c:v>1.8562379113728023</c:v>
                </c:pt>
                <c:pt idx="68">
                  <c:v>1.8651815629756605</c:v>
                </c:pt>
                <c:pt idx="69">
                  <c:v>1.8740596906739835</c:v>
                </c:pt>
                <c:pt idx="70">
                  <c:v>1.8828737138516403</c:v>
                </c:pt>
                <c:pt idx="71">
                  <c:v>1.8916250013760576</c:v>
                </c:pt>
                <c:pt idx="72">
                  <c:v>1.9003148740800129</c:v>
                </c:pt>
                <c:pt idx="73">
                  <c:v>1.9089446070888267</c:v>
                </c:pt>
                <c:pt idx="74">
                  <c:v>1.917515432004574</c:v>
                </c:pt>
                <c:pt idx="75">
                  <c:v>1.9260285389578979</c:v>
                </c:pt>
                <c:pt idx="76">
                  <c:v>1.9344850785371102</c:v>
                </c:pt>
                <c:pt idx="77">
                  <c:v>1.9428861636034287</c:v>
                </c:pt>
                <c:pt idx="78">
                  <c:v>1.9512328710004607</c:v>
                </c:pt>
                <c:pt idx="79">
                  <c:v>1.9595262431653662</c:v>
                </c:pt>
                <c:pt idx="80">
                  <c:v>1.9677672896485234</c:v>
                </c:pt>
                <c:pt idx="81">
                  <c:v>1.9759569885479729</c:v>
                </c:pt>
                <c:pt idx="82">
                  <c:v>1.9840962878644037</c:v>
                </c:pt>
                <c:pt idx="83">
                  <c:v>1.9921861067820026</c:v>
                </c:pt>
                <c:pt idx="84">
                  <c:v>2.0002273368800578</c:v>
                </c:pt>
                <c:pt idx="85">
                  <c:v>2.008220843279843</c:v>
                </c:pt>
                <c:pt idx="86">
                  <c:v>2.0161674657309567</c:v>
                </c:pt>
                <c:pt idx="87">
                  <c:v>2.0240680196409766</c:v>
                </c:pt>
                <c:pt idx="88">
                  <c:v>2.0319232970520034</c:v>
                </c:pt>
                <c:pt idx="89">
                  <c:v>2.0397340675674052</c:v>
                </c:pt>
                <c:pt idx="90">
                  <c:v>2.0475010792318331</c:v>
                </c:pt>
                <c:pt idx="91">
                  <c:v>2.0552250593673498</c:v>
                </c:pt>
                <c:pt idx="92">
                  <c:v>2.0629067153683249</c:v>
                </c:pt>
                <c:pt idx="93">
                  <c:v>2.0705467354575489</c:v>
                </c:pt>
                <c:pt idx="94">
                  <c:v>2.0781457894058595</c:v>
                </c:pt>
                <c:pt idx="95">
                  <c:v>2.0857045292174008</c:v>
                </c:pt>
                <c:pt idx="96">
                  <c:v>2.0932235897825127</c:v>
                </c:pt>
                <c:pt idx="97">
                  <c:v>2.1007035895000872</c:v>
                </c:pt>
                <c:pt idx="98">
                  <c:v>2.1081451308711259</c:v>
                </c:pt>
                <c:pt idx="99">
                  <c:v>2.1155488010651151</c:v>
                </c:pt>
                <c:pt idx="100">
                  <c:v>2.1229151724607105</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1.0130081300813008</c:v>
                </c:pt>
                <c:pt idx="2">
                  <c:v>1.0260162601626017</c:v>
                </c:pt>
                <c:pt idx="3">
                  <c:v>1.0390243902439025</c:v>
                </c:pt>
                <c:pt idx="4">
                  <c:v>1.0520325203252032</c:v>
                </c:pt>
                <c:pt idx="5">
                  <c:v>1.065040650406504</c:v>
                </c:pt>
                <c:pt idx="6">
                  <c:v>1.0780487804878049</c:v>
                </c:pt>
                <c:pt idx="7">
                  <c:v>1.0910569105691057</c:v>
                </c:pt>
                <c:pt idx="8">
                  <c:v>1.1040650406504064</c:v>
                </c:pt>
                <c:pt idx="9">
                  <c:v>1.1170731707317074</c:v>
                </c:pt>
                <c:pt idx="10">
                  <c:v>1.1300813008130082</c:v>
                </c:pt>
                <c:pt idx="11">
                  <c:v>1.1430894308943089</c:v>
                </c:pt>
                <c:pt idx="12">
                  <c:v>1.1560975609756097</c:v>
                </c:pt>
                <c:pt idx="13">
                  <c:v>1.1691056910569106</c:v>
                </c:pt>
                <c:pt idx="14">
                  <c:v>1.1821138211382114</c:v>
                </c:pt>
                <c:pt idx="15">
                  <c:v>1.1951219512195121</c:v>
                </c:pt>
                <c:pt idx="16">
                  <c:v>1.2110004316927332</c:v>
                </c:pt>
                <c:pt idx="17">
                  <c:v>1.228163420950213</c:v>
                </c:pt>
                <c:pt idx="18">
                  <c:v>1.2448286136751689</c:v>
                </c:pt>
                <c:pt idx="19">
                  <c:v>1.2610369648048785</c:v>
                </c:pt>
                <c:pt idx="20">
                  <c:v>1.276824103706673</c:v>
                </c:pt>
                <c:pt idx="21">
                  <c:v>1.2922212560379167</c:v>
                </c:pt>
                <c:pt idx="22">
                  <c:v>1.3072559700533162</c:v>
                </c:pt>
                <c:pt idx="23">
                  <c:v>1.3219526957899195</c:v>
                </c:pt>
                <c:pt idx="24">
                  <c:v>1.336333251992837</c:v>
                </c:pt>
                <c:pt idx="25">
                  <c:v>1.3504172062825832</c:v>
                </c:pt>
                <c:pt idx="26">
                  <c:v>1.3642221874891449</c:v>
                </c:pt>
                <c:pt idx="27">
                  <c:v>1.3777641443843267</c:v>
                </c:pt>
                <c:pt idx="28">
                  <c:v>1.3910575616443175</c:v>
                </c:pt>
                <c:pt idx="29">
                  <c:v>1.4041156413787974</c:v>
                </c:pt>
                <c:pt idx="30">
                  <c:v>1.4169504567080722</c:v>
                </c:pt>
                <c:pt idx="31">
                  <c:v>1.429573082475406</c:v>
                </c:pt>
                <c:pt idx="32">
                  <c:v>1.4419937071224473</c:v>
                </c:pt>
                <c:pt idx="33">
                  <c:v>1.4542217289429977</c:v>
                </c:pt>
                <c:pt idx="34">
                  <c:v>1.4662658393012391</c:v>
                </c:pt>
                <c:pt idx="35">
                  <c:v>1.4781340949093011</c:v>
                </c:pt>
                <c:pt idx="36">
                  <c:v>1.4898339808724332</c:v>
                </c:pt>
                <c:pt idx="37">
                  <c:v>1.5013724659035057</c:v>
                </c:pt>
                <c:pt idx="38">
                  <c:v>1.5127560508637738</c:v>
                </c:pt>
                <c:pt idx="39">
                  <c:v>1.5239908115901071</c:v>
                </c:pt>
                <c:pt idx="40">
                  <c:v>1.5350824368097595</c:v>
                </c:pt>
                <c:pt idx="41">
                  <c:v>1.5460362618143138</c:v>
                </c:pt>
                <c:pt idx="42">
                  <c:v>1.5568572984585287</c:v>
                </c:pt>
                <c:pt idx="43">
                  <c:v>1.5675502619627437</c:v>
                </c:pt>
                <c:pt idx="44">
                  <c:v>1.5781195949255078</c:v>
                </c:pt>
                <c:pt idx="45">
                  <c:v>1.588569488893343</c:v>
                </c:pt>
                <c:pt idx="46">
                  <c:v>1.5989039037846897</c:v>
                </c:pt>
                <c:pt idx="47">
                  <c:v>1.6091265854233137</c:v>
                </c:pt>
                <c:pt idx="48">
                  <c:v>1.6192410814013243</c:v>
                </c:pt>
                <c:pt idx="49">
                  <c:v>1.629250755462283</c:v>
                </c:pt>
                <c:pt idx="50">
                  <c:v>1.639158800569726</c:v>
                </c:pt>
                <c:pt idx="51">
                  <c:v>1.6489682508050383</c:v>
                </c:pt>
                <c:pt idx="52">
                  <c:v>1.6586819922203513</c:v>
                </c:pt>
                <c:pt idx="53">
                  <c:v>1.668302772756493</c:v>
                </c:pt>
                <c:pt idx="54">
                  <c:v>1.6778332113225891</c:v>
                </c:pt>
                <c:pt idx="55">
                  <c:v>1.6872758061223359</c:v>
                </c:pt>
                <c:pt idx="56">
                  <c:v>1.6966329423019526</c:v>
                </c:pt>
                <c:pt idx="57">
                  <c:v>1.7059068989861625</c:v>
                </c:pt>
                <c:pt idx="58">
                  <c:v>1.7150998557610033</c:v>
                </c:pt>
                <c:pt idx="59">
                  <c:v>1.7242138986557154</c:v>
                </c:pt>
                <c:pt idx="60">
                  <c:v>1.733251025670218</c:v>
                </c:pt>
                <c:pt idx="61">
                  <c:v>1.74221315188966</c:v>
                </c:pt>
                <c:pt idx="62">
                  <c:v>1.7511021142231415</c:v>
                </c:pt>
                <c:pt idx="63">
                  <c:v>1.7599196757998095</c:v>
                </c:pt>
                <c:pt idx="64">
                  <c:v>1.7686675300521331</c:v>
                </c:pt>
                <c:pt idx="65">
                  <c:v>1.7773473045131434</c:v>
                </c:pt>
                <c:pt idx="66">
                  <c:v>1.7859605643517491</c:v>
                </c:pt>
                <c:pt idx="67">
                  <c:v>1.7945088156678781</c:v>
                </c:pt>
                <c:pt idx="68">
                  <c:v>1.8029935085670927</c:v>
                </c:pt>
                <c:pt idx="69">
                  <c:v>1.8114160400324513</c:v>
                </c:pt>
                <c:pt idx="70">
                  <c:v>1.8197777566097244</c:v>
                </c:pt>
                <c:pt idx="71">
                  <c:v>1.8280799569205772</c:v>
                </c:pt>
                <c:pt idx="72">
                  <c:v>1.8363238940170046</c:v>
                </c:pt>
                <c:pt idx="73">
                  <c:v>1.8445107775891014</c:v>
                </c:pt>
                <c:pt idx="74">
                  <c:v>1.8526417760371863</c:v>
                </c:pt>
                <c:pt idx="75">
                  <c:v>1.8607180184183223</c:v>
                </c:pt>
                <c:pt idx="76">
                  <c:v>1.8687405962764239</c:v>
                </c:pt>
                <c:pt idx="77">
                  <c:v>1.8767105653643417</c:v>
                </c:pt>
                <c:pt idx="78">
                  <c:v>1.884628947265621</c:v>
                </c:pt>
                <c:pt idx="79">
                  <c:v>1.8924967309229836</c:v>
                </c:pt>
                <c:pt idx="80">
                  <c:v>1.9003148740800129</c:v>
                </c:pt>
                <c:pt idx="81">
                  <c:v>1.9080843046419831</c:v>
                </c:pt>
                <c:pt idx="82">
                  <c:v>1.9158059219613148</c:v>
                </c:pt>
                <c:pt idx="83">
                  <c:v>1.9234805980526939</c:v>
                </c:pt>
                <c:pt idx="84">
                  <c:v>1.9311091787424999</c:v>
                </c:pt>
                <c:pt idx="85">
                  <c:v>1.9386924847568365</c:v>
                </c:pt>
                <c:pt idx="86">
                  <c:v>1.9462313127521214</c:v>
                </c:pt>
                <c:pt idx="87">
                  <c:v>1.9537264362919049</c:v>
                </c:pt>
                <c:pt idx="88">
                  <c:v>1.9611786067732992</c:v>
                </c:pt>
                <c:pt idx="89">
                  <c:v>1.9685885543061663</c:v>
                </c:pt>
                <c:pt idx="90">
                  <c:v>1.9759569885479729</c:v>
                </c:pt>
                <c:pt idx="91">
                  <c:v>1.9832845994970112</c:v>
                </c:pt>
                <c:pt idx="92">
                  <c:v>1.9905720582465058</c:v>
                </c:pt>
                <c:pt idx="93">
                  <c:v>1.9978200177019232</c:v>
                </c:pt>
                <c:pt idx="94">
                  <c:v>2.0050291132636699</c:v>
                </c:pt>
                <c:pt idx="95">
                  <c:v>2.012199963477189</c:v>
                </c:pt>
                <c:pt idx="96">
                  <c:v>2.0193331706523407</c:v>
                </c:pt>
                <c:pt idx="97">
                  <c:v>2.026429321453826</c:v>
                </c:pt>
                <c:pt idx="98">
                  <c:v>2.033488987464283</c:v>
                </c:pt>
                <c:pt idx="99">
                  <c:v>2.0405127257215949</c:v>
                </c:pt>
                <c:pt idx="100">
                  <c:v>2.0475010792318331</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Single'!$CD$5:$CD$105</c:f>
              <c:numCache>
                <c:formatCode>0.00</c:formatCode>
                <c:ptCount val="101"/>
                <c:pt idx="0">
                  <c:v>2.502193097656046E-5</c:v>
                </c:pt>
                <c:pt idx="1">
                  <c:v>48.29029143811789</c:v>
                </c:pt>
                <c:pt idx="2">
                  <c:v>61.38149737943278</c:v>
                </c:pt>
                <c:pt idx="3">
                  <c:v>67.478975561934135</c:v>
                </c:pt>
                <c:pt idx="4">
                  <c:v>71.005522798069947</c:v>
                </c:pt>
                <c:pt idx="5">
                  <c:v>73.303925332283768</c:v>
                </c:pt>
                <c:pt idx="6">
                  <c:v>74.920521200348134</c:v>
                </c:pt>
                <c:pt idx="7">
                  <c:v>76.119444384187048</c:v>
                </c:pt>
                <c:pt idx="8">
                  <c:v>77.043997282553406</c:v>
                </c:pt>
                <c:pt idx="9">
                  <c:v>77.778654594082823</c:v>
                </c:pt>
                <c:pt idx="10">
                  <c:v>78.376440643976167</c:v>
                </c:pt>
                <c:pt idx="11">
                  <c:v>78.872319504714611</c:v>
                </c:pt>
                <c:pt idx="12">
                  <c:v>79.290280853622178</c:v>
                </c:pt>
                <c:pt idx="13">
                  <c:v>79.647332441273619</c:v>
                </c:pt>
                <c:pt idx="14">
                  <c:v>79.891608026857043</c:v>
                </c:pt>
                <c:pt idx="15">
                  <c:v>79.788117558867</c:v>
                </c:pt>
                <c:pt idx="16">
                  <c:v>80.019635969358276</c:v>
                </c:pt>
                <c:pt idx="17">
                  <c:v>80.415895811560972</c:v>
                </c:pt>
                <c:pt idx="18">
                  <c:v>80.774287845561545</c:v>
                </c:pt>
                <c:pt idx="19">
                  <c:v>81.100206120692278</c:v>
                </c:pt>
                <c:pt idx="20">
                  <c:v>81.398054142926142</c:v>
                </c:pt>
                <c:pt idx="21">
                  <c:v>81.671463639490881</c:v>
                </c:pt>
                <c:pt idx="22">
                  <c:v>81.923457591065741</c:v>
                </c:pt>
                <c:pt idx="23">
                  <c:v>82.15657346052285</c:v>
                </c:pt>
                <c:pt idx="24">
                  <c:v>82.372957539627109</c:v>
                </c:pt>
                <c:pt idx="25">
                  <c:v>82.57443803374909</c:v>
                </c:pt>
                <c:pt idx="26">
                  <c:v>82.762582286498628</c:v>
                </c:pt>
                <c:pt idx="27">
                  <c:v>82.938742029861928</c:v>
                </c:pt>
                <c:pt idx="28">
                  <c:v>83.104089492329337</c:v>
                </c:pt>
                <c:pt idx="29">
                  <c:v>83.25964645540401</c:v>
                </c:pt>
                <c:pt idx="30">
                  <c:v>83.40630781887225</c:v>
                </c:pt>
                <c:pt idx="31">
                  <c:v>83.544860851949949</c:v>
                </c:pt>
                <c:pt idx="32">
                  <c:v>83.676001027053388</c:v>
                </c:pt>
                <c:pt idx="33">
                  <c:v>83.800345125636184</c:v>
                </c:pt>
                <c:pt idx="34">
                  <c:v>83.918442150706511</c:v>
                </c:pt>
                <c:pt idx="35">
                  <c:v>84.03078246391577</c:v>
                </c:pt>
                <c:pt idx="36">
                  <c:v>84.137805476338499</c:v>
                </c:pt>
                <c:pt idx="37">
                  <c:v>84.239906153988983</c:v>
                </c:pt>
                <c:pt idx="38">
                  <c:v>84.337440546512383</c:v>
                </c:pt>
                <c:pt idx="39">
                  <c:v>84.430730506531717</c:v>
                </c:pt>
                <c:pt idx="40">
                  <c:v>84.520067735027411</c:v>
                </c:pt>
                <c:pt idx="41">
                  <c:v>84.605717262794116</c:v>
                </c:pt>
                <c:pt idx="42">
                  <c:v>84.68792045790569</c:v>
                </c:pt>
                <c:pt idx="43">
                  <c:v>84.766897633057269</c:v>
                </c:pt>
                <c:pt idx="44">
                  <c:v>84.842850313752621</c:v>
                </c:pt>
                <c:pt idx="45">
                  <c:v>84.91596321788947</c:v>
                </c:pt>
                <c:pt idx="46">
                  <c:v>84.986405988842748</c:v>
                </c:pt>
                <c:pt idx="47">
                  <c:v>85.054334717254036</c:v>
                </c:pt>
                <c:pt idx="48">
                  <c:v>85.119893281088849</c:v>
                </c:pt>
                <c:pt idx="49">
                  <c:v>85.183214528877897</c:v>
                </c:pt>
                <c:pt idx="50">
                  <c:v>85.244421327219712</c:v>
                </c:pt>
                <c:pt idx="51">
                  <c:v>85.303627490437066</c:v>
                </c:pt>
                <c:pt idx="52">
                  <c:v>85.360938607627673</c:v>
                </c:pt>
                <c:pt idx="53">
                  <c:v>85.416452780131394</c:v>
                </c:pt>
                <c:pt idx="54">
                  <c:v>85.470261280577091</c:v>
                </c:pt>
                <c:pt idx="55">
                  <c:v>85.522449143105462</c:v>
                </c:pt>
                <c:pt idx="56">
                  <c:v>85.573095693041779</c:v>
                </c:pt>
                <c:pt idx="57">
                  <c:v>85.62227502317235</c:v>
                </c:pt>
                <c:pt idx="58">
                  <c:v>85.670056422825098</c:v>
                </c:pt>
                <c:pt idx="59">
                  <c:v>85.716504765143981</c:v>
                </c:pt>
                <c:pt idx="60">
                  <c:v>85.761680857252259</c:v>
                </c:pt>
                <c:pt idx="61">
                  <c:v>85.805641757405127</c:v>
                </c:pt>
                <c:pt idx="62">
                  <c:v>85.848441062721051</c:v>
                </c:pt>
                <c:pt idx="63">
                  <c:v>85.890129170640535</c:v>
                </c:pt>
                <c:pt idx="64">
                  <c:v>85.930753516880927</c:v>
                </c:pt>
                <c:pt idx="65">
                  <c:v>85.970358792325968</c:v>
                </c:pt>
                <c:pt idx="66">
                  <c:v>86.008987141003573</c:v>
                </c:pt>
                <c:pt idx="67">
                  <c:v>86.046678341056037</c:v>
                </c:pt>
                <c:pt idx="68">
                  <c:v>86.083469970390738</c:v>
                </c:pt>
                <c:pt idx="69">
                  <c:v>86.119397558509689</c:v>
                </c:pt>
                <c:pt idx="70">
                  <c:v>86.154494725850682</c:v>
                </c:pt>
                <c:pt idx="71">
                  <c:v>86.188793311827567</c:v>
                </c:pt>
                <c:pt idx="72">
                  <c:v>86.222323492629371</c:v>
                </c:pt>
                <c:pt idx="73">
                  <c:v>86.255113889725692</c:v>
                </c:pt>
                <c:pt idx="74">
                  <c:v>86.287191669926415</c:v>
                </c:pt>
                <c:pt idx="75">
                  <c:v>86.31858263775645</c:v>
                </c:pt>
                <c:pt idx="76">
                  <c:v>86.349311320828363</c:v>
                </c:pt>
                <c:pt idx="77">
                  <c:v>86.379401048827603</c:v>
                </c:pt>
                <c:pt idx="78">
                  <c:v>86.408874026663284</c:v>
                </c:pt>
                <c:pt idx="79">
                  <c:v>86.437751402283482</c:v>
                </c:pt>
                <c:pt idx="80">
                  <c:v>86.466053329606098</c:v>
                </c:pt>
                <c:pt idx="81">
                  <c:v>86.493799026972511</c:v>
                </c:pt>
                <c:pt idx="82">
                  <c:v>86.52100683149321</c:v>
                </c:pt>
                <c:pt idx="83">
                  <c:v>86.547694249619695</c:v>
                </c:pt>
                <c:pt idx="84">
                  <c:v>86.573878004246822</c:v>
                </c:pt>
                <c:pt idx="85">
                  <c:v>86.599574078620861</c:v>
                </c:pt>
                <c:pt idx="86">
                  <c:v>86.624797757305032</c:v>
                </c:pt>
                <c:pt idx="87">
                  <c:v>86.649563664430787</c:v>
                </c:pt>
                <c:pt idx="88">
                  <c:v>86.673885799443411</c:v>
                </c:pt>
                <c:pt idx="89">
                  <c:v>86.697777570532622</c:v>
                </c:pt>
                <c:pt idx="90">
                  <c:v>86.721251825921556</c:v>
                </c:pt>
                <c:pt idx="91">
                  <c:v>86.744320883174041</c:v>
                </c:pt>
                <c:pt idx="92">
                  <c:v>86.766996556665049</c:v>
                </c:pt>
                <c:pt idx="93">
                  <c:v>86.789290183348456</c:v>
                </c:pt>
                <c:pt idx="94">
                  <c:v>86.811212646944441</c:v>
                </c:pt>
                <c:pt idx="95">
                  <c:v>86.832774400658963</c:v>
                </c:pt>
                <c:pt idx="96">
                  <c:v>86.853985488538882</c:v>
                </c:pt>
                <c:pt idx="97">
                  <c:v>86.87485556555778</c:v>
                </c:pt>
                <c:pt idx="98">
                  <c:v>86.89539391652022</c:v>
                </c:pt>
                <c:pt idx="99">
                  <c:v>86.915609473864876</c:v>
                </c:pt>
                <c:pt idx="100">
                  <c:v>86.935510834441487</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9.0000000000000007E-7</c:v>
                </c:pt>
                <c:pt idx="1">
                  <c:v>3.78</c:v>
                </c:pt>
                <c:pt idx="2">
                  <c:v>7.56</c:v>
                </c:pt>
                <c:pt idx="3">
                  <c:v>11.34</c:v>
                </c:pt>
                <c:pt idx="4">
                  <c:v>15.12</c:v>
                </c:pt>
                <c:pt idx="5">
                  <c:v>18.899999999999999</c:v>
                </c:pt>
                <c:pt idx="6">
                  <c:v>22.68</c:v>
                </c:pt>
                <c:pt idx="7">
                  <c:v>26.460000000000004</c:v>
                </c:pt>
                <c:pt idx="8">
                  <c:v>30.24</c:v>
                </c:pt>
                <c:pt idx="9">
                  <c:v>34.020000000000003</c:v>
                </c:pt>
                <c:pt idx="10">
                  <c:v>37.799999999999997</c:v>
                </c:pt>
                <c:pt idx="11">
                  <c:v>41.58</c:v>
                </c:pt>
                <c:pt idx="12">
                  <c:v>45.36</c:v>
                </c:pt>
                <c:pt idx="13">
                  <c:v>49.14</c:v>
                </c:pt>
                <c:pt idx="14">
                  <c:v>52.920000000000009</c:v>
                </c:pt>
                <c:pt idx="15">
                  <c:v>56.7</c:v>
                </c:pt>
                <c:pt idx="16">
                  <c:v>60.48</c:v>
                </c:pt>
                <c:pt idx="17">
                  <c:v>64.260000000000005</c:v>
                </c:pt>
                <c:pt idx="18">
                  <c:v>68.040000000000006</c:v>
                </c:pt>
                <c:pt idx="19">
                  <c:v>71.819999999999993</c:v>
                </c:pt>
                <c:pt idx="20">
                  <c:v>75.599999999999994</c:v>
                </c:pt>
                <c:pt idx="21">
                  <c:v>79.38</c:v>
                </c:pt>
                <c:pt idx="22">
                  <c:v>83.16</c:v>
                </c:pt>
                <c:pt idx="23">
                  <c:v>86.94</c:v>
                </c:pt>
                <c:pt idx="24">
                  <c:v>90.72</c:v>
                </c:pt>
                <c:pt idx="25">
                  <c:v>94.5</c:v>
                </c:pt>
                <c:pt idx="26">
                  <c:v>98.28</c:v>
                </c:pt>
                <c:pt idx="27">
                  <c:v>102.06</c:v>
                </c:pt>
                <c:pt idx="28">
                  <c:v>105.84000000000002</c:v>
                </c:pt>
                <c:pt idx="29">
                  <c:v>109.61999999999999</c:v>
                </c:pt>
                <c:pt idx="30">
                  <c:v>113.4</c:v>
                </c:pt>
                <c:pt idx="31">
                  <c:v>117.17999999999999</c:v>
                </c:pt>
                <c:pt idx="32">
                  <c:v>120.96</c:v>
                </c:pt>
                <c:pt idx="33">
                  <c:v>124.74000000000001</c:v>
                </c:pt>
                <c:pt idx="34">
                  <c:v>128.52000000000001</c:v>
                </c:pt>
                <c:pt idx="35">
                  <c:v>132.30000000000001</c:v>
                </c:pt>
                <c:pt idx="36">
                  <c:v>136.08000000000001</c:v>
                </c:pt>
                <c:pt idx="37">
                  <c:v>139.85999999999999</c:v>
                </c:pt>
                <c:pt idx="38">
                  <c:v>143.63999999999999</c:v>
                </c:pt>
                <c:pt idx="39">
                  <c:v>147.41999999999999</c:v>
                </c:pt>
                <c:pt idx="40">
                  <c:v>151.19999999999999</c:v>
                </c:pt>
                <c:pt idx="41">
                  <c:v>154.98000000000002</c:v>
                </c:pt>
                <c:pt idx="42">
                  <c:v>158.76</c:v>
                </c:pt>
                <c:pt idx="43">
                  <c:v>162.54</c:v>
                </c:pt>
                <c:pt idx="44">
                  <c:v>166.32</c:v>
                </c:pt>
                <c:pt idx="45">
                  <c:v>170.1</c:v>
                </c:pt>
                <c:pt idx="46">
                  <c:v>173.88</c:v>
                </c:pt>
                <c:pt idx="47">
                  <c:v>177.66</c:v>
                </c:pt>
                <c:pt idx="48">
                  <c:v>181.44</c:v>
                </c:pt>
                <c:pt idx="49">
                  <c:v>185.22</c:v>
                </c:pt>
                <c:pt idx="50">
                  <c:v>189</c:v>
                </c:pt>
                <c:pt idx="51">
                  <c:v>192.78</c:v>
                </c:pt>
                <c:pt idx="52">
                  <c:v>196.56</c:v>
                </c:pt>
                <c:pt idx="53">
                  <c:v>200.34</c:v>
                </c:pt>
                <c:pt idx="54">
                  <c:v>204.12</c:v>
                </c:pt>
                <c:pt idx="55">
                  <c:v>207.9</c:v>
                </c:pt>
                <c:pt idx="56">
                  <c:v>211.68000000000004</c:v>
                </c:pt>
                <c:pt idx="57">
                  <c:v>215.45999999999998</c:v>
                </c:pt>
                <c:pt idx="58">
                  <c:v>219.23999999999998</c:v>
                </c:pt>
                <c:pt idx="59">
                  <c:v>223.01999999999998</c:v>
                </c:pt>
                <c:pt idx="60">
                  <c:v>226.8</c:v>
                </c:pt>
                <c:pt idx="61">
                  <c:v>230.57999999999998</c:v>
                </c:pt>
                <c:pt idx="62">
                  <c:v>234.35999999999999</c:v>
                </c:pt>
                <c:pt idx="63">
                  <c:v>238.14000000000001</c:v>
                </c:pt>
                <c:pt idx="64">
                  <c:v>241.92</c:v>
                </c:pt>
                <c:pt idx="65">
                  <c:v>245.70000000000002</c:v>
                </c:pt>
                <c:pt idx="66">
                  <c:v>249.48000000000002</c:v>
                </c:pt>
                <c:pt idx="67">
                  <c:v>253.26</c:v>
                </c:pt>
                <c:pt idx="68">
                  <c:v>257.04000000000002</c:v>
                </c:pt>
                <c:pt idx="69">
                  <c:v>260.81999999999994</c:v>
                </c:pt>
                <c:pt idx="70">
                  <c:v>264.60000000000002</c:v>
                </c:pt>
                <c:pt idx="71">
                  <c:v>268.37999999999994</c:v>
                </c:pt>
                <c:pt idx="72">
                  <c:v>272.16000000000003</c:v>
                </c:pt>
                <c:pt idx="73">
                  <c:v>275.94</c:v>
                </c:pt>
                <c:pt idx="74">
                  <c:v>279.71999999999997</c:v>
                </c:pt>
                <c:pt idx="75">
                  <c:v>283.50000000000006</c:v>
                </c:pt>
                <c:pt idx="76">
                  <c:v>287.27999999999997</c:v>
                </c:pt>
                <c:pt idx="77">
                  <c:v>291.06000000000006</c:v>
                </c:pt>
                <c:pt idx="78">
                  <c:v>294.83999999999997</c:v>
                </c:pt>
                <c:pt idx="79">
                  <c:v>298.62</c:v>
                </c:pt>
                <c:pt idx="80">
                  <c:v>302.39999999999998</c:v>
                </c:pt>
                <c:pt idx="81">
                  <c:v>306.18</c:v>
                </c:pt>
                <c:pt idx="82">
                  <c:v>309.96000000000004</c:v>
                </c:pt>
                <c:pt idx="83">
                  <c:v>313.73999999999995</c:v>
                </c:pt>
                <c:pt idx="84">
                  <c:v>317.52</c:v>
                </c:pt>
                <c:pt idx="85">
                  <c:v>321.29999999999995</c:v>
                </c:pt>
                <c:pt idx="86">
                  <c:v>325.08</c:v>
                </c:pt>
                <c:pt idx="87">
                  <c:v>328.86</c:v>
                </c:pt>
                <c:pt idx="88">
                  <c:v>332.64</c:v>
                </c:pt>
                <c:pt idx="89">
                  <c:v>336.42</c:v>
                </c:pt>
                <c:pt idx="90">
                  <c:v>340.2</c:v>
                </c:pt>
                <c:pt idx="91">
                  <c:v>343.98</c:v>
                </c:pt>
                <c:pt idx="92">
                  <c:v>347.76</c:v>
                </c:pt>
                <c:pt idx="93">
                  <c:v>351.54</c:v>
                </c:pt>
                <c:pt idx="94">
                  <c:v>355.32</c:v>
                </c:pt>
                <c:pt idx="95">
                  <c:v>359.09999999999997</c:v>
                </c:pt>
                <c:pt idx="96">
                  <c:v>362.88</c:v>
                </c:pt>
                <c:pt idx="97">
                  <c:v>366.65999999999997</c:v>
                </c:pt>
                <c:pt idx="98">
                  <c:v>370.44</c:v>
                </c:pt>
                <c:pt idx="99">
                  <c:v>374.21999999999997</c:v>
                </c:pt>
                <c:pt idx="100">
                  <c:v>378</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7.8380465635419885</c:v>
                </c:pt>
                <c:pt idx="1">
                  <c:v>11.747545972675704</c:v>
                </c:pt>
                <c:pt idx="2">
                  <c:v>20.016145083811946</c:v>
                </c:pt>
                <c:pt idx="3">
                  <c:v>28.285797534648228</c:v>
                </c:pt>
                <c:pt idx="4">
                  <c:v>36.556503526475346</c:v>
                </c:pt>
                <c:pt idx="5">
                  <c:v>44.828263260635374</c:v>
                </c:pt>
                <c:pt idx="6">
                  <c:v>53.101076938521686</c:v>
                </c:pt>
                <c:pt idx="7">
                  <c:v>61.374944761579009</c:v>
                </c:pt>
                <c:pt idx="8">
                  <c:v>69.649866931303379</c:v>
                </c:pt>
                <c:pt idx="9">
                  <c:v>77.925843649242211</c:v>
                </c:pt>
                <c:pt idx="10">
                  <c:v>86.202875116994235</c:v>
                </c:pt>
                <c:pt idx="11">
                  <c:v>94.480961536209662</c:v>
                </c:pt>
                <c:pt idx="12">
                  <c:v>102.76010310859007</c:v>
                </c:pt>
                <c:pt idx="13">
                  <c:v>111.04030003588846</c:v>
                </c:pt>
                <c:pt idx="14">
                  <c:v>119.62633982103834</c:v>
                </c:pt>
                <c:pt idx="15">
                  <c:v>129.92446359936977</c:v>
                </c:pt>
                <c:pt idx="16">
                  <c:v>135.10686626490838</c:v>
                </c:pt>
                <c:pt idx="17">
                  <c:v>137.10206026930868</c:v>
                </c:pt>
                <c:pt idx="18">
                  <c:v>139.07780975260178</c:v>
                </c:pt>
                <c:pt idx="19">
                  <c:v>141.03680816364465</c:v>
                </c:pt>
                <c:pt idx="20">
                  <c:v>142.98137351069565</c:v>
                </c:pt>
                <c:pt idx="21">
                  <c:v>144.91351534455725</c:v>
                </c:pt>
                <c:pt idx="22">
                  <c:v>146.83498729771316</c:v>
                </c:pt>
                <c:pt idx="23">
                  <c:v>148.74732879374858</c:v>
                </c:pt>
                <c:pt idx="24">
                  <c:v>150.6518985216245</c:v>
                </c:pt>
                <c:pt idx="25">
                  <c:v>152.54990156735857</c:v>
                </c:pt>
                <c:pt idx="26">
                  <c:v>154.44241160373412</c:v>
                </c:pt>
                <c:pt idx="27">
                  <c:v>156.3303891883599</c:v>
                </c:pt>
                <c:pt idx="28">
                  <c:v>158.21469696727038</c:v>
                </c:pt>
                <c:pt idx="29">
                  <c:v>160.09611239586812</c:v>
                </c:pt>
                <c:pt idx="30">
                  <c:v>161.97533845155152</c:v>
                </c:pt>
                <c:pt idx="31">
                  <c:v>163.85301270927852</c:v>
                </c:pt>
                <c:pt idx="32">
                  <c:v>165.72971507318681</c:v>
                </c:pt>
                <c:pt idx="33">
                  <c:v>167.6059743975897</c:v>
                </c:pt>
                <c:pt idx="34">
                  <c:v>169.48227418448045</c:v>
                </c:pt>
                <c:pt idx="35">
                  <c:v>171.35905750870276</c:v>
                </c:pt>
                <c:pt idx="36">
                  <c:v>173.23673129369561</c:v>
                </c:pt>
                <c:pt idx="37">
                  <c:v>175.11567003837817</c:v>
                </c:pt>
                <c:pt idx="38">
                  <c:v>176.99621907793997</c:v>
                </c:pt>
                <c:pt idx="39">
                  <c:v>178.87869744703059</c:v>
                </c:pt>
                <c:pt idx="40">
                  <c:v>180.76340040232728</c:v>
                </c:pt>
                <c:pt idx="41">
                  <c:v>182.65060165211452</c:v>
                </c:pt>
                <c:pt idx="42">
                  <c:v>184.54055533288224</c:v>
                </c:pt>
                <c:pt idx="43">
                  <c:v>186.43349776669231</c:v>
                </c:pt>
                <c:pt idx="44">
                  <c:v>188.3296490279061</c:v>
                </c:pt>
                <c:pt idx="45">
                  <c:v>190.22921434359066</c:v>
                </c:pt>
                <c:pt idx="46">
                  <c:v>192.13238534836577</c:v>
                </c:pt>
                <c:pt idx="47">
                  <c:v>194.03934121148356</c:v>
                </c:pt>
                <c:pt idx="48">
                  <c:v>195.95024965143648</c:v>
                </c:pt>
                <c:pt idx="49">
                  <c:v>197.86526785129067</c:v>
                </c:pt>
                <c:pt idx="50">
                  <c:v>199.78454328616468</c:v>
                </c:pt>
                <c:pt idx="51">
                  <c:v>201.70821447276577</c:v>
                </c:pt>
                <c:pt idx="52">
                  <c:v>203.63641164961328</c:v>
                </c:pt>
                <c:pt idx="53">
                  <c:v>205.5692573954818</c:v>
                </c:pt>
                <c:pt idx="54">
                  <c:v>207.50686719265735</c:v>
                </c:pt>
                <c:pt idx="55">
                  <c:v>209.44934994079171</c:v>
                </c:pt>
                <c:pt idx="56">
                  <c:v>211.39680842644387</c:v>
                </c:pt>
                <c:pt idx="57">
                  <c:v>213.34933975279699</c:v>
                </c:pt>
                <c:pt idx="58">
                  <c:v>215.30703573351542</c:v>
                </c:pt>
                <c:pt idx="59">
                  <c:v>217.26998325425396</c:v>
                </c:pt>
                <c:pt idx="60">
                  <c:v>219.23826460493797</c:v>
                </c:pt>
                <c:pt idx="61">
                  <c:v>221.21195778558501</c:v>
                </c:pt>
                <c:pt idx="62">
                  <c:v>223.1911367881402</c:v>
                </c:pt>
                <c:pt idx="63">
                  <c:v>225.17587185652926</c:v>
                </c:pt>
                <c:pt idx="64">
                  <c:v>227.16622972690331</c:v>
                </c:pt>
                <c:pt idx="65">
                  <c:v>229.16227384984333</c:v>
                </c:pt>
                <c:pt idx="66">
                  <c:v>231.1640645961088</c:v>
                </c:pt>
                <c:pt idx="67">
                  <c:v>233.17165944736047</c:v>
                </c:pt>
                <c:pt idx="68">
                  <c:v>235.18511317313801</c:v>
                </c:pt>
                <c:pt idx="69">
                  <c:v>237.20447799525405</c:v>
                </c:pt>
                <c:pt idx="70">
                  <c:v>239.22980374064952</c:v>
                </c:pt>
                <c:pt idx="71">
                  <c:v>241.26113798365708</c:v>
                </c:pt>
                <c:pt idx="72">
                  <c:v>243.29852617853081</c:v>
                </c:pt>
                <c:pt idx="73">
                  <c:v>245.34201178301925</c:v>
                </c:pt>
                <c:pt idx="74">
                  <c:v>247.39163637368927</c:v>
                </c:pt>
                <c:pt idx="75">
                  <c:v>249.44743975364156</c:v>
                </c:pt>
                <c:pt idx="76">
                  <c:v>251.50946005320645</c:v>
                </c:pt>
                <c:pt idx="77">
                  <c:v>253.57773382414979</c:v>
                </c:pt>
                <c:pt idx="78">
                  <c:v>255.65229612787832</c:v>
                </c:pt>
                <c:pt idx="79">
                  <c:v>257.73318061808988</c:v>
                </c:pt>
                <c:pt idx="80">
                  <c:v>259.82041961827463</c:v>
                </c:pt>
                <c:pt idx="81">
                  <c:v>261.91404419444103</c:v>
                </c:pt>
                <c:pt idx="82">
                  <c:v>264.01408422340927</c:v>
                </c:pt>
                <c:pt idx="83">
                  <c:v>266.12056845698532</c:v>
                </c:pt>
                <c:pt idx="84">
                  <c:v>268.23352458230511</c:v>
                </c:pt>
                <c:pt idx="85">
                  <c:v>270.35297927861325</c:v>
                </c:pt>
                <c:pt idx="86">
                  <c:v>272.4789582707221</c:v>
                </c:pt>
                <c:pt idx="87">
                  <c:v>274.61148637937572</c:v>
                </c:pt>
                <c:pt idx="88">
                  <c:v>276.75058756872517</c:v>
                </c:pt>
                <c:pt idx="89">
                  <c:v>278.89628499110978</c:v>
                </c:pt>
                <c:pt idx="90">
                  <c:v>281.04860102931997</c:v>
                </c:pt>
                <c:pt idx="91">
                  <c:v>283.20755733650418</c:v>
                </c:pt>
                <c:pt idx="92">
                  <c:v>285.37317487387526</c:v>
                </c:pt>
                <c:pt idx="93">
                  <c:v>287.54547394635307</c:v>
                </c:pt>
                <c:pt idx="94">
                  <c:v>289.72447423627727</c:v>
                </c:pt>
                <c:pt idx="95">
                  <c:v>291.9101948353067</c:v>
                </c:pt>
                <c:pt idx="96">
                  <c:v>294.10265427462292</c:v>
                </c:pt>
                <c:pt idx="97">
                  <c:v>296.3018705535377</c:v>
                </c:pt>
                <c:pt idx="98">
                  <c:v>298.50786116660413</c:v>
                </c:pt>
                <c:pt idx="99">
                  <c:v>300.7206431293215</c:v>
                </c:pt>
                <c:pt idx="100">
                  <c:v>302.94023300251575</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54.107595884769026</c:v>
                </c:pt>
                <c:pt idx="1">
                  <c:v>54.182160204854995</c:v>
                </c:pt>
                <c:pt idx="2">
                  <c:v>54.339892417134344</c:v>
                </c:pt>
                <c:pt idx="3">
                  <c:v>54.497683443879801</c:v>
                </c:pt>
                <c:pt idx="4">
                  <c:v>54.655533276552184</c:v>
                </c:pt>
                <c:pt idx="5">
                  <c:v>54.813441906613832</c:v>
                </c:pt>
                <c:pt idx="6">
                  <c:v>54.971409325528803</c:v>
                </c:pt>
                <c:pt idx="7">
                  <c:v>55.129435524762812</c:v>
                </c:pt>
                <c:pt idx="8">
                  <c:v>55.287520495783205</c:v>
                </c:pt>
                <c:pt idx="9">
                  <c:v>55.445664230058995</c:v>
                </c:pt>
                <c:pt idx="10">
                  <c:v>55.603866719060839</c:v>
                </c:pt>
                <c:pt idx="11">
                  <c:v>55.762127954261032</c:v>
                </c:pt>
                <c:pt idx="12">
                  <c:v>55.920447927133566</c:v>
                </c:pt>
                <c:pt idx="13">
                  <c:v>56.078826629153994</c:v>
                </c:pt>
                <c:pt idx="14">
                  <c:v>56.849323840676924</c:v>
                </c:pt>
                <c:pt idx="15">
                  <c:v>60.741984032442865</c:v>
                </c:pt>
                <c:pt idx="16">
                  <c:v>64.493636754197183</c:v>
                </c:pt>
                <c:pt idx="17">
                  <c:v>68.158385739695078</c:v>
                </c:pt>
                <c:pt idx="18">
                  <c:v>71.791359284521633</c:v>
                </c:pt>
                <c:pt idx="19">
                  <c:v>75.393446274995597</c:v>
                </c:pt>
                <c:pt idx="20">
                  <c:v>78.965462969976755</c:v>
                </c:pt>
                <c:pt idx="21">
                  <c:v>82.50816227759023</c:v>
                </c:pt>
                <c:pt idx="22">
                  <c:v>86.022241458742883</c:v>
                </c:pt>
                <c:pt idx="23">
                  <c:v>89.508348584360974</c:v>
                </c:pt>
                <c:pt idx="24">
                  <c:v>92.967087993916252</c:v>
                </c:pt>
                <c:pt idx="25">
                  <c:v>96.399024945253927</c:v>
                </c:pt>
                <c:pt idx="26">
                  <c:v>99.804689603353523</c:v>
                </c:pt>
                <c:pt idx="27">
                  <c:v>103.18458048400808</c:v>
                </c:pt>
                <c:pt idx="28">
                  <c:v>106.53916744447781</c:v>
                </c:pt>
                <c:pt idx="29">
                  <c:v>109.86889429486702</c:v>
                </c:pt>
                <c:pt idx="30">
                  <c:v>113.17418108981957</c:v>
                </c:pt>
                <c:pt idx="31">
                  <c:v>116.45542614907342</c:v>
                </c:pt>
                <c:pt idx="32">
                  <c:v>119.71300784670777</c:v>
                </c:pt>
                <c:pt idx="33">
                  <c:v>122.94728620199267</c:v>
                </c:pt>
                <c:pt idx="34">
                  <c:v>126.15860429920706</c:v>
                </c:pt>
                <c:pt idx="35">
                  <c:v>129.3472895593205</c:v>
                </c:pt>
                <c:pt idx="36">
                  <c:v>132.51365488279532</c:v>
                </c:pt>
                <c:pt idx="37">
                  <c:v>135.65799967979706</c:v>
                </c:pt>
                <c:pt idx="38">
                  <c:v>138.7806108016562</c:v>
                </c:pt>
                <c:pt idx="39">
                  <c:v>141.88176338539844</c:v>
                </c:pt>
                <c:pt idx="40">
                  <c:v>144.96172162148272</c:v>
                </c:pt>
                <c:pt idx="41">
                  <c:v>148.02073945347399</c:v>
                </c:pt>
                <c:pt idx="42">
                  <c:v>151.05906121720136</c:v>
                </c:pt>
                <c:pt idx="43">
                  <c:v>154.07692222595017</c:v>
                </c:pt>
                <c:pt idx="44">
                  <c:v>157.07454930739468</c:v>
                </c:pt>
                <c:pt idx="45">
                  <c:v>160.05216129725537</c:v>
                </c:pt>
                <c:pt idx="46">
                  <c:v>163.00996949405399</c:v>
                </c:pt>
                <c:pt idx="47">
                  <c:v>165.94817807880887</c:v>
                </c:pt>
                <c:pt idx="48">
                  <c:v>168.86698450306062</c:v>
                </c:pt>
                <c:pt idx="49">
                  <c:v>171.76657984822779</c:v>
                </c:pt>
                <c:pt idx="50">
                  <c:v>174.64714915895038</c:v>
                </c:pt>
                <c:pt idx="51">
                  <c:v>177.50887175278581</c:v>
                </c:pt>
                <c:pt idx="52">
                  <c:v>180.35192150836528</c:v>
                </c:pt>
                <c:pt idx="53">
                  <c:v>183.1764671338907</c:v>
                </c:pt>
                <c:pt idx="54">
                  <c:v>185.9826724176605</c:v>
                </c:pt>
                <c:pt idx="55">
                  <c:v>188.77069646213369</c:v>
                </c:pt>
                <c:pt idx="56">
                  <c:v>191.5406939028951</c:v>
                </c:pt>
                <c:pt idx="57">
                  <c:v>194.2928151137441</c:v>
                </c:pt>
                <c:pt idx="58">
                  <c:v>197.02720639901602</c:v>
                </c:pt>
                <c:pt idx="59">
                  <c:v>199.74401017413308</c:v>
                </c:pt>
                <c:pt idx="60">
                  <c:v>202.44336513529507</c:v>
                </c:pt>
                <c:pt idx="61">
                  <c:v>205.12540641912878</c:v>
                </c:pt>
                <c:pt idx="62">
                  <c:v>207.79026575304772</c:v>
                </c:pt>
                <c:pt idx="63">
                  <c:v>210.43807159699895</c:v>
                </c:pt>
                <c:pt idx="64">
                  <c:v>213.06894927722209</c:v>
                </c:pt>
                <c:pt idx="65">
                  <c:v>215.68302111258606</c:v>
                </c:pt>
                <c:pt idx="66">
                  <c:v>218.2804065340207</c:v>
                </c:pt>
                <c:pt idx="67">
                  <c:v>220.86122219752315</c:v>
                </c:pt>
                <c:pt idx="68">
                  <c:v>223.42558209116987</c:v>
                </c:pt>
                <c:pt idx="69">
                  <c:v>225.9735976365385</c:v>
                </c:pt>
                <c:pt idx="70">
                  <c:v>228.50537778490653</c:v>
                </c:pt>
                <c:pt idx="71">
                  <c:v>231.02102910856513</c:v>
                </c:pt>
                <c:pt idx="72">
                  <c:v>233.52065588756244</c:v>
                </c:pt>
                <c:pt idx="73">
                  <c:v>236.00436019216352</c:v>
                </c:pt>
                <c:pt idx="74">
                  <c:v>238.47224196129503</c:v>
                </c:pt>
                <c:pt idx="75">
                  <c:v>240.92439907721905</c:v>
                </c:pt>
                <c:pt idx="76">
                  <c:v>243.36092743666754</c:v>
                </c:pt>
                <c:pt idx="77">
                  <c:v>245.78192101864698</c:v>
                </c:pt>
                <c:pt idx="78">
                  <c:v>248.18747194911029</c:v>
                </c:pt>
                <c:pt idx="79">
                  <c:v>250.57767056267889</c:v>
                </c:pt>
                <c:pt idx="80">
                  <c:v>252.95260546158522</c:v>
                </c:pt>
                <c:pt idx="81">
                  <c:v>255.31236357199205</c:v>
                </c:pt>
                <c:pt idx="82">
                  <c:v>257.65703019783746</c:v>
                </c:pt>
                <c:pt idx="83">
                  <c:v>259.98668907234247</c:v>
                </c:pt>
                <c:pt idx="84">
                  <c:v>262.3014224073076</c:v>
                </c:pt>
                <c:pt idx="85">
                  <c:v>264.6013109403213</c:v>
                </c:pt>
                <c:pt idx="86">
                  <c:v>266.88643397998879</c:v>
                </c:pt>
                <c:pt idx="87">
                  <c:v>269.15686944928831</c:v>
                </c:pt>
                <c:pt idx="88">
                  <c:v>271.41269392715043</c:v>
                </c:pt>
                <c:pt idx="89">
                  <c:v>273.65398268835531</c:v>
                </c:pt>
                <c:pt idx="90">
                  <c:v>275.88080974183117</c:v>
                </c:pt>
                <c:pt idx="91">
                  <c:v>278.09324786743491</c:v>
                </c:pt>
                <c:pt idx="92">
                  <c:v>280.29136865129402</c:v>
                </c:pt>
                <c:pt idx="93">
                  <c:v>282.47524251977603</c:v>
                </c:pt>
                <c:pt idx="94">
                  <c:v>284.64493877215688</c:v>
                </c:pt>
                <c:pt idx="95">
                  <c:v>286.80052561204792</c:v>
                </c:pt>
                <c:pt idx="96">
                  <c:v>288.94207017764472</c:v>
                </c:pt>
                <c:pt idx="97">
                  <c:v>291.06963857084878</c:v>
                </c:pt>
                <c:pt idx="98">
                  <c:v>293.18329588531947</c:v>
                </c:pt>
                <c:pt idx="99">
                  <c:v>295.28310623350353</c:v>
                </c:pt>
                <c:pt idx="100">
                  <c:v>297.36913277268911</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Single'!$AN$110:$AN$210</c:f>
              <c:numCache>
                <c:formatCode>0.0</c:formatCode>
                <c:ptCount val="101"/>
                <c:pt idx="0">
                  <c:v>12</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204.87804878048783</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345.80640589852601</c:v>
                </c:pt>
                <c:pt idx="76">
                  <c:v>341.25632161038754</c:v>
                </c:pt>
                <c:pt idx="77">
                  <c:v>336.82442132973318</c:v>
                </c:pt>
                <c:pt idx="78">
                  <c:v>332.50615951781344</c:v>
                </c:pt>
                <c:pt idx="79">
                  <c:v>328.29722078973987</c:v>
                </c:pt>
                <c:pt idx="80">
                  <c:v>324.19350552986816</c:v>
                </c:pt>
                <c:pt idx="81">
                  <c:v>320.19111657270923</c:v>
                </c:pt>
                <c:pt idx="82">
                  <c:v>316.28634685840802</c:v>
                </c:pt>
                <c:pt idx="83">
                  <c:v>312.47566798059586</c:v>
                </c:pt>
                <c:pt idx="84">
                  <c:v>308.75571955225541</c:v>
                </c:pt>
                <c:pt idx="85">
                  <c:v>305.12329932222889</c:v>
                </c:pt>
                <c:pt idx="86">
                  <c:v>301.57535398127277</c:v>
                </c:pt>
                <c:pt idx="87">
                  <c:v>298.10897060217758</c:v>
                </c:pt>
                <c:pt idx="88">
                  <c:v>294.7213686635165</c:v>
                </c:pt>
                <c:pt idx="89">
                  <c:v>291.40989261111741</c:v>
                </c:pt>
                <c:pt idx="90">
                  <c:v>288.17200491543838</c:v>
                </c:pt>
                <c:pt idx="91">
                  <c:v>285.00527958669727</c:v>
                </c:pt>
                <c:pt idx="92">
                  <c:v>281.90739611292884</c:v>
                </c:pt>
                <c:pt idx="93">
                  <c:v>278.87613378913392</c:v>
                </c:pt>
                <c:pt idx="94">
                  <c:v>275.9093664083984</c:v>
                </c:pt>
                <c:pt idx="95">
                  <c:v>273.00505728830996</c:v>
                </c:pt>
                <c:pt idx="96">
                  <c:v>270.16125460822354</c:v>
                </c:pt>
                <c:pt idx="97">
                  <c:v>267.37608703494283</c:v>
                </c:pt>
                <c:pt idx="98">
                  <c:v>264.64775961621893</c:v>
                </c:pt>
                <c:pt idx="99">
                  <c:v>261.97454992312583</c:v>
                </c:pt>
                <c:pt idx="100">
                  <c:v>259.35480442389445</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Single'!$AN$5:$AN$105</c:f>
              <c:numCache>
                <c:formatCode>0.0</c:formatCode>
                <c:ptCount val="101"/>
                <c:pt idx="0">
                  <c:v>12</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204.87804878048783</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Single'!$AN$216:$AN$316</c:f>
              <c:numCache>
                <c:formatCode>0.0</c:formatCode>
                <c:ptCount val="101"/>
                <c:pt idx="0">
                  <c:v>12</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204.87804878048783</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c:v>
                </c:pt>
                <c:pt idx="15">
                  <c:v>0.82</c:v>
                </c:pt>
                <c:pt idx="16">
                  <c:v>0.83650064753909981</c:v>
                </c:pt>
                <c:pt idx="17">
                  <c:v>0.86224513142531956</c:v>
                </c:pt>
                <c:pt idx="18">
                  <c:v>0.88724292051275333</c:v>
                </c:pt>
                <c:pt idx="19">
                  <c:v>0.91155544720731785</c:v>
                </c:pt>
                <c:pt idx="20">
                  <c:v>0.93523615556000961</c:v>
                </c:pt>
                <c:pt idx="21">
                  <c:v>0.95833188405687497</c:v>
                </c:pt>
                <c:pt idx="22">
                  <c:v>0.98088395507997439</c:v>
                </c:pt>
                <c:pt idx="23">
                  <c:v>1.0029290436848792</c:v>
                </c:pt>
                <c:pt idx="24">
                  <c:v>1.0244998779892556</c:v>
                </c:pt>
                <c:pt idx="25">
                  <c:v>1.0456258094238746</c:v>
                </c:pt>
                <c:pt idx="26">
                  <c:v>1.0663332812337174</c:v>
                </c:pt>
                <c:pt idx="27">
                  <c:v>1.0866462165764899</c:v>
                </c:pt>
                <c:pt idx="28">
                  <c:v>1.1065863424664761</c:v>
                </c:pt>
                <c:pt idx="29">
                  <c:v>1.126173462068196</c:v>
                </c:pt>
                <c:pt idx="30">
                  <c:v>1.1454256850621083</c:v>
                </c:pt>
                <c:pt idx="31">
                  <c:v>1.1643596237131091</c:v>
                </c:pt>
                <c:pt idx="32">
                  <c:v>1.182990560683671</c:v>
                </c:pt>
                <c:pt idx="33">
                  <c:v>1.2013325934144965</c:v>
                </c:pt>
                <c:pt idx="34">
                  <c:v>1.2193987589518587</c:v>
                </c:pt>
                <c:pt idx="35">
                  <c:v>1.2372011423639515</c:v>
                </c:pt>
                <c:pt idx="36">
                  <c:v>1.2547509713086498</c:v>
                </c:pt>
                <c:pt idx="37">
                  <c:v>1.2720586988552585</c:v>
                </c:pt>
                <c:pt idx="38">
                  <c:v>1.2891340762956607</c:v>
                </c:pt>
                <c:pt idx="39">
                  <c:v>1.3059862173851606</c:v>
                </c:pt>
                <c:pt idx="40">
                  <c:v>1.3226236552146393</c:v>
                </c:pt>
                <c:pt idx="41">
                  <c:v>1.3390543927214706</c:v>
                </c:pt>
                <c:pt idx="42">
                  <c:v>1.355285947687793</c:v>
                </c:pt>
                <c:pt idx="43">
                  <c:v>1.3713253929441156</c:v>
                </c:pt>
                <c:pt idx="44">
                  <c:v>1.3871793923882616</c:v>
                </c:pt>
                <c:pt idx="45">
                  <c:v>1.4028542333400145</c:v>
                </c:pt>
                <c:pt idx="46">
                  <c:v>1.4183558556770346</c:v>
                </c:pt>
                <c:pt idx="47">
                  <c:v>1.4336898781349705</c:v>
                </c:pt>
                <c:pt idx="48">
                  <c:v>1.4488616221019863</c:v>
                </c:pt>
                <c:pt idx="49">
                  <c:v>1.4638761331934245</c:v>
                </c:pt>
                <c:pt idx="50">
                  <c:v>1.4787382008545888</c:v>
                </c:pt>
                <c:pt idx="51">
                  <c:v>1.4934523762075573</c:v>
                </c:pt>
                <c:pt idx="52">
                  <c:v>1.5080229883305269</c:v>
                </c:pt>
                <c:pt idx="53">
                  <c:v>1.5224541591347394</c:v>
                </c:pt>
                <c:pt idx="54">
                  <c:v>1.5367498169838836</c:v>
                </c:pt>
                <c:pt idx="55">
                  <c:v>1.5509137091835037</c:v>
                </c:pt>
                <c:pt idx="56">
                  <c:v>1.5649494134529289</c:v>
                </c:pt>
                <c:pt idx="57">
                  <c:v>1.5788603484792438</c:v>
                </c:pt>
                <c:pt idx="58">
                  <c:v>1.592649783641505</c:v>
                </c:pt>
                <c:pt idx="59">
                  <c:v>1.6063208479835733</c:v>
                </c:pt>
                <c:pt idx="60">
                  <c:v>1.6198765385053269</c:v>
                </c:pt>
                <c:pt idx="61">
                  <c:v>1.63331972783449</c:v>
                </c:pt>
                <c:pt idx="62">
                  <c:v>1.6466531713347126</c:v>
                </c:pt>
                <c:pt idx="63">
                  <c:v>1.6598795136997142</c:v>
                </c:pt>
                <c:pt idx="64">
                  <c:v>1.6730012950781996</c:v>
                </c:pt>
                <c:pt idx="65">
                  <c:v>1.6860209567697153</c:v>
                </c:pt>
                <c:pt idx="66">
                  <c:v>1.6989408465276239</c:v>
                </c:pt>
                <c:pt idx="67">
                  <c:v>1.7117632235018174</c:v>
                </c:pt>
                <c:pt idx="68">
                  <c:v>1.7244902628506391</c:v>
                </c:pt>
                <c:pt idx="69">
                  <c:v>1.7371240600486768</c:v>
                </c:pt>
                <c:pt idx="70">
                  <c:v>1.7496666349145864</c:v>
                </c:pt>
                <c:pt idx="71">
                  <c:v>1.7621199353808656</c:v>
                </c:pt>
                <c:pt idx="72">
                  <c:v>1.7744858410255067</c:v>
                </c:pt>
                <c:pt idx="73">
                  <c:v>1.786766166383652</c:v>
                </c:pt>
                <c:pt idx="74">
                  <c:v>1.7989626640557792</c:v>
                </c:pt>
                <c:pt idx="75">
                  <c:v>1.8110770276274832</c:v>
                </c:pt>
                <c:pt idx="76">
                  <c:v>1.8231108944146357</c:v>
                </c:pt>
                <c:pt idx="77">
                  <c:v>1.8350658480465125</c:v>
                </c:pt>
                <c:pt idx="78">
                  <c:v>1.9418265582655829</c:v>
                </c:pt>
                <c:pt idx="79">
                  <c:v>1.9667217705510391</c:v>
                </c:pt>
                <c:pt idx="80">
                  <c:v>1.9916169828364954</c:v>
                </c:pt>
                <c:pt idx="81">
                  <c:v>2.0165121951219516</c:v>
                </c:pt>
                <c:pt idx="82">
                  <c:v>2.0414074074074073</c:v>
                </c:pt>
                <c:pt idx="83">
                  <c:v>2.0663026196928636</c:v>
                </c:pt>
                <c:pt idx="84">
                  <c:v>2.0911978319783198</c:v>
                </c:pt>
                <c:pt idx="85">
                  <c:v>2.1160930442637764</c:v>
                </c:pt>
                <c:pt idx="86">
                  <c:v>2.1409882565492322</c:v>
                </c:pt>
                <c:pt idx="87">
                  <c:v>2.1658834688346889</c:v>
                </c:pt>
                <c:pt idx="88">
                  <c:v>2.1907786811201446</c:v>
                </c:pt>
                <c:pt idx="89">
                  <c:v>2.2156738934056008</c:v>
                </c:pt>
                <c:pt idx="90">
                  <c:v>2.2405691056910571</c:v>
                </c:pt>
                <c:pt idx="91">
                  <c:v>2.2654643179765133</c:v>
                </c:pt>
                <c:pt idx="92">
                  <c:v>2.2903595302619695</c:v>
                </c:pt>
                <c:pt idx="93">
                  <c:v>2.3152547425474257</c:v>
                </c:pt>
                <c:pt idx="94">
                  <c:v>2.3401499548328819</c:v>
                </c:pt>
                <c:pt idx="95">
                  <c:v>2.3650451671183381</c:v>
                </c:pt>
                <c:pt idx="96">
                  <c:v>2.3899403794037939</c:v>
                </c:pt>
                <c:pt idx="97">
                  <c:v>2.4148355916892505</c:v>
                </c:pt>
                <c:pt idx="98">
                  <c:v>2.4397308039747063</c:v>
                </c:pt>
                <c:pt idx="99">
                  <c:v>2.4646260162601625</c:v>
                </c:pt>
                <c:pt idx="100">
                  <c:v>2.4895212285456192</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Single'!$AJ$5:$AJ$105</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0.82480076157596771</c:v>
                </c:pt>
                <c:pt idx="15">
                  <c:v>0.85374989832437975</c:v>
                </c:pt>
                <c:pt idx="16">
                  <c:v>0.8817491034764261</c:v>
                </c:pt>
                <c:pt idx="17">
                  <c:v>0.90888617223174539</c:v>
                </c:pt>
                <c:pt idx="18">
                  <c:v>0.93523615556000961</c:v>
                </c:pt>
                <c:pt idx="19">
                  <c:v>0.96086380890283252</c:v>
                </c:pt>
                <c:pt idx="20">
                  <c:v>0.98582546723639253</c:v>
                </c:pt>
                <c:pt idx="21">
                  <c:v>1.0101705026600432</c:v>
                </c:pt>
                <c:pt idx="22">
                  <c:v>1.0339424727890023</c:v>
                </c:pt>
                <c:pt idx="23">
                  <c:v>1.0571800365262436</c:v>
                </c:pt>
                <c:pt idx="24">
                  <c:v>1.0799176923368845</c:v>
                </c:pt>
                <c:pt idx="25">
                  <c:v>1.1021863793455327</c:v>
                </c:pt>
                <c:pt idx="26">
                  <c:v>1.1240139711798103</c:v>
                </c:pt>
                <c:pt idx="27">
                  <c:v>1.1454256850621083</c:v>
                </c:pt>
                <c:pt idx="28">
                  <c:v>1.1664444232763911</c:v>
                </c:pt>
                <c:pt idx="29">
                  <c:v>1.1870910601909126</c:v>
                </c:pt>
                <c:pt idx="30">
                  <c:v>1.2073846850849888</c:v>
                </c:pt>
                <c:pt idx="31">
                  <c:v>1.2273428088233418</c:v>
                </c:pt>
                <c:pt idx="32">
                  <c:v>1.2469815407466793</c:v>
                </c:pt>
                <c:pt idx="33">
                  <c:v>1.2663157408622683</c:v>
                </c:pt>
                <c:pt idx="34">
                  <c:v>1.285359151423503</c:v>
                </c:pt>
                <c:pt idx="35">
                  <c:v>1.304124511210774</c:v>
                </c:pt>
                <c:pt idx="36">
                  <c:v>1.3226236552146393</c:v>
                </c:pt>
                <c:pt idx="37">
                  <c:v>1.3408676019376131</c:v>
                </c:pt>
                <c:pt idx="38">
                  <c:v>1.3588666301438557</c:v>
                </c:pt>
                <c:pt idx="39">
                  <c:v>1.3766303465749659</c:v>
                </c:pt>
                <c:pt idx="40">
                  <c:v>1.3941677458984996</c:v>
                </c:pt>
                <c:pt idx="41">
                  <c:v>1.4114872639511473</c:v>
                </c:pt>
                <c:pt idx="42">
                  <c:v>1.4285968251710797</c:v>
                </c:pt>
                <c:pt idx="43">
                  <c:v>1.4455038849762669</c:v>
                </c:pt>
                <c:pt idx="44">
                  <c:v>1.4622154677317818</c:v>
                </c:pt>
                <c:pt idx="45">
                  <c:v>1.4787382008545888</c:v>
                </c:pt>
                <c:pt idx="46">
                  <c:v>1.4950783455254975</c:v>
                </c:pt>
                <c:pt idx="47">
                  <c:v>1.5112418244119143</c:v>
                </c:pt>
                <c:pt idx="48">
                  <c:v>1.5272342467494775</c:v>
                </c:pt>
                <c:pt idx="49">
                  <c:v>1.5430609310837458</c:v>
                </c:pt>
                <c:pt idx="50">
                  <c:v>1.5587269259333494</c:v>
                </c:pt>
                <c:pt idx="51">
                  <c:v>1.5742370286021803</c:v>
                </c:pt>
                <c:pt idx="52">
                  <c:v>1.5895958023393288</c:v>
                </c:pt>
                <c:pt idx="53">
                  <c:v>1.6048075920207403</c:v>
                </c:pt>
                <c:pt idx="54">
                  <c:v>1.6198765385053269</c:v>
                </c:pt>
                <c:pt idx="55">
                  <c:v>1.6348065917999572</c:v>
                </c:pt>
                <c:pt idx="56">
                  <c:v>1.6496015231519354</c:v>
                </c:pt>
                <c:pt idx="57">
                  <c:v>1.6642649361738584</c:v>
                </c:pt>
                <c:pt idx="58">
                  <c:v>1.6788002770938446</c:v>
                </c:pt>
                <c:pt idx="59">
                  <c:v>1.693210844213727</c:v>
                </c:pt>
                <c:pt idx="60">
                  <c:v>1.7074997966487595</c:v>
                </c:pt>
                <c:pt idx="61">
                  <c:v>1.721670162414435</c:v>
                </c:pt>
                <c:pt idx="62">
                  <c:v>1.7357248459190586</c:v>
                </c:pt>
                <c:pt idx="63">
                  <c:v>1.7496666349145864</c:v>
                </c:pt>
                <c:pt idx="64">
                  <c:v>1.7634982069528522</c:v>
                </c:pt>
                <c:pt idx="65">
                  <c:v>1.7772221353895292</c:v>
                </c:pt>
                <c:pt idx="66">
                  <c:v>1.7908408949739534</c:v>
                </c:pt>
                <c:pt idx="67">
                  <c:v>1.8043568670592032</c:v>
                </c:pt>
                <c:pt idx="68">
                  <c:v>1.8177723444634908</c:v>
                </c:pt>
                <c:pt idx="69">
                  <c:v>1.8310895360109751</c:v>
                </c:pt>
                <c:pt idx="70">
                  <c:v>1.8443105707774601</c:v>
                </c:pt>
                <c:pt idx="71">
                  <c:v>1.8574375020640865</c:v>
                </c:pt>
                <c:pt idx="72">
                  <c:v>1.8704723111200192</c:v>
                </c:pt>
                <c:pt idx="73">
                  <c:v>1.8834169106332399</c:v>
                </c:pt>
                <c:pt idx="74">
                  <c:v>1.8962731480068611</c:v>
                </c:pt>
                <c:pt idx="75">
                  <c:v>1.9090428084368469</c:v>
                </c:pt>
                <c:pt idx="76">
                  <c:v>1.921727617805665</c:v>
                </c:pt>
                <c:pt idx="77">
                  <c:v>1.9343292454051428</c:v>
                </c:pt>
                <c:pt idx="78">
                  <c:v>1.9468493065006911</c:v>
                </c:pt>
                <c:pt idx="79">
                  <c:v>1.9592893647480492</c:v>
                </c:pt>
                <c:pt idx="80">
                  <c:v>1.9716509344727851</c:v>
                </c:pt>
                <c:pt idx="81">
                  <c:v>1.9839354828219591</c:v>
                </c:pt>
                <c:pt idx="82">
                  <c:v>1.9961444317966053</c:v>
                </c:pt>
                <c:pt idx="83">
                  <c:v>2.0082791601730037</c:v>
                </c:pt>
                <c:pt idx="84">
                  <c:v>2.0203410053200863</c:v>
                </c:pt>
                <c:pt idx="85">
                  <c:v>2.0323312649197645</c:v>
                </c:pt>
                <c:pt idx="86">
                  <c:v>2.0442511985964349</c:v>
                </c:pt>
                <c:pt idx="87">
                  <c:v>2.0561020294614649</c:v>
                </c:pt>
                <c:pt idx="88">
                  <c:v>2.0678849455780046</c:v>
                </c:pt>
                <c:pt idx="89">
                  <c:v>2.0796011013511073</c:v>
                </c:pt>
                <c:pt idx="90">
                  <c:v>2.0912516188477492</c:v>
                </c:pt>
                <c:pt idx="91">
                  <c:v>2.1028375890510245</c:v>
                </c:pt>
                <c:pt idx="92">
                  <c:v>2.1143600730524872</c:v>
                </c:pt>
                <c:pt idx="93">
                  <c:v>2.1258201031863231</c:v>
                </c:pt>
                <c:pt idx="94">
                  <c:v>2.137218684108789</c:v>
                </c:pt>
                <c:pt idx="95">
                  <c:v>2.148556793826101</c:v>
                </c:pt>
                <c:pt idx="96">
                  <c:v>2.159835384673769</c:v>
                </c:pt>
                <c:pt idx="97">
                  <c:v>2.1710553842501303</c:v>
                </c:pt>
                <c:pt idx="98">
                  <c:v>2.1822176963066888</c:v>
                </c:pt>
                <c:pt idx="99">
                  <c:v>2.1933232015976727</c:v>
                </c:pt>
                <c:pt idx="100">
                  <c:v>2.2043727586910653</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0.82</c:v>
                </c:pt>
                <c:pt idx="15">
                  <c:v>0.82</c:v>
                </c:pt>
                <c:pt idx="16">
                  <c:v>0.83650064753909981</c:v>
                </c:pt>
                <c:pt idx="17">
                  <c:v>0.86224513142531956</c:v>
                </c:pt>
                <c:pt idx="18">
                  <c:v>0.88724292051275333</c:v>
                </c:pt>
                <c:pt idx="19">
                  <c:v>0.91155544720731785</c:v>
                </c:pt>
                <c:pt idx="20">
                  <c:v>0.93523615556000961</c:v>
                </c:pt>
                <c:pt idx="21">
                  <c:v>0.95833188405687497</c:v>
                </c:pt>
                <c:pt idx="22">
                  <c:v>0.98088395507997439</c:v>
                </c:pt>
                <c:pt idx="23">
                  <c:v>1.0029290436848792</c:v>
                </c:pt>
                <c:pt idx="24">
                  <c:v>1.0244998779892556</c:v>
                </c:pt>
                <c:pt idx="25">
                  <c:v>1.0456258094238746</c:v>
                </c:pt>
                <c:pt idx="26">
                  <c:v>1.0663332812337174</c:v>
                </c:pt>
                <c:pt idx="27">
                  <c:v>1.0866462165764899</c:v>
                </c:pt>
                <c:pt idx="28">
                  <c:v>1.1065863424664761</c:v>
                </c:pt>
                <c:pt idx="29">
                  <c:v>1.126173462068196</c:v>
                </c:pt>
                <c:pt idx="30">
                  <c:v>1.1454256850621083</c:v>
                </c:pt>
                <c:pt idx="31">
                  <c:v>1.1643596237131091</c:v>
                </c:pt>
                <c:pt idx="32">
                  <c:v>1.182990560683671</c:v>
                </c:pt>
                <c:pt idx="33">
                  <c:v>1.2013325934144965</c:v>
                </c:pt>
                <c:pt idx="34">
                  <c:v>1.2193987589518587</c:v>
                </c:pt>
                <c:pt idx="35">
                  <c:v>1.2372011423639515</c:v>
                </c:pt>
                <c:pt idx="36">
                  <c:v>1.2547509713086498</c:v>
                </c:pt>
                <c:pt idx="37">
                  <c:v>1.2720586988552585</c:v>
                </c:pt>
                <c:pt idx="38">
                  <c:v>1.2891340762956607</c:v>
                </c:pt>
                <c:pt idx="39">
                  <c:v>1.3059862173851606</c:v>
                </c:pt>
                <c:pt idx="40">
                  <c:v>1.3226236552146393</c:v>
                </c:pt>
                <c:pt idx="41">
                  <c:v>1.3390543927214706</c:v>
                </c:pt>
                <c:pt idx="42">
                  <c:v>1.355285947687793</c:v>
                </c:pt>
                <c:pt idx="43">
                  <c:v>1.3713253929441156</c:v>
                </c:pt>
                <c:pt idx="44">
                  <c:v>1.3871793923882616</c:v>
                </c:pt>
                <c:pt idx="45">
                  <c:v>1.4028542333400145</c:v>
                </c:pt>
                <c:pt idx="46">
                  <c:v>1.4183558556770346</c:v>
                </c:pt>
                <c:pt idx="47">
                  <c:v>1.4336898781349705</c:v>
                </c:pt>
                <c:pt idx="48">
                  <c:v>1.4488616221019863</c:v>
                </c:pt>
                <c:pt idx="49">
                  <c:v>1.4638761331934245</c:v>
                </c:pt>
                <c:pt idx="50">
                  <c:v>1.4787382008545888</c:v>
                </c:pt>
                <c:pt idx="51">
                  <c:v>1.4934523762075573</c:v>
                </c:pt>
                <c:pt idx="52">
                  <c:v>1.5080229883305269</c:v>
                </c:pt>
                <c:pt idx="53">
                  <c:v>1.5224541591347394</c:v>
                </c:pt>
                <c:pt idx="54">
                  <c:v>1.5367498169838836</c:v>
                </c:pt>
                <c:pt idx="55">
                  <c:v>1.5509137091835037</c:v>
                </c:pt>
                <c:pt idx="56">
                  <c:v>1.5649494134529289</c:v>
                </c:pt>
                <c:pt idx="57">
                  <c:v>1.5788603484792438</c:v>
                </c:pt>
                <c:pt idx="58">
                  <c:v>1.592649783641505</c:v>
                </c:pt>
                <c:pt idx="59">
                  <c:v>1.6063208479835733</c:v>
                </c:pt>
                <c:pt idx="60">
                  <c:v>1.6198765385053269</c:v>
                </c:pt>
                <c:pt idx="61">
                  <c:v>1.63331972783449</c:v>
                </c:pt>
                <c:pt idx="62">
                  <c:v>1.6466531713347126</c:v>
                </c:pt>
                <c:pt idx="63">
                  <c:v>1.6598795136997142</c:v>
                </c:pt>
                <c:pt idx="64">
                  <c:v>1.6730012950781996</c:v>
                </c:pt>
                <c:pt idx="65">
                  <c:v>1.6860209567697153</c:v>
                </c:pt>
                <c:pt idx="66">
                  <c:v>1.6989408465276239</c:v>
                </c:pt>
                <c:pt idx="67">
                  <c:v>1.7117632235018174</c:v>
                </c:pt>
                <c:pt idx="68">
                  <c:v>1.7244902628506391</c:v>
                </c:pt>
                <c:pt idx="69">
                  <c:v>1.7371240600486768</c:v>
                </c:pt>
                <c:pt idx="70">
                  <c:v>1.7496666349145864</c:v>
                </c:pt>
                <c:pt idx="71">
                  <c:v>1.7621199353808656</c:v>
                </c:pt>
                <c:pt idx="72">
                  <c:v>1.7744858410255067</c:v>
                </c:pt>
                <c:pt idx="73">
                  <c:v>1.786766166383652</c:v>
                </c:pt>
                <c:pt idx="74">
                  <c:v>1.7989626640557792</c:v>
                </c:pt>
                <c:pt idx="75">
                  <c:v>1.8110770276274832</c:v>
                </c:pt>
                <c:pt idx="76">
                  <c:v>1.8231108944146357</c:v>
                </c:pt>
                <c:pt idx="77">
                  <c:v>1.8350658480465125</c:v>
                </c:pt>
                <c:pt idx="78">
                  <c:v>1.8469434208984312</c:v>
                </c:pt>
                <c:pt idx="79">
                  <c:v>1.8587450963844754</c:v>
                </c:pt>
                <c:pt idx="80">
                  <c:v>1.8704723111200192</c:v>
                </c:pt>
                <c:pt idx="81">
                  <c:v>1.8821264569629745</c:v>
                </c:pt>
                <c:pt idx="82">
                  <c:v>1.8937088829419724</c:v>
                </c:pt>
                <c:pt idx="83">
                  <c:v>1.905220897079041</c:v>
                </c:pt>
                <c:pt idx="84">
                  <c:v>1.9166637681137499</c:v>
                </c:pt>
                <c:pt idx="85">
                  <c:v>1.9280387271352546</c:v>
                </c:pt>
                <c:pt idx="86">
                  <c:v>1.9393469691281819</c:v>
                </c:pt>
                <c:pt idx="87">
                  <c:v>1.9505896544378571</c:v>
                </c:pt>
                <c:pt idx="88">
                  <c:v>1.9617679101599488</c:v>
                </c:pt>
                <c:pt idx="89">
                  <c:v>1.9728828314592495</c:v>
                </c:pt>
                <c:pt idx="90">
                  <c:v>1.9839354828219591</c:v>
                </c:pt>
                <c:pt idx="91">
                  <c:v>1.9949268992455169</c:v>
                </c:pt>
                <c:pt idx="92">
                  <c:v>2.0058580873697585</c:v>
                </c:pt>
                <c:pt idx="93">
                  <c:v>2.0167300265528847</c:v>
                </c:pt>
                <c:pt idx="94">
                  <c:v>2.0275436698955049</c:v>
                </c:pt>
                <c:pt idx="95">
                  <c:v>2.0382999452157833</c:v>
                </c:pt>
                <c:pt idx="96">
                  <c:v>2.0489997559785111</c:v>
                </c:pt>
                <c:pt idx="97">
                  <c:v>2.0596439821807389</c:v>
                </c:pt>
                <c:pt idx="98">
                  <c:v>2.070233481196424</c:v>
                </c:pt>
                <c:pt idx="99">
                  <c:v>2.0807690885823922</c:v>
                </c:pt>
                <c:pt idx="100">
                  <c:v>2.0912516188477492</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342.8919124288289</c:v>
                </c:pt>
                <c:pt idx="41">
                  <c:v>334.52869505251601</c:v>
                </c:pt>
                <c:pt idx="42">
                  <c:v>326.56372612269422</c:v>
                </c:pt>
                <c:pt idx="43">
                  <c:v>318.96922086402685</c:v>
                </c:pt>
                <c:pt idx="44">
                  <c:v>311.71992038984445</c:v>
                </c:pt>
                <c:pt idx="45">
                  <c:v>304.79281104784781</c:v>
                </c:pt>
                <c:pt idx="46">
                  <c:v>298.16688037289464</c:v>
                </c:pt>
                <c:pt idx="47">
                  <c:v>291.82290419474799</c:v>
                </c:pt>
                <c:pt idx="48">
                  <c:v>285.74326035735743</c:v>
                </c:pt>
                <c:pt idx="49">
                  <c:v>279.91176524802358</c:v>
                </c:pt>
                <c:pt idx="50">
                  <c:v>274.31352994306314</c:v>
                </c:pt>
                <c:pt idx="51">
                  <c:v>268.93483327751284</c:v>
                </c:pt>
                <c:pt idx="52">
                  <c:v>263.76300956063756</c:v>
                </c:pt>
                <c:pt idx="53">
                  <c:v>258.78634900288972</c:v>
                </c:pt>
                <c:pt idx="54">
                  <c:v>253.99400920653986</c:v>
                </c:pt>
                <c:pt idx="55">
                  <c:v>249.37593631187545</c:v>
                </c:pt>
                <c:pt idx="56">
                  <c:v>244.92279459202058</c:v>
                </c:pt>
                <c:pt idx="57">
                  <c:v>240.62590345882731</c:v>
                </c:pt>
                <c:pt idx="58">
                  <c:v>236.47718098539926</c:v>
                </c:pt>
                <c:pt idx="59">
                  <c:v>232.46909317208738</c:v>
                </c:pt>
                <c:pt idx="60">
                  <c:v>228.5946082858859</c:v>
                </c:pt>
                <c:pt idx="61">
                  <c:v>224.84715569103534</c:v>
                </c:pt>
                <c:pt idx="62">
                  <c:v>221.22058866376057</c:v>
                </c:pt>
                <c:pt idx="63">
                  <c:v>217.70915074846275</c:v>
                </c:pt>
                <c:pt idx="64">
                  <c:v>214.30744526801806</c:v>
                </c:pt>
                <c:pt idx="65">
                  <c:v>211.01040764851004</c:v>
                </c:pt>
                <c:pt idx="66">
                  <c:v>207.81328025989632</c:v>
                </c:pt>
                <c:pt idx="67">
                  <c:v>204.71158950974856</c:v>
                </c:pt>
                <c:pt idx="68">
                  <c:v>201.70112495813467</c:v>
                </c:pt>
                <c:pt idx="69">
                  <c:v>198.77792024859644</c:v>
                </c:pt>
                <c:pt idx="70">
                  <c:v>195.93823567361648</c:v>
                </c:pt>
                <c:pt idx="71">
                  <c:v>193.17854221342472</c:v>
                </c:pt>
                <c:pt idx="72">
                  <c:v>190.49550690490494</c:v>
                </c:pt>
                <c:pt idx="73">
                  <c:v>187.8859794130569</c:v>
                </c:pt>
                <c:pt idx="74">
                  <c:v>185.34697969125884</c:v>
                </c:pt>
                <c:pt idx="75">
                  <c:v>182.87568662870873</c:v>
                </c:pt>
                <c:pt idx="76">
                  <c:v>180.46942759412048</c:v>
                </c:pt>
                <c:pt idx="77">
                  <c:v>178.12566879419677</c:v>
                </c:pt>
                <c:pt idx="78">
                  <c:v>175.84200637375838</c:v>
                </c:pt>
                <c:pt idx="79">
                  <c:v>173.61615819181208</c:v>
                </c:pt>
                <c:pt idx="80">
                  <c:v>171.44595621441445</c:v>
                </c:pt>
                <c:pt idx="81">
                  <c:v>169.32933947102663</c:v>
                </c:pt>
                <c:pt idx="82">
                  <c:v>167.26434752625801</c:v>
                </c:pt>
                <c:pt idx="83">
                  <c:v>165.24911442353198</c:v>
                </c:pt>
                <c:pt idx="84">
                  <c:v>163.28186306134711</c:v>
                </c:pt>
                <c:pt idx="85">
                  <c:v>161.3608999665077</c:v>
                </c:pt>
                <c:pt idx="86">
                  <c:v>159.48461043201343</c:v>
                </c:pt>
                <c:pt idx="87">
                  <c:v>157.65145399026611</c:v>
                </c:pt>
                <c:pt idx="88">
                  <c:v>156.9342526137828</c:v>
                </c:pt>
                <c:pt idx="89">
                  <c:v>156.33627064950034</c:v>
                </c:pt>
                <c:pt idx="90">
                  <c:v>155.74357214143717</c:v>
                </c:pt>
                <c:pt idx="91">
                  <c:v>155.15608737478689</c:v>
                </c:pt>
                <c:pt idx="92">
                  <c:v>154.57374785588095</c:v>
                </c:pt>
                <c:pt idx="93">
                  <c:v>153.99648628556824</c:v>
                </c:pt>
                <c:pt idx="94">
                  <c:v>153.42423653328777</c:v>
                </c:pt>
                <c:pt idx="95">
                  <c:v>152.85693361181382</c:v>
                </c:pt>
                <c:pt idx="96">
                  <c:v>152.29451365265362</c:v>
                </c:pt>
                <c:pt idx="97">
                  <c:v>151.73691388207686</c:v>
                </c:pt>
                <c:pt idx="98">
                  <c:v>151.18407259775955</c:v>
                </c:pt>
                <c:pt idx="99">
                  <c:v>150.63592914602293</c:v>
                </c:pt>
                <c:pt idx="100">
                  <c:v>150.09242389965024</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348.28713473734928</c:v>
                </c:pt>
                <c:pt idx="57">
                  <c:v>342.17683412792223</c:v>
                </c:pt>
                <c:pt idx="58">
                  <c:v>336.27723353950978</c:v>
                </c:pt>
                <c:pt idx="59">
                  <c:v>330.57761941172151</c:v>
                </c:pt>
                <c:pt idx="60">
                  <c:v>325.06799242152613</c:v>
                </c:pt>
                <c:pt idx="61">
                  <c:v>319.73900893920603</c:v>
                </c:pt>
                <c:pt idx="62">
                  <c:v>314.58192814986404</c:v>
                </c:pt>
                <c:pt idx="63">
                  <c:v>309.58856421097727</c:v>
                </c:pt>
                <c:pt idx="64">
                  <c:v>304.75124289518078</c:v>
                </c:pt>
                <c:pt idx="65">
                  <c:v>300.06276223525487</c:v>
                </c:pt>
                <c:pt idx="66">
                  <c:v>295.51635674684201</c:v>
                </c:pt>
                <c:pt idx="67">
                  <c:v>291.10566485509798</c:v>
                </c:pt>
                <c:pt idx="68">
                  <c:v>286.82469919546423</c:v>
                </c:pt>
                <c:pt idx="69">
                  <c:v>282.66781949697929</c:v>
                </c:pt>
                <c:pt idx="70">
                  <c:v>278.6297077898796</c:v>
                </c:pt>
                <c:pt idx="71">
                  <c:v>274.705345708332</c:v>
                </c:pt>
                <c:pt idx="72">
                  <c:v>270.88999368460514</c:v>
                </c:pt>
                <c:pt idx="73">
                  <c:v>267.17917185330913</c:v>
                </c:pt>
                <c:pt idx="74">
                  <c:v>263.56864250394011</c:v>
                </c:pt>
                <c:pt idx="75">
                  <c:v>260.05439393722088</c:v>
                </c:pt>
                <c:pt idx="76">
                  <c:v>256.6326255959417</c:v>
                </c:pt>
                <c:pt idx="77">
                  <c:v>253.29973435443591</c:v>
                </c:pt>
                <c:pt idx="78">
                  <c:v>250.05230186271237</c:v>
                </c:pt>
                <c:pt idx="79">
                  <c:v>246.88708285179197</c:v>
                </c:pt>
                <c:pt idx="80">
                  <c:v>243.80099431614457</c:v>
                </c:pt>
                <c:pt idx="81">
                  <c:v>240.79110549742671</c:v>
                </c:pt>
                <c:pt idx="82">
                  <c:v>237.85462860111673</c:v>
                </c:pt>
                <c:pt idx="83">
                  <c:v>234.98891018423569</c:v>
                </c:pt>
                <c:pt idx="84">
                  <c:v>232.19142315823294</c:v>
                </c:pt>
                <c:pt idx="85">
                  <c:v>229.45975935637139</c:v>
                </c:pt>
                <c:pt idx="86">
                  <c:v>226.79162261966945</c:v>
                </c:pt>
                <c:pt idx="87">
                  <c:v>224.18482235967312</c:v>
                </c:pt>
                <c:pt idx="88">
                  <c:v>221.63726756013148</c:v>
                </c:pt>
                <c:pt idx="89">
                  <c:v>219.1469611830513</c:v>
                </c:pt>
                <c:pt idx="90">
                  <c:v>216.71199494768405</c:v>
                </c:pt>
                <c:pt idx="91">
                  <c:v>214.33054445375348</c:v>
                </c:pt>
                <c:pt idx="92">
                  <c:v>212.00086462273444</c:v>
                </c:pt>
                <c:pt idx="93">
                  <c:v>209.72128543324268</c:v>
                </c:pt>
                <c:pt idx="94">
                  <c:v>207.49020792863365</c:v>
                </c:pt>
                <c:pt idx="95">
                  <c:v>205.30610047675336</c:v>
                </c:pt>
                <c:pt idx="96">
                  <c:v>203.16749526345382</c:v>
                </c:pt>
                <c:pt idx="97">
                  <c:v>201.07298500300581</c:v>
                </c:pt>
                <c:pt idx="98">
                  <c:v>199.02121984991388</c:v>
                </c:pt>
                <c:pt idx="99">
                  <c:v>197.01090449789461</c:v>
                </c:pt>
                <c:pt idx="100">
                  <c:v>195.04079545291572</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345.98627197905779</c:v>
                </c:pt>
                <c:pt idx="78">
                  <c:v>341.55055054342887</c:v>
                </c:pt>
                <c:pt idx="79">
                  <c:v>337.2271258530057</c:v>
                </c:pt>
                <c:pt idx="80">
                  <c:v>333.01178677984319</c:v>
                </c:pt>
                <c:pt idx="81">
                  <c:v>328.90053015293148</c:v>
                </c:pt>
                <c:pt idx="82">
                  <c:v>324.88954807789577</c:v>
                </c:pt>
                <c:pt idx="83">
                  <c:v>320.97521617334274</c:v>
                </c:pt>
                <c:pt idx="84">
                  <c:v>317.15408264746969</c:v>
                </c:pt>
                <c:pt idx="85">
                  <c:v>313.42285814573472</c:v>
                </c:pt>
                <c:pt idx="86">
                  <c:v>309.7784063068309</c:v>
                </c:pt>
                <c:pt idx="87">
                  <c:v>306.21773496997065</c:v>
                </c:pt>
                <c:pt idx="88">
                  <c:v>302.73798798167559</c:v>
                </c:pt>
                <c:pt idx="89">
                  <c:v>299.33643755491516</c:v>
                </c:pt>
                <c:pt idx="90">
                  <c:v>296.0104771376383</c:v>
                </c:pt>
                <c:pt idx="91">
                  <c:v>292.75761475151046</c:v>
                </c:pt>
                <c:pt idx="92">
                  <c:v>289.57546676508099</c:v>
                </c:pt>
                <c:pt idx="93">
                  <c:v>286.4617520686823</c:v>
                </c:pt>
                <c:pt idx="94">
                  <c:v>283.41428662114305</c:v>
                </c:pt>
                <c:pt idx="95">
                  <c:v>280.43097834092055</c:v>
                </c:pt>
                <c:pt idx="96">
                  <c:v>277.50982231653597</c:v>
                </c:pt>
                <c:pt idx="97">
                  <c:v>274.6488963132727</c:v>
                </c:pt>
                <c:pt idx="98">
                  <c:v>271.84635655497397</c:v>
                </c:pt>
                <c:pt idx="99">
                  <c:v>269.1004337614894</c:v>
                </c:pt>
                <c:pt idx="100">
                  <c:v>266.4094294238746</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157.65145399026611</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6.1499999999999992E-3</c:v>
                </c:pt>
                <c:pt idx="1">
                  <c:v>1.3999999999999997E-2</c:v>
                </c:pt>
                <c:pt idx="2">
                  <c:v>2.7999999999999994E-2</c:v>
                </c:pt>
                <c:pt idx="3">
                  <c:v>4.1999999999999989E-2</c:v>
                </c:pt>
                <c:pt idx="4">
                  <c:v>5.5999999999999987E-2</c:v>
                </c:pt>
                <c:pt idx="5">
                  <c:v>6.9999999999999993E-2</c:v>
                </c:pt>
                <c:pt idx="6">
                  <c:v>8.3999999999999977E-2</c:v>
                </c:pt>
                <c:pt idx="7">
                  <c:v>9.8000000000000004E-2</c:v>
                </c:pt>
                <c:pt idx="8">
                  <c:v>0.11199999999999997</c:v>
                </c:pt>
                <c:pt idx="9">
                  <c:v>0.12887441142556405</c:v>
                </c:pt>
                <c:pt idx="10">
                  <c:v>0.15093950822904065</c:v>
                </c:pt>
                <c:pt idx="11">
                  <c:v>0.17413736094597609</c:v>
                </c:pt>
                <c:pt idx="12">
                  <c:v>0.19841513634187721</c:v>
                </c:pt>
                <c:pt idx="13">
                  <c:v>0.2237267733470916</c:v>
                </c:pt>
                <c:pt idx="14">
                  <c:v>0.25003164846935116</c:v>
                </c:pt>
                <c:pt idx="15">
                  <c:v>0.27729358289082906</c:v>
                </c:pt>
                <c:pt idx="16">
                  <c:v>0.29354727046934026</c:v>
                </c:pt>
                <c:pt idx="17">
                  <c:v>0.30258160056421141</c:v>
                </c:pt>
                <c:pt idx="18">
                  <c:v>0.31135389832150806</c:v>
                </c:pt>
                <c:pt idx="19">
                  <c:v>0.31988572178201385</c:v>
                </c:pt>
                <c:pt idx="20">
                  <c:v>0.32819582568948069</c:v>
                </c:pt>
                <c:pt idx="21">
                  <c:v>0.33630064674335669</c:v>
                </c:pt>
                <c:pt idx="22">
                  <c:v>0.34421468591563609</c:v>
                </c:pt>
                <c:pt idx="23">
                  <c:v>0.35195081332481665</c:v>
                </c:pt>
                <c:pt idx="24">
                  <c:v>0.35952051401832408</c:v>
                </c:pt>
                <c:pt idx="25">
                  <c:v>0.36693408808667527</c:v>
                </c:pt>
                <c:pt idx="26">
                  <c:v>0.37420081507126624</c:v>
                </c:pt>
                <c:pt idx="27">
                  <c:v>0.38132909015704536</c:v>
                </c:pt>
                <c:pt idx="28">
                  <c:v>0.38832653785184451</c:v>
                </c:pt>
                <c:pt idx="29">
                  <c:v>0.39520010754047119</c:v>
                </c:pt>
                <c:pt idx="30">
                  <c:v>0.40195615432531939</c:v>
                </c:pt>
                <c:pt idx="31">
                  <c:v>0.40860050783130464</c:v>
                </c:pt>
                <c:pt idx="32">
                  <c:v>0.41513853109534415</c:v>
                </c:pt>
                <c:pt idx="33">
                  <c:v>0.42157517123284194</c:v>
                </c:pt>
                <c:pt idx="34">
                  <c:v>0.42791500324246634</c:v>
                </c:pt>
                <c:pt idx="35">
                  <c:v>0.43416226805193475</c:v>
                </c:pt>
                <c:pt idx="36">
                  <c:v>0.44032090570401039</c:v>
                </c:pt>
                <c:pt idx="37">
                  <c:v>0.44639458442055502</c:v>
                </c:pt>
                <c:pt idx="38">
                  <c:v>0.45238672615363057</c:v>
                </c:pt>
                <c:pt idx="39">
                  <c:v>0.45830052912908575</c:v>
                </c:pt>
                <c:pt idx="40">
                  <c:v>0.46413898780429991</c:v>
                </c:pt>
                <c:pt idx="41">
                  <c:v>0.4699049105936221</c:v>
                </c:pt>
                <c:pt idx="42">
                  <c:v>0.47560093565929834</c:v>
                </c:pt>
                <c:pt idx="43">
                  <c:v>0.48122954501983767</c:v>
                </c:pt>
                <c:pt idx="44">
                  <c:v>0.48679307718988768</c:v>
                </c:pt>
                <c:pt idx="45">
                  <c:v>0.49229373853422104</c:v>
                </c:pt>
                <c:pt idx="46">
                  <c:v>0.4977336134921973</c:v>
                </c:pt>
                <c:pt idx="47">
                  <c:v>0.50311467380707553</c:v>
                </c:pt>
                <c:pt idx="48">
                  <c:v>0.50843878687606037</c:v>
                </c:pt>
                <c:pt idx="49">
                  <c:v>0.51370772332134551</c:v>
                </c:pt>
                <c:pt idx="50">
                  <c:v>0.51892316386918014</c:v>
                </c:pt>
                <c:pt idx="51">
                  <c:v>0.52408670561272586</c:v>
                </c:pt>
                <c:pt idx="52">
                  <c:v>0.52919986772485128</c:v>
                </c:pt>
                <c:pt idx="53">
                  <c:v>0.53426409667878672</c:v>
                </c:pt>
                <c:pt idx="54">
                  <c:v>0.53928077102748617</c:v>
                </c:pt>
                <c:pt idx="55">
                  <c:v>0.54425120578644559</c:v>
                </c:pt>
                <c:pt idx="56">
                  <c:v>0.5464890404083016</c:v>
                </c:pt>
                <c:pt idx="57">
                  <c:v>0.54167406513766703</c:v>
                </c:pt>
                <c:pt idx="58">
                  <c:v>0.5369841581179231</c:v>
                </c:pt>
                <c:pt idx="59">
                  <c:v>0.5324139970660281</c:v>
                </c:pt>
                <c:pt idx="60">
                  <c:v>0.52795857148134961</c:v>
                </c:pt>
                <c:pt idx="61">
                  <c:v>0.52361315954918108</c:v>
                </c:pt>
                <c:pt idx="62">
                  <c:v>0.51937330710158713</c:v>
                </c:pt>
                <c:pt idx="63">
                  <c:v>0.51523480842245239</c:v>
                </c:pt>
                <c:pt idx="64">
                  <c:v>0.51119368870868143</c:v>
                </c:pt>
                <c:pt idx="65">
                  <c:v>0.50724618802127786</c:v>
                </c:pt>
                <c:pt idx="66">
                  <c:v>0.50338874657901189</c:v>
                </c:pt>
                <c:pt idx="67">
                  <c:v>0.4996179912639172</c:v>
                </c:pt>
                <c:pt idx="68">
                  <c:v>0.49593072322235454</c:v>
                </c:pt>
                <c:pt idx="69">
                  <c:v>0.49232390645804602</c:v>
                </c:pt>
                <c:pt idx="70">
                  <c:v>0.48879465732463701</c:v>
                </c:pt>
                <c:pt idx="71">
                  <c:v>0.48534023483513716</c:v>
                </c:pt>
                <c:pt idx="72">
                  <c:v>0.48195803171423152</c:v>
                </c:pt>
                <c:pt idx="73">
                  <c:v>0.47864556612708564</c:v>
                </c:pt>
                <c:pt idx="74">
                  <c:v>0.47540047402501756</c:v>
                </c:pt>
                <c:pt idx="75">
                  <c:v>0.47222050205439192</c:v>
                </c:pt>
                <c:pt idx="76">
                  <c:v>0.46910350098040648</c:v>
                </c:pt>
                <c:pt idx="77">
                  <c:v>0.46604741958216034</c:v>
                </c:pt>
                <c:pt idx="78">
                  <c:v>0.46305029897960104</c:v>
                </c:pt>
                <c:pt idx="79">
                  <c:v>0.46011026735670518</c:v>
                </c:pt>
                <c:pt idx="80">
                  <c:v>0.4572255350485912</c:v>
                </c:pt>
                <c:pt idx="81">
                  <c:v>0.45439438996327225</c:v>
                </c:pt>
                <c:pt idx="82">
                  <c:v>0.45161519331143785</c:v>
                </c:pt>
                <c:pt idx="83">
                  <c:v>0.44888637562006817</c:v>
                </c:pt>
                <c:pt idx="84">
                  <c:v>0.44620643300785234</c:v>
                </c:pt>
                <c:pt idx="85">
                  <c:v>0.4435739237023274</c:v>
                </c:pt>
                <c:pt idx="86">
                  <c:v>0.44098746478041878</c:v>
                </c:pt>
                <c:pt idx="87">
                  <c:v>0.43844572911563739</c:v>
                </c:pt>
                <c:pt idx="88">
                  <c:v>0.43594744251663115</c:v>
                </c:pt>
                <c:pt idx="89">
                  <c:v>0.43349138104306661</c:v>
                </c:pt>
                <c:pt idx="90">
                  <c:v>0.43107636848600839</c:v>
                </c:pt>
                <c:pt idx="91">
                  <c:v>0.42870127400100405</c:v>
                </c:pt>
                <c:pt idx="92">
                  <c:v>0.42636500988306142</c:v>
                </c:pt>
                <c:pt idx="93">
                  <c:v>0.42406652947357171</c:v>
                </c:pt>
                <c:pt idx="94">
                  <c:v>0.42180482519003015</c:v>
                </c:pt>
                <c:pt idx="95">
                  <c:v>0.4195789266701313</c:v>
                </c:pt>
                <c:pt idx="96">
                  <c:v>0.41738789902247053</c:v>
                </c:pt>
                <c:pt idx="97">
                  <c:v>0.41523084117669479</c:v>
                </c:pt>
                <c:pt idx="98">
                  <c:v>0.4131068843264839</c:v>
                </c:pt>
                <c:pt idx="99">
                  <c:v>0.41101519045925661</c:v>
                </c:pt>
                <c:pt idx="100">
                  <c:v>0.40895495096694517</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8.199999999999999E-3</c:v>
                </c:pt>
                <c:pt idx="1">
                  <c:v>1.8666666666666665E-2</c:v>
                </c:pt>
                <c:pt idx="2">
                  <c:v>3.7333333333333329E-2</c:v>
                </c:pt>
                <c:pt idx="3">
                  <c:v>5.5999999999999994E-2</c:v>
                </c:pt>
                <c:pt idx="4">
                  <c:v>7.4666666666666659E-2</c:v>
                </c:pt>
                <c:pt idx="5">
                  <c:v>9.3333333333333338E-2</c:v>
                </c:pt>
                <c:pt idx="6">
                  <c:v>0.11199999999999999</c:v>
                </c:pt>
                <c:pt idx="7">
                  <c:v>0.13066666666666668</c:v>
                </c:pt>
                <c:pt idx="8">
                  <c:v>0.14933333333333332</c:v>
                </c:pt>
                <c:pt idx="9">
                  <c:v>0.17183254856741875</c:v>
                </c:pt>
                <c:pt idx="10">
                  <c:v>0.20125267763872084</c:v>
                </c:pt>
                <c:pt idx="11">
                  <c:v>0.2321831479279681</c:v>
                </c:pt>
                <c:pt idx="12">
                  <c:v>0.26455351512250302</c:v>
                </c:pt>
                <c:pt idx="13">
                  <c:v>0.29830236446278885</c:v>
                </c:pt>
                <c:pt idx="14">
                  <c:v>0.33337553129246822</c:v>
                </c:pt>
                <c:pt idx="15">
                  <c:v>0.36972477718777202</c:v>
                </c:pt>
                <c:pt idx="16">
                  <c:v>0.39139636062578698</c:v>
                </c:pt>
                <c:pt idx="17">
                  <c:v>0.40344213408561519</c:v>
                </c:pt>
                <c:pt idx="18">
                  <c:v>0.41513853109534415</c:v>
                </c:pt>
                <c:pt idx="19">
                  <c:v>0.42651429570935179</c:v>
                </c:pt>
                <c:pt idx="20">
                  <c:v>0.43759443425264083</c:v>
                </c:pt>
                <c:pt idx="21">
                  <c:v>0.44840086232447557</c:v>
                </c:pt>
                <c:pt idx="22">
                  <c:v>0.45895291455418147</c:v>
                </c:pt>
                <c:pt idx="23">
                  <c:v>0.4692677510997556</c:v>
                </c:pt>
                <c:pt idx="24">
                  <c:v>0.47936068535776549</c:v>
                </c:pt>
                <c:pt idx="25">
                  <c:v>0.4892454507822338</c:v>
                </c:pt>
                <c:pt idx="26">
                  <c:v>0.49893442009502165</c:v>
                </c:pt>
                <c:pt idx="27">
                  <c:v>0.50843878687606048</c:v>
                </c:pt>
                <c:pt idx="28">
                  <c:v>0.51776871713579264</c:v>
                </c:pt>
                <c:pt idx="29">
                  <c:v>0.52693347672062829</c:v>
                </c:pt>
                <c:pt idx="30">
                  <c:v>0.53594153910042586</c:v>
                </c:pt>
                <c:pt idx="31">
                  <c:v>0.54480067710840618</c:v>
                </c:pt>
                <c:pt idx="32">
                  <c:v>0.5535180414604588</c:v>
                </c:pt>
                <c:pt idx="33">
                  <c:v>0.56210022831045592</c:v>
                </c:pt>
                <c:pt idx="34">
                  <c:v>0.57055333765662175</c:v>
                </c:pt>
                <c:pt idx="35">
                  <c:v>0.5788830240692463</c:v>
                </c:pt>
                <c:pt idx="36">
                  <c:v>0.58709454093868052</c:v>
                </c:pt>
                <c:pt idx="37">
                  <c:v>0.59519277922740665</c:v>
                </c:pt>
                <c:pt idx="38">
                  <c:v>0.60318230153817409</c:v>
                </c:pt>
                <c:pt idx="39">
                  <c:v>0.61106737217211438</c:v>
                </c:pt>
                <c:pt idx="40">
                  <c:v>0.60628382918475154</c:v>
                </c:pt>
                <c:pt idx="41">
                  <c:v>0.59884448205582341</c:v>
                </c:pt>
                <c:pt idx="42">
                  <c:v>0.64566929133858264</c:v>
                </c:pt>
                <c:pt idx="43">
                  <c:v>0.64566929133858264</c:v>
                </c:pt>
                <c:pt idx="44">
                  <c:v>0.64566929133858264</c:v>
                </c:pt>
                <c:pt idx="45">
                  <c:v>0.64566929133858253</c:v>
                </c:pt>
                <c:pt idx="46">
                  <c:v>0.64566929133858264</c:v>
                </c:pt>
                <c:pt idx="47">
                  <c:v>0.64566929133858275</c:v>
                </c:pt>
                <c:pt idx="48">
                  <c:v>0.64566929133858264</c:v>
                </c:pt>
                <c:pt idx="49">
                  <c:v>0.64566929133858275</c:v>
                </c:pt>
                <c:pt idx="50">
                  <c:v>0.64566929133858264</c:v>
                </c:pt>
                <c:pt idx="51">
                  <c:v>0.64566929133858286</c:v>
                </c:pt>
                <c:pt idx="52">
                  <c:v>0.64566929133858264</c:v>
                </c:pt>
                <c:pt idx="53">
                  <c:v>0.64566929133858264</c:v>
                </c:pt>
                <c:pt idx="54">
                  <c:v>0.64566929133858264</c:v>
                </c:pt>
                <c:pt idx="55">
                  <c:v>0.64566929133858253</c:v>
                </c:pt>
                <c:pt idx="56">
                  <c:v>0.64566929133858264</c:v>
                </c:pt>
                <c:pt idx="57">
                  <c:v>0.64566929133858264</c:v>
                </c:pt>
                <c:pt idx="58">
                  <c:v>0.64566929133858253</c:v>
                </c:pt>
                <c:pt idx="59">
                  <c:v>0.64566929133858264</c:v>
                </c:pt>
                <c:pt idx="60">
                  <c:v>0.64566929133858264</c:v>
                </c:pt>
                <c:pt idx="61">
                  <c:v>0.64566929133858264</c:v>
                </c:pt>
                <c:pt idx="62">
                  <c:v>0.64566929133858264</c:v>
                </c:pt>
                <c:pt idx="63">
                  <c:v>0.64566929133858264</c:v>
                </c:pt>
                <c:pt idx="64">
                  <c:v>0.64566929133858275</c:v>
                </c:pt>
                <c:pt idx="65">
                  <c:v>0.64566929133858264</c:v>
                </c:pt>
                <c:pt idx="66">
                  <c:v>0.64566929133858264</c:v>
                </c:pt>
                <c:pt idx="67">
                  <c:v>0.64566929133858253</c:v>
                </c:pt>
                <c:pt idx="68">
                  <c:v>0.64566929133858286</c:v>
                </c:pt>
                <c:pt idx="69">
                  <c:v>0.64566929133858253</c:v>
                </c:pt>
                <c:pt idx="70">
                  <c:v>0.64566929133858264</c:v>
                </c:pt>
                <c:pt idx="71">
                  <c:v>0.64566929133858264</c:v>
                </c:pt>
                <c:pt idx="72">
                  <c:v>0.64566929133858264</c:v>
                </c:pt>
                <c:pt idx="73">
                  <c:v>0.64566929133858253</c:v>
                </c:pt>
                <c:pt idx="74">
                  <c:v>0.64566929133858264</c:v>
                </c:pt>
                <c:pt idx="75">
                  <c:v>0.64566929133858264</c:v>
                </c:pt>
                <c:pt idx="76">
                  <c:v>0.64566929133858275</c:v>
                </c:pt>
                <c:pt idx="77">
                  <c:v>0.64566929133858253</c:v>
                </c:pt>
                <c:pt idx="78">
                  <c:v>0.64566929133858264</c:v>
                </c:pt>
                <c:pt idx="79">
                  <c:v>0.64566929133858264</c:v>
                </c:pt>
                <c:pt idx="80">
                  <c:v>0.64566929133858264</c:v>
                </c:pt>
                <c:pt idx="81">
                  <c:v>0.64566929133858264</c:v>
                </c:pt>
                <c:pt idx="82">
                  <c:v>0.64566929133858264</c:v>
                </c:pt>
                <c:pt idx="83">
                  <c:v>0.64566929133858264</c:v>
                </c:pt>
                <c:pt idx="84">
                  <c:v>0.64566929133858264</c:v>
                </c:pt>
                <c:pt idx="85">
                  <c:v>0.64566929133858253</c:v>
                </c:pt>
                <c:pt idx="86">
                  <c:v>0.64566929133858264</c:v>
                </c:pt>
                <c:pt idx="87">
                  <c:v>0.64566929133858275</c:v>
                </c:pt>
                <c:pt idx="88">
                  <c:v>0.64343043571650949</c:v>
                </c:pt>
                <c:pt idx="89">
                  <c:v>0.64097870966295134</c:v>
                </c:pt>
                <c:pt idx="90">
                  <c:v>0.63854864577989245</c:v>
                </c:pt>
                <c:pt idx="91">
                  <c:v>0.63613995823662617</c:v>
                </c:pt>
                <c:pt idx="92">
                  <c:v>0.63375236620911179</c:v>
                </c:pt>
                <c:pt idx="93">
                  <c:v>0.6313855937708297</c:v>
                </c:pt>
                <c:pt idx="94">
                  <c:v>0.62903936978647979</c:v>
                </c:pt>
                <c:pt idx="95">
                  <c:v>0.62671342780843664</c:v>
                </c:pt>
                <c:pt idx="96">
                  <c:v>0.6244075059758798</c:v>
                </c:pt>
                <c:pt idx="97">
                  <c:v>0.62212134691651511</c:v>
                </c:pt>
                <c:pt idx="98">
                  <c:v>0.61985469765081413</c:v>
                </c:pt>
                <c:pt idx="99">
                  <c:v>0.61760730949869402</c:v>
                </c:pt>
                <c:pt idx="100">
                  <c:v>0.61537893798856591</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4.6125000000000003E-3</c:v>
                </c:pt>
                <c:pt idx="1">
                  <c:v>1.0499999999999999E-2</c:v>
                </c:pt>
                <c:pt idx="2">
                  <c:v>2.0999999999999998E-2</c:v>
                </c:pt>
                <c:pt idx="3">
                  <c:v>3.15E-2</c:v>
                </c:pt>
                <c:pt idx="4">
                  <c:v>4.1999999999999996E-2</c:v>
                </c:pt>
                <c:pt idx="5">
                  <c:v>5.2500000000000005E-2</c:v>
                </c:pt>
                <c:pt idx="6">
                  <c:v>6.3E-2</c:v>
                </c:pt>
                <c:pt idx="7">
                  <c:v>7.350000000000001E-2</c:v>
                </c:pt>
                <c:pt idx="8">
                  <c:v>8.3999999999999991E-2</c:v>
                </c:pt>
                <c:pt idx="9">
                  <c:v>9.6655808569173038E-2</c:v>
                </c:pt>
                <c:pt idx="10">
                  <c:v>0.11320463117178048</c:v>
                </c:pt>
                <c:pt idx="11">
                  <c:v>0.13060302070948207</c:v>
                </c:pt>
                <c:pt idx="12">
                  <c:v>0.1488113522564079</c:v>
                </c:pt>
                <c:pt idx="13">
                  <c:v>0.1677950800103187</c:v>
                </c:pt>
                <c:pt idx="14">
                  <c:v>0.18752373635201336</c:v>
                </c:pt>
                <c:pt idx="15">
                  <c:v>0.2079701871681218</c:v>
                </c:pt>
                <c:pt idx="16">
                  <c:v>0.2201604528520052</c:v>
                </c:pt>
                <c:pt idx="17">
                  <c:v>0.22693620042315857</c:v>
                </c:pt>
                <c:pt idx="18">
                  <c:v>0.23351542374113107</c:v>
                </c:pt>
                <c:pt idx="19">
                  <c:v>0.23991429133651038</c:v>
                </c:pt>
                <c:pt idx="20">
                  <c:v>0.24614686926711052</c:v>
                </c:pt>
                <c:pt idx="21">
                  <c:v>0.25222548505751752</c:v>
                </c:pt>
                <c:pt idx="22">
                  <c:v>0.25816101443672707</c:v>
                </c:pt>
                <c:pt idx="23">
                  <c:v>0.2639631099936125</c:v>
                </c:pt>
                <c:pt idx="24">
                  <c:v>0.26964038551374309</c:v>
                </c:pt>
                <c:pt idx="25">
                  <c:v>0.27520056606500648</c:v>
                </c:pt>
                <c:pt idx="26">
                  <c:v>0.28065061130344965</c:v>
                </c:pt>
                <c:pt idx="27">
                  <c:v>0.285996817617784</c:v>
                </c:pt>
                <c:pt idx="28">
                  <c:v>0.29124490338888342</c:v>
                </c:pt>
                <c:pt idx="29">
                  <c:v>0.29640008065535339</c:v>
                </c:pt>
                <c:pt idx="30">
                  <c:v>0.3014671157439896</c:v>
                </c:pt>
                <c:pt idx="31">
                  <c:v>0.30645038087347848</c:v>
                </c:pt>
                <c:pt idx="32">
                  <c:v>0.31135389832150806</c:v>
                </c:pt>
                <c:pt idx="33">
                  <c:v>0.31618137842463145</c:v>
                </c:pt>
                <c:pt idx="34">
                  <c:v>0.32093625243184976</c:v>
                </c:pt>
                <c:pt idx="35">
                  <c:v>0.32562170103895105</c:v>
                </c:pt>
                <c:pt idx="36">
                  <c:v>0.33024067927800782</c:v>
                </c:pt>
                <c:pt idx="37">
                  <c:v>0.33479593831541626</c:v>
                </c:pt>
                <c:pt idx="38">
                  <c:v>0.33929004461522294</c:v>
                </c:pt>
                <c:pt idx="39">
                  <c:v>0.3437253968468143</c:v>
                </c:pt>
                <c:pt idx="40">
                  <c:v>0.34810424085322489</c:v>
                </c:pt>
                <c:pt idx="41">
                  <c:v>0.35242868294521656</c:v>
                </c:pt>
                <c:pt idx="42">
                  <c:v>0.35670070174447371</c:v>
                </c:pt>
                <c:pt idx="43">
                  <c:v>0.36092215876487821</c:v>
                </c:pt>
                <c:pt idx="44">
                  <c:v>0.36509480789241577</c:v>
                </c:pt>
                <c:pt idx="45">
                  <c:v>0.36922030390066574</c:v>
                </c:pt>
                <c:pt idx="46">
                  <c:v>0.37330021011914799</c:v>
                </c:pt>
                <c:pt idx="47">
                  <c:v>0.37733600535530659</c:v>
                </c:pt>
                <c:pt idx="48">
                  <c:v>0.3813290901570453</c:v>
                </c:pt>
                <c:pt idx="49">
                  <c:v>0.38528079249100916</c:v>
                </c:pt>
                <c:pt idx="50">
                  <c:v>0.38919237290188508</c:v>
                </c:pt>
                <c:pt idx="51">
                  <c:v>0.39306502920954439</c:v>
                </c:pt>
                <c:pt idx="52">
                  <c:v>0.39689990079363846</c:v>
                </c:pt>
                <c:pt idx="53">
                  <c:v>0.40069807250909006</c:v>
                </c:pt>
                <c:pt idx="54">
                  <c:v>0.4044605782706146</c:v>
                </c:pt>
                <c:pt idx="55">
                  <c:v>0.40818840433983417</c:v>
                </c:pt>
                <c:pt idx="56">
                  <c:v>0.41188249234460067</c:v>
                </c:pt>
                <c:pt idx="57">
                  <c:v>0.41554374205671774</c:v>
                </c:pt>
                <c:pt idx="58">
                  <c:v>0.41917301395128004</c:v>
                </c:pt>
                <c:pt idx="59">
                  <c:v>0.4227711315682518</c:v>
                </c:pt>
                <c:pt idx="60">
                  <c:v>0.42633888369464962</c:v>
                </c:pt>
                <c:pt idx="61">
                  <c:v>0.42987702638370895</c:v>
                </c:pt>
                <c:pt idx="62">
                  <c:v>0.43338628482567371</c:v>
                </c:pt>
                <c:pt idx="63">
                  <c:v>0.43686735508332497</c:v>
                </c:pt>
                <c:pt idx="64">
                  <c:v>0.44032090570401039</c:v>
                </c:pt>
                <c:pt idx="65">
                  <c:v>0.44374757921874902</c:v>
                </c:pt>
                <c:pt idx="66">
                  <c:v>0.44714799353793361</c:v>
                </c:pt>
                <c:pt idx="67">
                  <c:v>0.45052274325221359</c:v>
                </c:pt>
                <c:pt idx="68">
                  <c:v>0.45387240084631714</c:v>
                </c:pt>
                <c:pt idx="69">
                  <c:v>0.45719751783282903</c:v>
                </c:pt>
                <c:pt idx="70">
                  <c:v>0.46049862581228179</c:v>
                </c:pt>
                <c:pt idx="71">
                  <c:v>0.46377623746533198</c:v>
                </c:pt>
                <c:pt idx="72">
                  <c:v>0.46703084748226215</c:v>
                </c:pt>
                <c:pt idx="73">
                  <c:v>0.47026293343458397</c:v>
                </c:pt>
                <c:pt idx="74">
                  <c:v>0.47347295659308775</c:v>
                </c:pt>
                <c:pt idx="75">
                  <c:v>0.47666136269630671</c:v>
                </c:pt>
                <c:pt idx="76">
                  <c:v>0.47982858267302075</c:v>
                </c:pt>
                <c:pt idx="77">
                  <c:v>0.47743637496594421</c:v>
                </c:pt>
                <c:pt idx="78">
                  <c:v>0.47436601273305273</c:v>
                </c:pt>
                <c:pt idx="79">
                  <c:v>0.47135413458215741</c:v>
                </c:pt>
                <c:pt idx="80">
                  <c:v>0.50617283950617276</c:v>
                </c:pt>
                <c:pt idx="81">
                  <c:v>0.50617283950617276</c:v>
                </c:pt>
                <c:pt idx="82">
                  <c:v>0.50617283950617276</c:v>
                </c:pt>
                <c:pt idx="83">
                  <c:v>0.50617283950617276</c:v>
                </c:pt>
                <c:pt idx="84">
                  <c:v>0.50617283950617287</c:v>
                </c:pt>
                <c:pt idx="85">
                  <c:v>0.50617283950617287</c:v>
                </c:pt>
                <c:pt idx="86">
                  <c:v>0.50617283950617287</c:v>
                </c:pt>
                <c:pt idx="87">
                  <c:v>0.50617283950617287</c:v>
                </c:pt>
                <c:pt idx="88">
                  <c:v>0.50617283950617287</c:v>
                </c:pt>
                <c:pt idx="89">
                  <c:v>0.50617283950617287</c:v>
                </c:pt>
                <c:pt idx="90">
                  <c:v>0.50617283950617276</c:v>
                </c:pt>
                <c:pt idx="91">
                  <c:v>0.50617283950617287</c:v>
                </c:pt>
                <c:pt idx="92">
                  <c:v>0.50617283950617276</c:v>
                </c:pt>
                <c:pt idx="93">
                  <c:v>0.50617283950617287</c:v>
                </c:pt>
                <c:pt idx="94">
                  <c:v>0.50617283950617276</c:v>
                </c:pt>
                <c:pt idx="95">
                  <c:v>0.50617283950617287</c:v>
                </c:pt>
                <c:pt idx="96">
                  <c:v>0.50617283950617276</c:v>
                </c:pt>
                <c:pt idx="97">
                  <c:v>0.50617283950617276</c:v>
                </c:pt>
                <c:pt idx="98">
                  <c:v>0.50617283950617287</c:v>
                </c:pt>
                <c:pt idx="99">
                  <c:v>0.50617283950617276</c:v>
                </c:pt>
                <c:pt idx="100">
                  <c:v>0.50617283950617287</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342.8919124288289</c:v>
                </c:pt>
                <c:pt idx="41">
                  <c:v>334.52869505251601</c:v>
                </c:pt>
                <c:pt idx="42">
                  <c:v>326.56372612269422</c:v>
                </c:pt>
                <c:pt idx="43">
                  <c:v>318.96922086402685</c:v>
                </c:pt>
                <c:pt idx="44">
                  <c:v>311.71992038984445</c:v>
                </c:pt>
                <c:pt idx="45">
                  <c:v>304.79281104784781</c:v>
                </c:pt>
                <c:pt idx="46">
                  <c:v>298.16688037289464</c:v>
                </c:pt>
                <c:pt idx="47">
                  <c:v>291.82290419474799</c:v>
                </c:pt>
                <c:pt idx="48">
                  <c:v>285.74326035735743</c:v>
                </c:pt>
                <c:pt idx="49">
                  <c:v>279.91176524802358</c:v>
                </c:pt>
                <c:pt idx="50">
                  <c:v>274.31352994306314</c:v>
                </c:pt>
                <c:pt idx="51">
                  <c:v>268.93483327751284</c:v>
                </c:pt>
                <c:pt idx="52">
                  <c:v>263.76300956063756</c:v>
                </c:pt>
                <c:pt idx="53">
                  <c:v>258.78634900288972</c:v>
                </c:pt>
                <c:pt idx="54">
                  <c:v>253.99400920653986</c:v>
                </c:pt>
                <c:pt idx="55">
                  <c:v>249.37593631187545</c:v>
                </c:pt>
                <c:pt idx="56">
                  <c:v>244.92279459202058</c:v>
                </c:pt>
                <c:pt idx="57">
                  <c:v>240.62590345882731</c:v>
                </c:pt>
                <c:pt idx="58">
                  <c:v>236.47718098539926</c:v>
                </c:pt>
                <c:pt idx="59">
                  <c:v>232.46909317208738</c:v>
                </c:pt>
                <c:pt idx="60">
                  <c:v>228.5946082858859</c:v>
                </c:pt>
                <c:pt idx="61">
                  <c:v>224.84715569103534</c:v>
                </c:pt>
                <c:pt idx="62">
                  <c:v>221.22058866376057</c:v>
                </c:pt>
                <c:pt idx="63">
                  <c:v>217.70915074846275</c:v>
                </c:pt>
                <c:pt idx="64">
                  <c:v>214.30744526801806</c:v>
                </c:pt>
                <c:pt idx="65">
                  <c:v>211.01040764851004</c:v>
                </c:pt>
                <c:pt idx="66">
                  <c:v>207.81328025989632</c:v>
                </c:pt>
                <c:pt idx="67">
                  <c:v>204.71158950974856</c:v>
                </c:pt>
                <c:pt idx="68">
                  <c:v>201.70112495813467</c:v>
                </c:pt>
                <c:pt idx="69">
                  <c:v>198.77792024859644</c:v>
                </c:pt>
                <c:pt idx="70">
                  <c:v>195.93823567361648</c:v>
                </c:pt>
                <c:pt idx="71">
                  <c:v>193.17854221342472</c:v>
                </c:pt>
                <c:pt idx="72">
                  <c:v>190.49550690490494</c:v>
                </c:pt>
                <c:pt idx="73">
                  <c:v>187.8859794130569</c:v>
                </c:pt>
                <c:pt idx="74">
                  <c:v>185.34697969125884</c:v>
                </c:pt>
                <c:pt idx="75">
                  <c:v>182.87568662870873</c:v>
                </c:pt>
                <c:pt idx="76">
                  <c:v>180.46942759412048</c:v>
                </c:pt>
                <c:pt idx="77">
                  <c:v>178.12566879419677</c:v>
                </c:pt>
                <c:pt idx="78">
                  <c:v>175.84200637375838</c:v>
                </c:pt>
                <c:pt idx="79">
                  <c:v>173.61615819181208</c:v>
                </c:pt>
                <c:pt idx="80">
                  <c:v>171.44595621441445</c:v>
                </c:pt>
                <c:pt idx="81">
                  <c:v>169.32933947102663</c:v>
                </c:pt>
                <c:pt idx="82">
                  <c:v>167.26434752625801</c:v>
                </c:pt>
                <c:pt idx="83">
                  <c:v>165.24911442353198</c:v>
                </c:pt>
                <c:pt idx="84">
                  <c:v>163.28186306134711</c:v>
                </c:pt>
                <c:pt idx="85">
                  <c:v>161.3608999665077</c:v>
                </c:pt>
                <c:pt idx="86">
                  <c:v>159.48461043201343</c:v>
                </c:pt>
                <c:pt idx="87">
                  <c:v>157.65145399026611</c:v>
                </c:pt>
                <c:pt idx="88">
                  <c:v>156.9342526137828</c:v>
                </c:pt>
                <c:pt idx="89">
                  <c:v>156.33627064950034</c:v>
                </c:pt>
                <c:pt idx="90">
                  <c:v>155.74357214143717</c:v>
                </c:pt>
                <c:pt idx="91">
                  <c:v>155.15608737478689</c:v>
                </c:pt>
                <c:pt idx="92">
                  <c:v>154.57374785588095</c:v>
                </c:pt>
                <c:pt idx="93">
                  <c:v>153.99648628556824</c:v>
                </c:pt>
                <c:pt idx="94">
                  <c:v>153.42423653328777</c:v>
                </c:pt>
                <c:pt idx="95">
                  <c:v>152.85693361181382</c:v>
                </c:pt>
                <c:pt idx="96">
                  <c:v>152.29451365265362</c:v>
                </c:pt>
                <c:pt idx="97">
                  <c:v>151.73691388207686</c:v>
                </c:pt>
                <c:pt idx="98">
                  <c:v>151.18407259775955</c:v>
                </c:pt>
                <c:pt idx="99">
                  <c:v>150.63592914602293</c:v>
                </c:pt>
                <c:pt idx="100">
                  <c:v>150.09242389965024</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348.28713473734928</c:v>
                </c:pt>
                <c:pt idx="57">
                  <c:v>342.17683412792223</c:v>
                </c:pt>
                <c:pt idx="58">
                  <c:v>336.27723353950978</c:v>
                </c:pt>
                <c:pt idx="59">
                  <c:v>330.57761941172151</c:v>
                </c:pt>
                <c:pt idx="60">
                  <c:v>325.06799242152613</c:v>
                </c:pt>
                <c:pt idx="61">
                  <c:v>319.73900893920603</c:v>
                </c:pt>
                <c:pt idx="62">
                  <c:v>314.58192814986404</c:v>
                </c:pt>
                <c:pt idx="63">
                  <c:v>309.58856421097727</c:v>
                </c:pt>
                <c:pt idx="64">
                  <c:v>304.75124289518078</c:v>
                </c:pt>
                <c:pt idx="65">
                  <c:v>300.06276223525487</c:v>
                </c:pt>
                <c:pt idx="66">
                  <c:v>295.51635674684201</c:v>
                </c:pt>
                <c:pt idx="67">
                  <c:v>291.10566485509798</c:v>
                </c:pt>
                <c:pt idx="68">
                  <c:v>286.82469919546423</c:v>
                </c:pt>
                <c:pt idx="69">
                  <c:v>282.66781949697929</c:v>
                </c:pt>
                <c:pt idx="70">
                  <c:v>278.6297077898796</c:v>
                </c:pt>
                <c:pt idx="71">
                  <c:v>274.705345708332</c:v>
                </c:pt>
                <c:pt idx="72">
                  <c:v>270.88999368460514</c:v>
                </c:pt>
                <c:pt idx="73">
                  <c:v>267.17917185330913</c:v>
                </c:pt>
                <c:pt idx="74">
                  <c:v>263.56864250394011</c:v>
                </c:pt>
                <c:pt idx="75">
                  <c:v>260.05439393722088</c:v>
                </c:pt>
                <c:pt idx="76">
                  <c:v>256.6326255959417</c:v>
                </c:pt>
                <c:pt idx="77">
                  <c:v>253.29973435443591</c:v>
                </c:pt>
                <c:pt idx="78">
                  <c:v>250.05230186271237</c:v>
                </c:pt>
                <c:pt idx="79">
                  <c:v>246.88708285179197</c:v>
                </c:pt>
                <c:pt idx="80">
                  <c:v>243.80099431614457</c:v>
                </c:pt>
                <c:pt idx="81">
                  <c:v>240.79110549742671</c:v>
                </c:pt>
                <c:pt idx="82">
                  <c:v>237.85462860111673</c:v>
                </c:pt>
                <c:pt idx="83">
                  <c:v>234.98891018423569</c:v>
                </c:pt>
                <c:pt idx="84">
                  <c:v>232.19142315823294</c:v>
                </c:pt>
                <c:pt idx="85">
                  <c:v>229.45975935637139</c:v>
                </c:pt>
                <c:pt idx="86">
                  <c:v>226.79162261966945</c:v>
                </c:pt>
                <c:pt idx="87">
                  <c:v>224.18482235967312</c:v>
                </c:pt>
                <c:pt idx="88">
                  <c:v>221.63726756013148</c:v>
                </c:pt>
                <c:pt idx="89">
                  <c:v>219.1469611830513</c:v>
                </c:pt>
                <c:pt idx="90">
                  <c:v>216.71199494768405</c:v>
                </c:pt>
                <c:pt idx="91">
                  <c:v>214.33054445375348</c:v>
                </c:pt>
                <c:pt idx="92">
                  <c:v>212.00086462273444</c:v>
                </c:pt>
                <c:pt idx="93">
                  <c:v>209.72128543324268</c:v>
                </c:pt>
                <c:pt idx="94">
                  <c:v>207.49020792863365</c:v>
                </c:pt>
                <c:pt idx="95">
                  <c:v>205.30610047675336</c:v>
                </c:pt>
                <c:pt idx="96">
                  <c:v>203.16749526345382</c:v>
                </c:pt>
                <c:pt idx="97">
                  <c:v>201.07298500300581</c:v>
                </c:pt>
                <c:pt idx="98">
                  <c:v>199.02121984991388</c:v>
                </c:pt>
                <c:pt idx="99">
                  <c:v>197.01090449789461</c:v>
                </c:pt>
                <c:pt idx="100">
                  <c:v>195.04079545291572</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22.764227642276424</c:v>
                </c:pt>
                <c:pt idx="2">
                  <c:v>45.528455284552848</c:v>
                </c:pt>
                <c:pt idx="3">
                  <c:v>68.292682926829258</c:v>
                </c:pt>
                <c:pt idx="4">
                  <c:v>91.056910569105696</c:v>
                </c:pt>
                <c:pt idx="5">
                  <c:v>113.82113821138213</c:v>
                </c:pt>
                <c:pt idx="6">
                  <c:v>136.58536585365852</c:v>
                </c:pt>
                <c:pt idx="7">
                  <c:v>159.34959349593498</c:v>
                </c:pt>
                <c:pt idx="8">
                  <c:v>182.11382113821139</c:v>
                </c:pt>
                <c:pt idx="9">
                  <c:v>204.87804878048786</c:v>
                </c:pt>
                <c:pt idx="10">
                  <c:v>227.64227642276427</c:v>
                </c:pt>
                <c:pt idx="11">
                  <c:v>250.40650406504065</c:v>
                </c:pt>
                <c:pt idx="12">
                  <c:v>273.17073170731703</c:v>
                </c:pt>
                <c:pt idx="13">
                  <c:v>295.9349593495935</c:v>
                </c:pt>
                <c:pt idx="14">
                  <c:v>318.69918699186996</c:v>
                </c:pt>
                <c:pt idx="15">
                  <c:v>341.46341463414637</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345.98627197905779</c:v>
                </c:pt>
                <c:pt idx="78">
                  <c:v>341.55055054342887</c:v>
                </c:pt>
                <c:pt idx="79">
                  <c:v>337.2271258530057</c:v>
                </c:pt>
                <c:pt idx="80">
                  <c:v>333.01178677984319</c:v>
                </c:pt>
                <c:pt idx="81">
                  <c:v>328.90053015293148</c:v>
                </c:pt>
                <c:pt idx="82">
                  <c:v>324.88954807789577</c:v>
                </c:pt>
                <c:pt idx="83">
                  <c:v>320.97521617334274</c:v>
                </c:pt>
                <c:pt idx="84">
                  <c:v>317.15408264746969</c:v>
                </c:pt>
                <c:pt idx="85">
                  <c:v>313.42285814573472</c:v>
                </c:pt>
                <c:pt idx="86">
                  <c:v>309.7784063068309</c:v>
                </c:pt>
                <c:pt idx="87">
                  <c:v>306.21773496997065</c:v>
                </c:pt>
                <c:pt idx="88">
                  <c:v>302.73798798167559</c:v>
                </c:pt>
                <c:pt idx="89">
                  <c:v>299.33643755491516</c:v>
                </c:pt>
                <c:pt idx="90">
                  <c:v>296.0104771376383</c:v>
                </c:pt>
                <c:pt idx="91">
                  <c:v>292.75761475151046</c:v>
                </c:pt>
                <c:pt idx="92">
                  <c:v>289.57546676508099</c:v>
                </c:pt>
                <c:pt idx="93">
                  <c:v>286.4617520686823</c:v>
                </c:pt>
                <c:pt idx="94">
                  <c:v>283.41428662114305</c:v>
                </c:pt>
                <c:pt idx="95">
                  <c:v>280.43097834092055</c:v>
                </c:pt>
                <c:pt idx="96">
                  <c:v>277.50982231653597</c:v>
                </c:pt>
                <c:pt idx="97">
                  <c:v>274.6488963132727</c:v>
                </c:pt>
                <c:pt idx="98">
                  <c:v>271.84635655497397</c:v>
                </c:pt>
                <c:pt idx="99">
                  <c:v>269.1004337614894</c:v>
                </c:pt>
                <c:pt idx="100">
                  <c:v>266.4094294238746</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157.65145399026611</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9.0000000000000018</c:v>
                </c:pt>
                <c:pt idx="10">
                  <c:v>10</c:v>
                </c:pt>
                <c:pt idx="11">
                  <c:v>11</c:v>
                </c:pt>
                <c:pt idx="12">
                  <c:v>12</c:v>
                </c:pt>
                <c:pt idx="13">
                  <c:v>13</c:v>
                </c:pt>
                <c:pt idx="14">
                  <c:v>14.000000000000002</c:v>
                </c:pt>
                <c:pt idx="15">
                  <c:v>15</c:v>
                </c:pt>
                <c:pt idx="16">
                  <c:v>16</c:v>
                </c:pt>
                <c:pt idx="17">
                  <c:v>17</c:v>
                </c:pt>
                <c:pt idx="18">
                  <c:v>18.000000000000004</c:v>
                </c:pt>
                <c:pt idx="19">
                  <c:v>19</c:v>
                </c:pt>
                <c:pt idx="20">
                  <c:v>20</c:v>
                </c:pt>
                <c:pt idx="21">
                  <c:v>20.999999999999996</c:v>
                </c:pt>
                <c:pt idx="22">
                  <c:v>22</c:v>
                </c:pt>
                <c:pt idx="23">
                  <c:v>23</c:v>
                </c:pt>
                <c:pt idx="24">
                  <c:v>24</c:v>
                </c:pt>
                <c:pt idx="25">
                  <c:v>25</c:v>
                </c:pt>
                <c:pt idx="26">
                  <c:v>26</c:v>
                </c:pt>
                <c:pt idx="27">
                  <c:v>27</c:v>
                </c:pt>
                <c:pt idx="28">
                  <c:v>28.000000000000004</c:v>
                </c:pt>
                <c:pt idx="29">
                  <c:v>28.999999999999996</c:v>
                </c:pt>
                <c:pt idx="30">
                  <c:v>30</c:v>
                </c:pt>
                <c:pt idx="31">
                  <c:v>30.999999999999993</c:v>
                </c:pt>
                <c:pt idx="32">
                  <c:v>32</c:v>
                </c:pt>
                <c:pt idx="33">
                  <c:v>33</c:v>
                </c:pt>
                <c:pt idx="34">
                  <c:v>34</c:v>
                </c:pt>
                <c:pt idx="35">
                  <c:v>35</c:v>
                </c:pt>
                <c:pt idx="36">
                  <c:v>36.000000000000007</c:v>
                </c:pt>
                <c:pt idx="37">
                  <c:v>37</c:v>
                </c:pt>
                <c:pt idx="38">
                  <c:v>38</c:v>
                </c:pt>
                <c:pt idx="39">
                  <c:v>39</c:v>
                </c:pt>
                <c:pt idx="40">
                  <c:v>40</c:v>
                </c:pt>
                <c:pt idx="41">
                  <c:v>41</c:v>
                </c:pt>
                <c:pt idx="42">
                  <c:v>41.999999999999993</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61.999999999999986</c:v>
                </c:pt>
                <c:pt idx="63">
                  <c:v>63</c:v>
                </c:pt>
                <c:pt idx="64">
                  <c:v>64</c:v>
                </c:pt>
                <c:pt idx="65">
                  <c:v>65</c:v>
                </c:pt>
                <c:pt idx="66">
                  <c:v>66</c:v>
                </c:pt>
                <c:pt idx="67">
                  <c:v>67</c:v>
                </c:pt>
                <c:pt idx="68">
                  <c:v>68</c:v>
                </c:pt>
                <c:pt idx="69">
                  <c:v>69</c:v>
                </c:pt>
                <c:pt idx="70">
                  <c:v>70</c:v>
                </c:pt>
                <c:pt idx="71">
                  <c:v>71</c:v>
                </c:pt>
                <c:pt idx="72">
                  <c:v>72.000000000000014</c:v>
                </c:pt>
                <c:pt idx="73">
                  <c:v>73</c:v>
                </c:pt>
                <c:pt idx="74">
                  <c:v>74</c:v>
                </c:pt>
                <c:pt idx="75">
                  <c:v>75</c:v>
                </c:pt>
                <c:pt idx="76">
                  <c:v>76</c:v>
                </c:pt>
                <c:pt idx="77">
                  <c:v>77.000000000000014</c:v>
                </c:pt>
                <c:pt idx="78">
                  <c:v>78</c:v>
                </c:pt>
                <c:pt idx="79">
                  <c:v>79</c:v>
                </c:pt>
                <c:pt idx="80">
                  <c:v>80</c:v>
                </c:pt>
                <c:pt idx="81">
                  <c:v>81</c:v>
                </c:pt>
                <c:pt idx="82">
                  <c:v>82</c:v>
                </c:pt>
                <c:pt idx="83">
                  <c:v>83</c:v>
                </c:pt>
                <c:pt idx="84">
                  <c:v>83.999999999999986</c:v>
                </c:pt>
                <c:pt idx="85">
                  <c:v>85</c:v>
                </c:pt>
                <c:pt idx="86">
                  <c:v>86</c:v>
                </c:pt>
                <c:pt idx="87">
                  <c:v>87</c:v>
                </c:pt>
                <c:pt idx="88">
                  <c:v>88</c:v>
                </c:pt>
                <c:pt idx="89">
                  <c:v>88.999999999999986</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6.1499999999999992E-3</c:v>
                </c:pt>
                <c:pt idx="1">
                  <c:v>1.3999999999999997E-2</c:v>
                </c:pt>
                <c:pt idx="2">
                  <c:v>2.7999999999999994E-2</c:v>
                </c:pt>
                <c:pt idx="3">
                  <c:v>4.1999999999999989E-2</c:v>
                </c:pt>
                <c:pt idx="4">
                  <c:v>5.5999999999999987E-2</c:v>
                </c:pt>
                <c:pt idx="5">
                  <c:v>6.9999999999999993E-2</c:v>
                </c:pt>
                <c:pt idx="6">
                  <c:v>8.3999999999999977E-2</c:v>
                </c:pt>
                <c:pt idx="7">
                  <c:v>9.8000000000000004E-2</c:v>
                </c:pt>
                <c:pt idx="8">
                  <c:v>0.11199999999999997</c:v>
                </c:pt>
                <c:pt idx="9">
                  <c:v>0.12887441142556405</c:v>
                </c:pt>
                <c:pt idx="10">
                  <c:v>0.15093950822904065</c:v>
                </c:pt>
                <c:pt idx="11">
                  <c:v>0.17413736094597609</c:v>
                </c:pt>
                <c:pt idx="12">
                  <c:v>0.19841513634187721</c:v>
                </c:pt>
                <c:pt idx="13">
                  <c:v>0.2237267733470916</c:v>
                </c:pt>
                <c:pt idx="14">
                  <c:v>0.25003164846935116</c:v>
                </c:pt>
                <c:pt idx="15">
                  <c:v>0.27729358289082906</c:v>
                </c:pt>
                <c:pt idx="16">
                  <c:v>0.29354727046934026</c:v>
                </c:pt>
                <c:pt idx="17">
                  <c:v>0.30258160056421141</c:v>
                </c:pt>
                <c:pt idx="18">
                  <c:v>0.31135389832150806</c:v>
                </c:pt>
                <c:pt idx="19">
                  <c:v>0.31988572178201385</c:v>
                </c:pt>
                <c:pt idx="20">
                  <c:v>0.32819582568948069</c:v>
                </c:pt>
                <c:pt idx="21">
                  <c:v>0.33630064674335669</c:v>
                </c:pt>
                <c:pt idx="22">
                  <c:v>0.34421468591563609</c:v>
                </c:pt>
                <c:pt idx="23">
                  <c:v>0.35195081332481665</c:v>
                </c:pt>
                <c:pt idx="24">
                  <c:v>0.35952051401832408</c:v>
                </c:pt>
                <c:pt idx="25">
                  <c:v>0.36693408808667527</c:v>
                </c:pt>
                <c:pt idx="26">
                  <c:v>0.37420081507126624</c:v>
                </c:pt>
                <c:pt idx="27">
                  <c:v>0.38132909015704536</c:v>
                </c:pt>
                <c:pt idx="28">
                  <c:v>0.38832653785184451</c:v>
                </c:pt>
                <c:pt idx="29">
                  <c:v>0.39520010754047119</c:v>
                </c:pt>
                <c:pt idx="30">
                  <c:v>0.40195615432531939</c:v>
                </c:pt>
                <c:pt idx="31">
                  <c:v>0.40860050783130464</c:v>
                </c:pt>
                <c:pt idx="32">
                  <c:v>0.41513853109534415</c:v>
                </c:pt>
                <c:pt idx="33">
                  <c:v>0.42157517123284194</c:v>
                </c:pt>
                <c:pt idx="34">
                  <c:v>0.42791500324246634</c:v>
                </c:pt>
                <c:pt idx="35">
                  <c:v>0.43416226805193475</c:v>
                </c:pt>
                <c:pt idx="36">
                  <c:v>0.44032090570401039</c:v>
                </c:pt>
                <c:pt idx="37">
                  <c:v>0.44639458442055502</c:v>
                </c:pt>
                <c:pt idx="38">
                  <c:v>0.45238672615363057</c:v>
                </c:pt>
                <c:pt idx="39">
                  <c:v>0.45830052912908575</c:v>
                </c:pt>
                <c:pt idx="40">
                  <c:v>0.46413898780429991</c:v>
                </c:pt>
                <c:pt idx="41">
                  <c:v>0.4699049105936221</c:v>
                </c:pt>
                <c:pt idx="42">
                  <c:v>0.47560093565929834</c:v>
                </c:pt>
                <c:pt idx="43">
                  <c:v>0.48122954501983767</c:v>
                </c:pt>
                <c:pt idx="44">
                  <c:v>0.48679307718988768</c:v>
                </c:pt>
                <c:pt idx="45">
                  <c:v>0.49229373853422104</c:v>
                </c:pt>
                <c:pt idx="46">
                  <c:v>0.4977336134921973</c:v>
                </c:pt>
                <c:pt idx="47">
                  <c:v>0.50311467380707553</c:v>
                </c:pt>
                <c:pt idx="48">
                  <c:v>0.50843878687606037</c:v>
                </c:pt>
                <c:pt idx="49">
                  <c:v>0.51370772332134551</c:v>
                </c:pt>
                <c:pt idx="50">
                  <c:v>0.51892316386918014</c:v>
                </c:pt>
                <c:pt idx="51">
                  <c:v>0.52408670561272586</c:v>
                </c:pt>
                <c:pt idx="52">
                  <c:v>0.52919986772485128</c:v>
                </c:pt>
                <c:pt idx="53">
                  <c:v>0.53426409667878672</c:v>
                </c:pt>
                <c:pt idx="54">
                  <c:v>0.53928077102748617</c:v>
                </c:pt>
                <c:pt idx="55">
                  <c:v>0.54425120578644559</c:v>
                </c:pt>
                <c:pt idx="56">
                  <c:v>0.5464890404083016</c:v>
                </c:pt>
                <c:pt idx="57">
                  <c:v>0.54167406513766703</c:v>
                </c:pt>
                <c:pt idx="58">
                  <c:v>0.5369841581179231</c:v>
                </c:pt>
                <c:pt idx="59">
                  <c:v>0.5324139970660281</c:v>
                </c:pt>
                <c:pt idx="60">
                  <c:v>0.52795857148134961</c:v>
                </c:pt>
                <c:pt idx="61">
                  <c:v>0.52361315954918108</c:v>
                </c:pt>
                <c:pt idx="62">
                  <c:v>0.51937330710158713</c:v>
                </c:pt>
                <c:pt idx="63">
                  <c:v>0.51523480842245239</c:v>
                </c:pt>
                <c:pt idx="64">
                  <c:v>0.51119368870868143</c:v>
                </c:pt>
                <c:pt idx="65">
                  <c:v>0.50724618802127786</c:v>
                </c:pt>
                <c:pt idx="66">
                  <c:v>0.50338874657901189</c:v>
                </c:pt>
                <c:pt idx="67">
                  <c:v>0.4996179912639172</c:v>
                </c:pt>
                <c:pt idx="68">
                  <c:v>0.49593072322235454</c:v>
                </c:pt>
                <c:pt idx="69">
                  <c:v>0.49232390645804602</c:v>
                </c:pt>
                <c:pt idx="70">
                  <c:v>0.48879465732463701</c:v>
                </c:pt>
                <c:pt idx="71">
                  <c:v>0.48534023483513716</c:v>
                </c:pt>
                <c:pt idx="72">
                  <c:v>0.48195803171423152</c:v>
                </c:pt>
                <c:pt idx="73">
                  <c:v>0.47864556612708564</c:v>
                </c:pt>
                <c:pt idx="74">
                  <c:v>0.47540047402501756</c:v>
                </c:pt>
                <c:pt idx="75">
                  <c:v>0.47222050205439192</c:v>
                </c:pt>
                <c:pt idx="76">
                  <c:v>0.46910350098040648</c:v>
                </c:pt>
                <c:pt idx="77">
                  <c:v>0.46604741958216034</c:v>
                </c:pt>
                <c:pt idx="78">
                  <c:v>0.46305029897960104</c:v>
                </c:pt>
                <c:pt idx="79">
                  <c:v>0.46011026735670518</c:v>
                </c:pt>
                <c:pt idx="80">
                  <c:v>0.4572255350485912</c:v>
                </c:pt>
                <c:pt idx="81">
                  <c:v>0.45439438996327225</c:v>
                </c:pt>
                <c:pt idx="82">
                  <c:v>0.45161519331143785</c:v>
                </c:pt>
                <c:pt idx="83">
                  <c:v>0.44888637562006817</c:v>
                </c:pt>
                <c:pt idx="84">
                  <c:v>0.44620643300785234</c:v>
                </c:pt>
                <c:pt idx="85">
                  <c:v>0.4435739237023274</c:v>
                </c:pt>
                <c:pt idx="86">
                  <c:v>0.44098746478041878</c:v>
                </c:pt>
                <c:pt idx="87">
                  <c:v>0.43844572911563739</c:v>
                </c:pt>
                <c:pt idx="88">
                  <c:v>0.43594744251663115</c:v>
                </c:pt>
                <c:pt idx="89">
                  <c:v>0.43349138104306661</c:v>
                </c:pt>
                <c:pt idx="90">
                  <c:v>0.43107636848600839</c:v>
                </c:pt>
                <c:pt idx="91">
                  <c:v>0.42870127400100405</c:v>
                </c:pt>
                <c:pt idx="92">
                  <c:v>0.42636500988306142</c:v>
                </c:pt>
                <c:pt idx="93">
                  <c:v>0.42406652947357171</c:v>
                </c:pt>
                <c:pt idx="94">
                  <c:v>0.42180482519003015</c:v>
                </c:pt>
                <c:pt idx="95">
                  <c:v>0.4195789266701313</c:v>
                </c:pt>
                <c:pt idx="96">
                  <c:v>0.41738789902247053</c:v>
                </c:pt>
                <c:pt idx="97">
                  <c:v>0.41523084117669479</c:v>
                </c:pt>
                <c:pt idx="98">
                  <c:v>0.4131068843264839</c:v>
                </c:pt>
                <c:pt idx="99">
                  <c:v>0.41101519045925661</c:v>
                </c:pt>
                <c:pt idx="100">
                  <c:v>0.40895495096694517</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8.199999999999999E-3</c:v>
                </c:pt>
                <c:pt idx="1">
                  <c:v>1.8666666666666665E-2</c:v>
                </c:pt>
                <c:pt idx="2">
                  <c:v>3.7333333333333329E-2</c:v>
                </c:pt>
                <c:pt idx="3">
                  <c:v>5.5999999999999994E-2</c:v>
                </c:pt>
                <c:pt idx="4">
                  <c:v>7.4666666666666659E-2</c:v>
                </c:pt>
                <c:pt idx="5">
                  <c:v>9.3333333333333338E-2</c:v>
                </c:pt>
                <c:pt idx="6">
                  <c:v>0.11199999999999999</c:v>
                </c:pt>
                <c:pt idx="7">
                  <c:v>0.13066666666666668</c:v>
                </c:pt>
                <c:pt idx="8">
                  <c:v>0.14933333333333332</c:v>
                </c:pt>
                <c:pt idx="9">
                  <c:v>0.17183254856741875</c:v>
                </c:pt>
                <c:pt idx="10">
                  <c:v>0.20125267763872084</c:v>
                </c:pt>
                <c:pt idx="11">
                  <c:v>0.2321831479279681</c:v>
                </c:pt>
                <c:pt idx="12">
                  <c:v>0.26455351512250302</c:v>
                </c:pt>
                <c:pt idx="13">
                  <c:v>0.29830236446278885</c:v>
                </c:pt>
                <c:pt idx="14">
                  <c:v>0.33337553129246822</c:v>
                </c:pt>
                <c:pt idx="15">
                  <c:v>0.36972477718777202</c:v>
                </c:pt>
                <c:pt idx="16">
                  <c:v>0.39139636062578698</c:v>
                </c:pt>
                <c:pt idx="17">
                  <c:v>0.40344213408561519</c:v>
                </c:pt>
                <c:pt idx="18">
                  <c:v>0.41513853109534415</c:v>
                </c:pt>
                <c:pt idx="19">
                  <c:v>0.42651429570935179</c:v>
                </c:pt>
                <c:pt idx="20">
                  <c:v>0.43759443425264083</c:v>
                </c:pt>
                <c:pt idx="21">
                  <c:v>0.44840086232447557</c:v>
                </c:pt>
                <c:pt idx="22">
                  <c:v>0.45895291455418147</c:v>
                </c:pt>
                <c:pt idx="23">
                  <c:v>0.4692677510997556</c:v>
                </c:pt>
                <c:pt idx="24">
                  <c:v>0.47936068535776549</c:v>
                </c:pt>
                <c:pt idx="25">
                  <c:v>0.4892454507822338</c:v>
                </c:pt>
                <c:pt idx="26">
                  <c:v>0.49893442009502165</c:v>
                </c:pt>
                <c:pt idx="27">
                  <c:v>0.50843878687606048</c:v>
                </c:pt>
                <c:pt idx="28">
                  <c:v>0.51776871713579264</c:v>
                </c:pt>
                <c:pt idx="29">
                  <c:v>0.52693347672062829</c:v>
                </c:pt>
                <c:pt idx="30">
                  <c:v>0.53594153910042586</c:v>
                </c:pt>
                <c:pt idx="31">
                  <c:v>0.54480067710840618</c:v>
                </c:pt>
                <c:pt idx="32">
                  <c:v>0.5535180414604588</c:v>
                </c:pt>
                <c:pt idx="33">
                  <c:v>0.56210022831045592</c:v>
                </c:pt>
                <c:pt idx="34">
                  <c:v>0.57055333765662175</c:v>
                </c:pt>
                <c:pt idx="35">
                  <c:v>0.5788830240692463</c:v>
                </c:pt>
                <c:pt idx="36">
                  <c:v>0.58709454093868052</c:v>
                </c:pt>
                <c:pt idx="37">
                  <c:v>0.59519277922740665</c:v>
                </c:pt>
                <c:pt idx="38">
                  <c:v>0.60318230153817409</c:v>
                </c:pt>
                <c:pt idx="39">
                  <c:v>0.61106737217211438</c:v>
                </c:pt>
                <c:pt idx="40">
                  <c:v>0.60628382918475154</c:v>
                </c:pt>
                <c:pt idx="41">
                  <c:v>0.59884448205582341</c:v>
                </c:pt>
                <c:pt idx="42">
                  <c:v>0.64566929133858264</c:v>
                </c:pt>
                <c:pt idx="43">
                  <c:v>0.64566929133858264</c:v>
                </c:pt>
                <c:pt idx="44">
                  <c:v>0.64566929133858264</c:v>
                </c:pt>
                <c:pt idx="45">
                  <c:v>0.64566929133858253</c:v>
                </c:pt>
                <c:pt idx="46">
                  <c:v>0.64566929133858264</c:v>
                </c:pt>
                <c:pt idx="47">
                  <c:v>0.64566929133858275</c:v>
                </c:pt>
                <c:pt idx="48">
                  <c:v>0.64566929133858264</c:v>
                </c:pt>
                <c:pt idx="49">
                  <c:v>0.64566929133858275</c:v>
                </c:pt>
                <c:pt idx="50">
                  <c:v>0.64566929133858264</c:v>
                </c:pt>
                <c:pt idx="51">
                  <c:v>0.64566929133858286</c:v>
                </c:pt>
                <c:pt idx="52">
                  <c:v>0.64566929133858264</c:v>
                </c:pt>
                <c:pt idx="53">
                  <c:v>0.64566929133858264</c:v>
                </c:pt>
                <c:pt idx="54">
                  <c:v>0.64566929133858264</c:v>
                </c:pt>
                <c:pt idx="55">
                  <c:v>0.64566929133858253</c:v>
                </c:pt>
                <c:pt idx="56">
                  <c:v>0.64566929133858264</c:v>
                </c:pt>
                <c:pt idx="57">
                  <c:v>0.64566929133858264</c:v>
                </c:pt>
                <c:pt idx="58">
                  <c:v>0.64566929133858253</c:v>
                </c:pt>
                <c:pt idx="59">
                  <c:v>0.64566929133858264</c:v>
                </c:pt>
                <c:pt idx="60">
                  <c:v>0.64566929133858264</c:v>
                </c:pt>
                <c:pt idx="61">
                  <c:v>0.64566929133858264</c:v>
                </c:pt>
                <c:pt idx="62">
                  <c:v>0.64566929133858264</c:v>
                </c:pt>
                <c:pt idx="63">
                  <c:v>0.64566929133858264</c:v>
                </c:pt>
                <c:pt idx="64">
                  <c:v>0.64566929133858275</c:v>
                </c:pt>
                <c:pt idx="65">
                  <c:v>0.64566929133858264</c:v>
                </c:pt>
                <c:pt idx="66">
                  <c:v>0.64566929133858264</c:v>
                </c:pt>
                <c:pt idx="67">
                  <c:v>0.64566929133858253</c:v>
                </c:pt>
                <c:pt idx="68">
                  <c:v>0.64566929133858286</c:v>
                </c:pt>
                <c:pt idx="69">
                  <c:v>0.64566929133858253</c:v>
                </c:pt>
                <c:pt idx="70">
                  <c:v>0.64566929133858264</c:v>
                </c:pt>
                <c:pt idx="71">
                  <c:v>0.64566929133858264</c:v>
                </c:pt>
                <c:pt idx="72">
                  <c:v>0.64566929133858264</c:v>
                </c:pt>
                <c:pt idx="73">
                  <c:v>0.64566929133858253</c:v>
                </c:pt>
                <c:pt idx="74">
                  <c:v>0.64566929133858264</c:v>
                </c:pt>
                <c:pt idx="75">
                  <c:v>0.64566929133858264</c:v>
                </c:pt>
                <c:pt idx="76">
                  <c:v>0.64566929133858275</c:v>
                </c:pt>
                <c:pt idx="77">
                  <c:v>0.64566929133858253</c:v>
                </c:pt>
                <c:pt idx="78">
                  <c:v>0.64566929133858264</c:v>
                </c:pt>
                <c:pt idx="79">
                  <c:v>0.64566929133858264</c:v>
                </c:pt>
                <c:pt idx="80">
                  <c:v>0.64566929133858264</c:v>
                </c:pt>
                <c:pt idx="81">
                  <c:v>0.64566929133858264</c:v>
                </c:pt>
                <c:pt idx="82">
                  <c:v>0.64566929133858264</c:v>
                </c:pt>
                <c:pt idx="83">
                  <c:v>0.64566929133858264</c:v>
                </c:pt>
                <c:pt idx="84">
                  <c:v>0.64566929133858264</c:v>
                </c:pt>
                <c:pt idx="85">
                  <c:v>0.64566929133858253</c:v>
                </c:pt>
                <c:pt idx="86">
                  <c:v>0.64566929133858264</c:v>
                </c:pt>
                <c:pt idx="87">
                  <c:v>0.64566929133858275</c:v>
                </c:pt>
                <c:pt idx="88">
                  <c:v>0.64343043571650949</c:v>
                </c:pt>
                <c:pt idx="89">
                  <c:v>0.64097870966295134</c:v>
                </c:pt>
                <c:pt idx="90">
                  <c:v>0.63854864577989245</c:v>
                </c:pt>
                <c:pt idx="91">
                  <c:v>0.63613995823662617</c:v>
                </c:pt>
                <c:pt idx="92">
                  <c:v>0.63375236620911179</c:v>
                </c:pt>
                <c:pt idx="93">
                  <c:v>0.6313855937708297</c:v>
                </c:pt>
                <c:pt idx="94">
                  <c:v>0.62903936978647979</c:v>
                </c:pt>
                <c:pt idx="95">
                  <c:v>0.62671342780843664</c:v>
                </c:pt>
                <c:pt idx="96">
                  <c:v>0.6244075059758798</c:v>
                </c:pt>
                <c:pt idx="97">
                  <c:v>0.62212134691651511</c:v>
                </c:pt>
                <c:pt idx="98">
                  <c:v>0.61985469765081413</c:v>
                </c:pt>
                <c:pt idx="99">
                  <c:v>0.61760730949869402</c:v>
                </c:pt>
                <c:pt idx="100">
                  <c:v>0.61537893798856591</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4.6125000000000003E-3</c:v>
                </c:pt>
                <c:pt idx="1">
                  <c:v>1.0499999999999999E-2</c:v>
                </c:pt>
                <c:pt idx="2">
                  <c:v>2.0999999999999998E-2</c:v>
                </c:pt>
                <c:pt idx="3">
                  <c:v>3.15E-2</c:v>
                </c:pt>
                <c:pt idx="4">
                  <c:v>4.1999999999999996E-2</c:v>
                </c:pt>
                <c:pt idx="5">
                  <c:v>5.2500000000000005E-2</c:v>
                </c:pt>
                <c:pt idx="6">
                  <c:v>6.3E-2</c:v>
                </c:pt>
                <c:pt idx="7">
                  <c:v>7.350000000000001E-2</c:v>
                </c:pt>
                <c:pt idx="8">
                  <c:v>8.3999999999999991E-2</c:v>
                </c:pt>
                <c:pt idx="9">
                  <c:v>9.6655808569173038E-2</c:v>
                </c:pt>
                <c:pt idx="10">
                  <c:v>0.11320463117178048</c:v>
                </c:pt>
                <c:pt idx="11">
                  <c:v>0.13060302070948207</c:v>
                </c:pt>
                <c:pt idx="12">
                  <c:v>0.1488113522564079</c:v>
                </c:pt>
                <c:pt idx="13">
                  <c:v>0.1677950800103187</c:v>
                </c:pt>
                <c:pt idx="14">
                  <c:v>0.18752373635201336</c:v>
                </c:pt>
                <c:pt idx="15">
                  <c:v>0.2079701871681218</c:v>
                </c:pt>
                <c:pt idx="16">
                  <c:v>0.2201604528520052</c:v>
                </c:pt>
                <c:pt idx="17">
                  <c:v>0.22693620042315857</c:v>
                </c:pt>
                <c:pt idx="18">
                  <c:v>0.23351542374113107</c:v>
                </c:pt>
                <c:pt idx="19">
                  <c:v>0.23991429133651038</c:v>
                </c:pt>
                <c:pt idx="20">
                  <c:v>0.24614686926711052</c:v>
                </c:pt>
                <c:pt idx="21">
                  <c:v>0.25222548505751752</c:v>
                </c:pt>
                <c:pt idx="22">
                  <c:v>0.25816101443672707</c:v>
                </c:pt>
                <c:pt idx="23">
                  <c:v>0.2639631099936125</c:v>
                </c:pt>
                <c:pt idx="24">
                  <c:v>0.26964038551374309</c:v>
                </c:pt>
                <c:pt idx="25">
                  <c:v>0.27520056606500648</c:v>
                </c:pt>
                <c:pt idx="26">
                  <c:v>0.28065061130344965</c:v>
                </c:pt>
                <c:pt idx="27">
                  <c:v>0.285996817617784</c:v>
                </c:pt>
                <c:pt idx="28">
                  <c:v>0.29124490338888342</c:v>
                </c:pt>
                <c:pt idx="29">
                  <c:v>0.29640008065535339</c:v>
                </c:pt>
                <c:pt idx="30">
                  <c:v>0.3014671157439896</c:v>
                </c:pt>
                <c:pt idx="31">
                  <c:v>0.30645038087347848</c:v>
                </c:pt>
                <c:pt idx="32">
                  <c:v>0.31135389832150806</c:v>
                </c:pt>
                <c:pt idx="33">
                  <c:v>0.31618137842463145</c:v>
                </c:pt>
                <c:pt idx="34">
                  <c:v>0.32093625243184976</c:v>
                </c:pt>
                <c:pt idx="35">
                  <c:v>0.32562170103895105</c:v>
                </c:pt>
                <c:pt idx="36">
                  <c:v>0.33024067927800782</c:v>
                </c:pt>
                <c:pt idx="37">
                  <c:v>0.33479593831541626</c:v>
                </c:pt>
                <c:pt idx="38">
                  <c:v>0.33929004461522294</c:v>
                </c:pt>
                <c:pt idx="39">
                  <c:v>0.3437253968468143</c:v>
                </c:pt>
                <c:pt idx="40">
                  <c:v>0.34810424085322489</c:v>
                </c:pt>
                <c:pt idx="41">
                  <c:v>0.35242868294521656</c:v>
                </c:pt>
                <c:pt idx="42">
                  <c:v>0.35670070174447371</c:v>
                </c:pt>
                <c:pt idx="43">
                  <c:v>0.36092215876487821</c:v>
                </c:pt>
                <c:pt idx="44">
                  <c:v>0.36509480789241577</c:v>
                </c:pt>
                <c:pt idx="45">
                  <c:v>0.36922030390066574</c:v>
                </c:pt>
                <c:pt idx="46">
                  <c:v>0.37330021011914799</c:v>
                </c:pt>
                <c:pt idx="47">
                  <c:v>0.37733600535530659</c:v>
                </c:pt>
                <c:pt idx="48">
                  <c:v>0.3813290901570453</c:v>
                </c:pt>
                <c:pt idx="49">
                  <c:v>0.38528079249100916</c:v>
                </c:pt>
                <c:pt idx="50">
                  <c:v>0.38919237290188508</c:v>
                </c:pt>
                <c:pt idx="51">
                  <c:v>0.39306502920954439</c:v>
                </c:pt>
                <c:pt idx="52">
                  <c:v>0.39689990079363846</c:v>
                </c:pt>
                <c:pt idx="53">
                  <c:v>0.40069807250909006</c:v>
                </c:pt>
                <c:pt idx="54">
                  <c:v>0.4044605782706146</c:v>
                </c:pt>
                <c:pt idx="55">
                  <c:v>0.40818840433983417</c:v>
                </c:pt>
                <c:pt idx="56">
                  <c:v>0.41188249234460067</c:v>
                </c:pt>
                <c:pt idx="57">
                  <c:v>0.41554374205671774</c:v>
                </c:pt>
                <c:pt idx="58">
                  <c:v>0.41917301395128004</c:v>
                </c:pt>
                <c:pt idx="59">
                  <c:v>0.4227711315682518</c:v>
                </c:pt>
                <c:pt idx="60">
                  <c:v>0.42633888369464962</c:v>
                </c:pt>
                <c:pt idx="61">
                  <c:v>0.42987702638370895</c:v>
                </c:pt>
                <c:pt idx="62">
                  <c:v>0.43338628482567371</c:v>
                </c:pt>
                <c:pt idx="63">
                  <c:v>0.43686735508332497</c:v>
                </c:pt>
                <c:pt idx="64">
                  <c:v>0.44032090570401039</c:v>
                </c:pt>
                <c:pt idx="65">
                  <c:v>0.44374757921874902</c:v>
                </c:pt>
                <c:pt idx="66">
                  <c:v>0.44714799353793361</c:v>
                </c:pt>
                <c:pt idx="67">
                  <c:v>0.45052274325221359</c:v>
                </c:pt>
                <c:pt idx="68">
                  <c:v>0.45387240084631714</c:v>
                </c:pt>
                <c:pt idx="69">
                  <c:v>0.45719751783282903</c:v>
                </c:pt>
                <c:pt idx="70">
                  <c:v>0.46049862581228179</c:v>
                </c:pt>
                <c:pt idx="71">
                  <c:v>0.46377623746533198</c:v>
                </c:pt>
                <c:pt idx="72">
                  <c:v>0.46703084748226215</c:v>
                </c:pt>
                <c:pt idx="73">
                  <c:v>0.47026293343458397</c:v>
                </c:pt>
                <c:pt idx="74">
                  <c:v>0.47347295659308775</c:v>
                </c:pt>
                <c:pt idx="75">
                  <c:v>0.47666136269630671</c:v>
                </c:pt>
                <c:pt idx="76">
                  <c:v>0.47982858267302075</c:v>
                </c:pt>
                <c:pt idx="77">
                  <c:v>0.47743637496594421</c:v>
                </c:pt>
                <c:pt idx="78">
                  <c:v>0.47436601273305273</c:v>
                </c:pt>
                <c:pt idx="79">
                  <c:v>0.47135413458215741</c:v>
                </c:pt>
                <c:pt idx="80">
                  <c:v>0.50617283950617276</c:v>
                </c:pt>
                <c:pt idx="81">
                  <c:v>0.50617283950617276</c:v>
                </c:pt>
                <c:pt idx="82">
                  <c:v>0.50617283950617276</c:v>
                </c:pt>
                <c:pt idx="83">
                  <c:v>0.50617283950617276</c:v>
                </c:pt>
                <c:pt idx="84">
                  <c:v>0.50617283950617287</c:v>
                </c:pt>
                <c:pt idx="85">
                  <c:v>0.50617283950617287</c:v>
                </c:pt>
                <c:pt idx="86">
                  <c:v>0.50617283950617287</c:v>
                </c:pt>
                <c:pt idx="87">
                  <c:v>0.50617283950617287</c:v>
                </c:pt>
                <c:pt idx="88">
                  <c:v>0.50617283950617287</c:v>
                </c:pt>
                <c:pt idx="89">
                  <c:v>0.50617283950617287</c:v>
                </c:pt>
                <c:pt idx="90">
                  <c:v>0.50617283950617276</c:v>
                </c:pt>
                <c:pt idx="91">
                  <c:v>0.50617283950617287</c:v>
                </c:pt>
                <c:pt idx="92">
                  <c:v>0.50617283950617276</c:v>
                </c:pt>
                <c:pt idx="93">
                  <c:v>0.50617283950617287</c:v>
                </c:pt>
                <c:pt idx="94">
                  <c:v>0.50617283950617276</c:v>
                </c:pt>
                <c:pt idx="95">
                  <c:v>0.50617283950617287</c:v>
                </c:pt>
                <c:pt idx="96">
                  <c:v>0.50617283950617276</c:v>
                </c:pt>
                <c:pt idx="97">
                  <c:v>0.50617283950617276</c:v>
                </c:pt>
                <c:pt idx="98">
                  <c:v>0.50617283950617287</c:v>
                </c:pt>
                <c:pt idx="99">
                  <c:v>0.50617283950617276</c:v>
                </c:pt>
                <c:pt idx="100">
                  <c:v>0.50617283950617287</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0.82</c:v>
                </c:pt>
                <c:pt idx="1">
                  <c:v>0.82</c:v>
                </c:pt>
                <c:pt idx="2">
                  <c:v>0.82</c:v>
                </c:pt>
                <c:pt idx="3">
                  <c:v>0.82</c:v>
                </c:pt>
                <c:pt idx="4">
                  <c:v>0.82</c:v>
                </c:pt>
                <c:pt idx="5">
                  <c:v>0.82</c:v>
                </c:pt>
                <c:pt idx="6">
                  <c:v>0.82</c:v>
                </c:pt>
                <c:pt idx="7">
                  <c:v>0.82</c:v>
                </c:pt>
                <c:pt idx="8">
                  <c:v>0.82</c:v>
                </c:pt>
                <c:pt idx="9">
                  <c:v>0.83870648705525785</c:v>
                </c:pt>
                <c:pt idx="10">
                  <c:v>0.88407426248438059</c:v>
                </c:pt>
                <c:pt idx="11">
                  <c:v>0.92722490893311948</c:v>
                </c:pt>
                <c:pt idx="12">
                  <c:v>0.96845483214487693</c:v>
                </c:pt>
                <c:pt idx="13">
                  <c:v>1.0079997480473357</c:v>
                </c:pt>
                <c:pt idx="14">
                  <c:v>1.0460507742085097</c:v>
                </c:pt>
                <c:pt idx="15">
                  <c:v>1.0827654189070468</c:v>
                </c:pt>
                <c:pt idx="16">
                  <c:v>1.1182753160736771</c:v>
                </c:pt>
                <c:pt idx="17">
                  <c:v>1.1526918116731864</c:v>
                </c:pt>
                <c:pt idx="18">
                  <c:v>1.1861100888438403</c:v>
                </c:pt>
                <c:pt idx="19">
                  <c:v>1.2186122734552909</c:v>
                </c:pt>
                <c:pt idx="20">
                  <c:v>1.2502698121504026</c:v>
                </c:pt>
                <c:pt idx="21">
                  <c:v>1.2811453209270731</c:v>
                </c:pt>
                <c:pt idx="22">
                  <c:v>1.3112940415833756</c:v>
                </c:pt>
                <c:pt idx="23">
                  <c:v>1.340765003142159</c:v>
                </c:pt>
                <c:pt idx="24">
                  <c:v>1.3696019581650443</c:v>
                </c:pt>
                <c:pt idx="25">
                  <c:v>1.3978441450920964</c:v>
                </c:pt>
                <c:pt idx="26">
                  <c:v>1.4255269145572047</c:v>
                </c:pt>
                <c:pt idx="27">
                  <c:v>1.4526822482173156</c:v>
                </c:pt>
                <c:pt idx="28">
                  <c:v>1.4793391918165506</c:v>
                </c:pt>
                <c:pt idx="29">
                  <c:v>1.505524219201795</c:v>
                </c:pt>
                <c:pt idx="30">
                  <c:v>1.5312615402869312</c:v>
                </c:pt>
                <c:pt idx="31">
                  <c:v>1.5565733631668746</c:v>
                </c:pt>
                <c:pt idx="32">
                  <c:v>1.5814801184584537</c:v>
                </c:pt>
                <c:pt idx="33">
                  <c:v>1.6060006523155883</c:v>
                </c:pt>
                <c:pt idx="34">
                  <c:v>1.6301523933046336</c:v>
                </c:pt>
                <c:pt idx="35">
                  <c:v>1.6539514973407037</c:v>
                </c:pt>
                <c:pt idx="36">
                  <c:v>1.6774129741105157</c:v>
                </c:pt>
                <c:pt idx="37">
                  <c:v>1.7005507977925904</c:v>
                </c:pt>
                <c:pt idx="38">
                  <c:v>1.7233780043947833</c:v>
                </c:pt>
                <c:pt idx="39">
                  <c:v>1.7459067776346124</c:v>
                </c:pt>
                <c:pt idx="40">
                  <c:v>1.7681485249687612</c:v>
                </c:pt>
                <c:pt idx="41">
                  <c:v>1.7901139451185604</c:v>
                </c:pt>
                <c:pt idx="42">
                  <c:v>1.9771616982836495</c:v>
                </c:pt>
                <c:pt idx="43">
                  <c:v>2.0242369768142128</c:v>
                </c:pt>
                <c:pt idx="44">
                  <c:v>2.0713122553447758</c:v>
                </c:pt>
                <c:pt idx="45">
                  <c:v>2.1183875338753393</c:v>
                </c:pt>
                <c:pt idx="46">
                  <c:v>2.1654628124059023</c:v>
                </c:pt>
                <c:pt idx="47">
                  <c:v>2.2125380909364654</c:v>
                </c:pt>
                <c:pt idx="48">
                  <c:v>2.259613369467028</c:v>
                </c:pt>
                <c:pt idx="49">
                  <c:v>2.3066886479975914</c:v>
                </c:pt>
                <c:pt idx="50">
                  <c:v>2.353763926528154</c:v>
                </c:pt>
                <c:pt idx="51">
                  <c:v>2.4008392050587175</c:v>
                </c:pt>
                <c:pt idx="52">
                  <c:v>2.4479144835892805</c:v>
                </c:pt>
                <c:pt idx="53">
                  <c:v>2.4949897621198436</c:v>
                </c:pt>
                <c:pt idx="54">
                  <c:v>2.5420650406504071</c:v>
                </c:pt>
                <c:pt idx="55">
                  <c:v>2.5891403191809701</c:v>
                </c:pt>
                <c:pt idx="56">
                  <c:v>2.6362155977115336</c:v>
                </c:pt>
                <c:pt idx="57">
                  <c:v>2.6832908762420957</c:v>
                </c:pt>
                <c:pt idx="58">
                  <c:v>2.7303661547726588</c:v>
                </c:pt>
                <c:pt idx="59">
                  <c:v>2.7774414333032218</c:v>
                </c:pt>
                <c:pt idx="60">
                  <c:v>2.8245167118337853</c:v>
                </c:pt>
                <c:pt idx="61">
                  <c:v>2.8715919903643483</c:v>
                </c:pt>
                <c:pt idx="62">
                  <c:v>2.9186672688949113</c:v>
                </c:pt>
                <c:pt idx="63">
                  <c:v>2.9657425474254748</c:v>
                </c:pt>
                <c:pt idx="64">
                  <c:v>3.0128178259560374</c:v>
                </c:pt>
                <c:pt idx="65">
                  <c:v>3.0598931044866009</c:v>
                </c:pt>
                <c:pt idx="66">
                  <c:v>3.1069683830171635</c:v>
                </c:pt>
                <c:pt idx="67">
                  <c:v>3.154043661547727</c:v>
                </c:pt>
                <c:pt idx="68">
                  <c:v>3.2011189400782896</c:v>
                </c:pt>
                <c:pt idx="69">
                  <c:v>3.248194218608853</c:v>
                </c:pt>
                <c:pt idx="70">
                  <c:v>3.2952694971394161</c:v>
                </c:pt>
                <c:pt idx="71">
                  <c:v>3.3423447756699787</c:v>
                </c:pt>
                <c:pt idx="72">
                  <c:v>3.3894200542005422</c:v>
                </c:pt>
                <c:pt idx="73">
                  <c:v>3.4364953327311056</c:v>
                </c:pt>
                <c:pt idx="74">
                  <c:v>3.4835706112616682</c:v>
                </c:pt>
                <c:pt idx="75">
                  <c:v>3.5306458897922317</c:v>
                </c:pt>
                <c:pt idx="76">
                  <c:v>3.5777211683227943</c:v>
                </c:pt>
                <c:pt idx="77">
                  <c:v>3.6247964468533578</c:v>
                </c:pt>
                <c:pt idx="78">
                  <c:v>3.6718717253839213</c:v>
                </c:pt>
                <c:pt idx="79">
                  <c:v>3.7189470039144839</c:v>
                </c:pt>
                <c:pt idx="80">
                  <c:v>3.7660222824450469</c:v>
                </c:pt>
                <c:pt idx="81">
                  <c:v>3.8130975609756099</c:v>
                </c:pt>
                <c:pt idx="82">
                  <c:v>3.860172839506173</c:v>
                </c:pt>
                <c:pt idx="83">
                  <c:v>3.9072481180367364</c:v>
                </c:pt>
                <c:pt idx="84">
                  <c:v>3.954323396567299</c:v>
                </c:pt>
                <c:pt idx="85">
                  <c:v>4.0013986750978621</c:v>
                </c:pt>
                <c:pt idx="86">
                  <c:v>4.0484739536284255</c:v>
                </c:pt>
                <c:pt idx="87">
                  <c:v>4.095549232158989</c:v>
                </c:pt>
                <c:pt idx="88">
                  <c:v>4.0999999999999996</c:v>
                </c:pt>
                <c:pt idx="89">
                  <c:v>4.0999999999999996</c:v>
                </c:pt>
                <c:pt idx="90">
                  <c:v>4.0999999999999996</c:v>
                </c:pt>
                <c:pt idx="91">
                  <c:v>4.0999999999999996</c:v>
                </c:pt>
                <c:pt idx="92">
                  <c:v>4.0999999999999996</c:v>
                </c:pt>
                <c:pt idx="93">
                  <c:v>4.0999999999999996</c:v>
                </c:pt>
                <c:pt idx="94">
                  <c:v>4.0999999999999996</c:v>
                </c:pt>
                <c:pt idx="95">
                  <c:v>4.0999999999999996</c:v>
                </c:pt>
                <c:pt idx="96">
                  <c:v>4.0999999999999996</c:v>
                </c:pt>
                <c:pt idx="97">
                  <c:v>4.0999999999999996</c:v>
                </c:pt>
                <c:pt idx="98">
                  <c:v>4.0999999999999996</c:v>
                </c:pt>
                <c:pt idx="99">
                  <c:v>4.0999999999999996</c:v>
                </c:pt>
                <c:pt idx="100">
                  <c:v>4.0999999999999996</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4.2</c:v>
                </c:pt>
                <c:pt idx="2">
                  <c:v>8.4</c:v>
                </c:pt>
                <c:pt idx="3">
                  <c:v>12.599999999999998</c:v>
                </c:pt>
                <c:pt idx="4">
                  <c:v>16.8</c:v>
                </c:pt>
                <c:pt idx="5">
                  <c:v>21</c:v>
                </c:pt>
                <c:pt idx="6">
                  <c:v>25.199999999999996</c:v>
                </c:pt>
                <c:pt idx="7">
                  <c:v>29.400000000000002</c:v>
                </c:pt>
                <c:pt idx="8">
                  <c:v>33.6</c:v>
                </c:pt>
                <c:pt idx="9">
                  <c:v>37.799999999999997</c:v>
                </c:pt>
                <c:pt idx="10">
                  <c:v>42</c:v>
                </c:pt>
                <c:pt idx="11">
                  <c:v>46.199999999999996</c:v>
                </c:pt>
                <c:pt idx="12">
                  <c:v>50.399999999999991</c:v>
                </c:pt>
                <c:pt idx="13">
                  <c:v>54.6</c:v>
                </c:pt>
                <c:pt idx="14">
                  <c:v>58.800000000000004</c:v>
                </c:pt>
                <c:pt idx="15">
                  <c:v>63</c:v>
                </c:pt>
                <c:pt idx="16">
                  <c:v>67.2</c:v>
                </c:pt>
                <c:pt idx="17">
                  <c:v>71.400000000000006</c:v>
                </c:pt>
                <c:pt idx="18">
                  <c:v>75.599999999999994</c:v>
                </c:pt>
                <c:pt idx="19">
                  <c:v>79.8</c:v>
                </c:pt>
                <c:pt idx="20">
                  <c:v>84</c:v>
                </c:pt>
                <c:pt idx="21">
                  <c:v>88.199999999999989</c:v>
                </c:pt>
                <c:pt idx="22">
                  <c:v>92.399999999999991</c:v>
                </c:pt>
                <c:pt idx="23">
                  <c:v>96.600000000000009</c:v>
                </c:pt>
                <c:pt idx="24">
                  <c:v>100.79999999999998</c:v>
                </c:pt>
                <c:pt idx="25">
                  <c:v>105</c:v>
                </c:pt>
                <c:pt idx="26">
                  <c:v>109.2</c:v>
                </c:pt>
                <c:pt idx="27">
                  <c:v>113.4</c:v>
                </c:pt>
                <c:pt idx="28">
                  <c:v>117.60000000000001</c:v>
                </c:pt>
                <c:pt idx="29">
                  <c:v>121.8</c:v>
                </c:pt>
                <c:pt idx="30">
                  <c:v>126</c:v>
                </c:pt>
                <c:pt idx="31">
                  <c:v>130.19999999999999</c:v>
                </c:pt>
                <c:pt idx="32">
                  <c:v>134.4</c:v>
                </c:pt>
                <c:pt idx="33">
                  <c:v>138.6</c:v>
                </c:pt>
                <c:pt idx="34">
                  <c:v>142.80000000000001</c:v>
                </c:pt>
                <c:pt idx="35">
                  <c:v>147</c:v>
                </c:pt>
                <c:pt idx="36">
                  <c:v>151.19999999999999</c:v>
                </c:pt>
                <c:pt idx="37">
                  <c:v>155.39999999999998</c:v>
                </c:pt>
                <c:pt idx="38">
                  <c:v>159.6</c:v>
                </c:pt>
                <c:pt idx="39">
                  <c:v>163.80000000000001</c:v>
                </c:pt>
                <c:pt idx="40">
                  <c:v>168</c:v>
                </c:pt>
                <c:pt idx="41">
                  <c:v>172.2</c:v>
                </c:pt>
                <c:pt idx="42">
                  <c:v>176.39999999999998</c:v>
                </c:pt>
                <c:pt idx="43">
                  <c:v>180.6</c:v>
                </c:pt>
                <c:pt idx="44">
                  <c:v>184.79999999999998</c:v>
                </c:pt>
                <c:pt idx="45">
                  <c:v>189</c:v>
                </c:pt>
                <c:pt idx="46">
                  <c:v>193.20000000000002</c:v>
                </c:pt>
                <c:pt idx="47">
                  <c:v>197.4</c:v>
                </c:pt>
                <c:pt idx="48">
                  <c:v>201.59999999999997</c:v>
                </c:pt>
                <c:pt idx="49">
                  <c:v>205.79999999999998</c:v>
                </c:pt>
                <c:pt idx="50">
                  <c:v>210</c:v>
                </c:pt>
                <c:pt idx="51">
                  <c:v>214.2</c:v>
                </c:pt>
                <c:pt idx="52">
                  <c:v>218.4</c:v>
                </c:pt>
                <c:pt idx="53">
                  <c:v>222.6</c:v>
                </c:pt>
                <c:pt idx="54">
                  <c:v>226.8</c:v>
                </c:pt>
                <c:pt idx="55">
                  <c:v>231</c:v>
                </c:pt>
                <c:pt idx="56">
                  <c:v>235.20000000000002</c:v>
                </c:pt>
                <c:pt idx="57">
                  <c:v>239.39999999999998</c:v>
                </c:pt>
                <c:pt idx="58">
                  <c:v>243.6</c:v>
                </c:pt>
                <c:pt idx="59">
                  <c:v>247.79999999999995</c:v>
                </c:pt>
                <c:pt idx="60">
                  <c:v>252</c:v>
                </c:pt>
                <c:pt idx="61">
                  <c:v>256.2</c:v>
                </c:pt>
                <c:pt idx="62">
                  <c:v>260.39999999999998</c:v>
                </c:pt>
                <c:pt idx="63">
                  <c:v>264.60000000000002</c:v>
                </c:pt>
                <c:pt idx="64">
                  <c:v>268.8</c:v>
                </c:pt>
                <c:pt idx="65">
                  <c:v>273</c:v>
                </c:pt>
                <c:pt idx="66">
                  <c:v>277.2</c:v>
                </c:pt>
                <c:pt idx="67">
                  <c:v>281.39999999999998</c:v>
                </c:pt>
                <c:pt idx="68">
                  <c:v>285.60000000000002</c:v>
                </c:pt>
                <c:pt idx="69">
                  <c:v>289.79999999999995</c:v>
                </c:pt>
                <c:pt idx="70">
                  <c:v>294</c:v>
                </c:pt>
                <c:pt idx="71">
                  <c:v>298.2</c:v>
                </c:pt>
                <c:pt idx="72">
                  <c:v>302.39999999999998</c:v>
                </c:pt>
                <c:pt idx="73">
                  <c:v>306.59999999999997</c:v>
                </c:pt>
                <c:pt idx="74">
                  <c:v>310.79999999999995</c:v>
                </c:pt>
                <c:pt idx="75">
                  <c:v>315</c:v>
                </c:pt>
                <c:pt idx="76">
                  <c:v>319.2</c:v>
                </c:pt>
                <c:pt idx="77">
                  <c:v>323.40000000000003</c:v>
                </c:pt>
                <c:pt idx="78">
                  <c:v>327.60000000000002</c:v>
                </c:pt>
                <c:pt idx="79">
                  <c:v>331.8</c:v>
                </c:pt>
                <c:pt idx="80">
                  <c:v>336</c:v>
                </c:pt>
                <c:pt idx="81">
                  <c:v>340.2</c:v>
                </c:pt>
                <c:pt idx="82">
                  <c:v>344.4</c:v>
                </c:pt>
                <c:pt idx="83">
                  <c:v>348.59999999999997</c:v>
                </c:pt>
                <c:pt idx="84">
                  <c:v>352.79999999999995</c:v>
                </c:pt>
                <c:pt idx="85">
                  <c:v>357</c:v>
                </c:pt>
                <c:pt idx="86">
                  <c:v>361.2</c:v>
                </c:pt>
                <c:pt idx="87">
                  <c:v>365.4</c:v>
                </c:pt>
                <c:pt idx="88">
                  <c:v>369.59999999999997</c:v>
                </c:pt>
                <c:pt idx="89">
                  <c:v>373.79999999999995</c:v>
                </c:pt>
                <c:pt idx="90">
                  <c:v>378</c:v>
                </c:pt>
                <c:pt idx="91">
                  <c:v>382.2</c:v>
                </c:pt>
                <c:pt idx="92">
                  <c:v>386.40000000000003</c:v>
                </c:pt>
                <c:pt idx="93">
                  <c:v>390.6</c:v>
                </c:pt>
                <c:pt idx="94">
                  <c:v>394.8</c:v>
                </c:pt>
                <c:pt idx="95">
                  <c:v>398.99999999999994</c:v>
                </c:pt>
                <c:pt idx="96">
                  <c:v>403.19999999999993</c:v>
                </c:pt>
                <c:pt idx="97">
                  <c:v>407.4</c:v>
                </c:pt>
                <c:pt idx="98">
                  <c:v>411.59999999999997</c:v>
                </c:pt>
                <c:pt idx="99">
                  <c:v>415.8</c:v>
                </c:pt>
                <c:pt idx="100">
                  <c:v>420</c:v>
                </c:pt>
              </c:numCache>
            </c:numRef>
          </c:cat>
          <c:val>
            <c:numRef>
              <c:f>'Calculations - Dual'!$AI$5:$AI$105</c:f>
              <c:numCache>
                <c:formatCode>0.000</c:formatCode>
                <c:ptCount val="101"/>
                <c:pt idx="0">
                  <c:v>0.82</c:v>
                </c:pt>
                <c:pt idx="1">
                  <c:v>0.82</c:v>
                </c:pt>
                <c:pt idx="2">
                  <c:v>0.82</c:v>
                </c:pt>
                <c:pt idx="3">
                  <c:v>0.82</c:v>
                </c:pt>
                <c:pt idx="4">
                  <c:v>0.82</c:v>
                </c:pt>
                <c:pt idx="5">
                  <c:v>0.82</c:v>
                </c:pt>
                <c:pt idx="6">
                  <c:v>0.82</c:v>
                </c:pt>
                <c:pt idx="7">
                  <c:v>0.82</c:v>
                </c:pt>
                <c:pt idx="8">
                  <c:v>0.82</c:v>
                </c:pt>
                <c:pt idx="9">
                  <c:v>0.83870648705525785</c:v>
                </c:pt>
                <c:pt idx="10">
                  <c:v>0.88407426248438059</c:v>
                </c:pt>
                <c:pt idx="11">
                  <c:v>0.92722490893311948</c:v>
                </c:pt>
                <c:pt idx="12">
                  <c:v>0.96845483214487693</c:v>
                </c:pt>
                <c:pt idx="13">
                  <c:v>1.0079997480473357</c:v>
                </c:pt>
                <c:pt idx="14">
                  <c:v>1.0460507742085097</c:v>
                </c:pt>
                <c:pt idx="15">
                  <c:v>1.0827654189070468</c:v>
                </c:pt>
                <c:pt idx="16">
                  <c:v>1.1182753160736771</c:v>
                </c:pt>
                <c:pt idx="17">
                  <c:v>1.1526918116731864</c:v>
                </c:pt>
                <c:pt idx="18">
                  <c:v>1.1861100888438403</c:v>
                </c:pt>
                <c:pt idx="19">
                  <c:v>1.2186122734552909</c:v>
                </c:pt>
                <c:pt idx="20">
                  <c:v>1.2502698121504026</c:v>
                </c:pt>
                <c:pt idx="21">
                  <c:v>1.2811453209270731</c:v>
                </c:pt>
                <c:pt idx="22">
                  <c:v>1.3112940415833756</c:v>
                </c:pt>
                <c:pt idx="23">
                  <c:v>1.340765003142159</c:v>
                </c:pt>
                <c:pt idx="24">
                  <c:v>1.3696019581650443</c:v>
                </c:pt>
                <c:pt idx="25">
                  <c:v>1.3978441450920964</c:v>
                </c:pt>
                <c:pt idx="26">
                  <c:v>1.4255269145572047</c:v>
                </c:pt>
                <c:pt idx="27">
                  <c:v>1.4526822482173156</c:v>
                </c:pt>
                <c:pt idx="28">
                  <c:v>1.4793391918165506</c:v>
                </c:pt>
                <c:pt idx="29">
                  <c:v>1.505524219201795</c:v>
                </c:pt>
                <c:pt idx="30">
                  <c:v>1.5312615402869312</c:v>
                </c:pt>
                <c:pt idx="31">
                  <c:v>1.5565733631668746</c:v>
                </c:pt>
                <c:pt idx="32">
                  <c:v>1.5814801184584537</c:v>
                </c:pt>
                <c:pt idx="33">
                  <c:v>1.6060006523155883</c:v>
                </c:pt>
                <c:pt idx="34">
                  <c:v>1.6301523933046336</c:v>
                </c:pt>
                <c:pt idx="35">
                  <c:v>1.6539514973407037</c:v>
                </c:pt>
                <c:pt idx="36">
                  <c:v>1.6774129741105157</c:v>
                </c:pt>
                <c:pt idx="37">
                  <c:v>1.7005507977925904</c:v>
                </c:pt>
                <c:pt idx="38">
                  <c:v>1.7233780043947833</c:v>
                </c:pt>
                <c:pt idx="39">
                  <c:v>1.7459067776346124</c:v>
                </c:pt>
                <c:pt idx="40">
                  <c:v>1.7681485249687612</c:v>
                </c:pt>
                <c:pt idx="41">
                  <c:v>1.7901139451185604</c:v>
                </c:pt>
                <c:pt idx="42">
                  <c:v>1.8118130882258983</c:v>
                </c:pt>
                <c:pt idx="43">
                  <c:v>1.8332554095993816</c:v>
                </c:pt>
                <c:pt idx="44">
                  <c:v>1.854449817866239</c:v>
                </c:pt>
                <c:pt idx="45">
                  <c:v>1.875404718225604</c:v>
                </c:pt>
                <c:pt idx="46">
                  <c:v>1.8961280513988468</c:v>
                </c:pt>
                <c:pt idx="47">
                  <c:v>1.9166273287888591</c:v>
                </c:pt>
                <c:pt idx="48">
                  <c:v>1.9369096642897539</c:v>
                </c:pt>
                <c:pt idx="49">
                  <c:v>1.9569818031289352</c:v>
                </c:pt>
                <c:pt idx="50">
                  <c:v>1.9768501480730671</c:v>
                </c:pt>
                <c:pt idx="51">
                  <c:v>1.9965207832865748</c:v>
                </c:pt>
                <c:pt idx="52">
                  <c:v>2.0159994960946714</c:v>
                </c:pt>
                <c:pt idx="53">
                  <c:v>2.0352917968715687</c:v>
                </c:pt>
                <c:pt idx="54">
                  <c:v>2.0544029372475663</c:v>
                </c:pt>
                <c:pt idx="55">
                  <c:v>2.073337926805507</c:v>
                </c:pt>
                <c:pt idx="56">
                  <c:v>2.0921015484170193</c:v>
                </c:pt>
                <c:pt idx="57">
                  <c:v>2.1106983723515822</c:v>
                </c:pt>
                <c:pt idx="58">
                  <c:v>2.1291327692763429</c:v>
                </c:pt>
                <c:pt idx="59">
                  <c:v>2.1474089222514374</c:v>
                </c:pt>
                <c:pt idx="60">
                  <c:v>2.1655308378140936</c:v>
                </c:pt>
                <c:pt idx="61">
                  <c:v>2.1835023562347122</c:v>
                </c:pt>
                <c:pt idx="62">
                  <c:v>2.2013271610192953</c:v>
                </c:pt>
                <c:pt idx="63">
                  <c:v>2.2190087877248255</c:v>
                </c:pt>
                <c:pt idx="64">
                  <c:v>2.2365506321473543</c:v>
                </c:pt>
                <c:pt idx="65">
                  <c:v>2.2539559579365034</c:v>
                </c:pt>
                <c:pt idx="66">
                  <c:v>2.2712279036847423</c:v>
                </c:pt>
                <c:pt idx="67">
                  <c:v>2.2883694895350533</c:v>
                </c:pt>
                <c:pt idx="68">
                  <c:v>2.3053836233463727</c:v>
                </c:pt>
                <c:pt idx="69">
                  <c:v>2.3222731064524647</c:v>
                </c:pt>
                <c:pt idx="70">
                  <c:v>2.339040639046511</c:v>
                </c:pt>
                <c:pt idx="71">
                  <c:v>2.3556888252207338</c:v>
                </c:pt>
                <c:pt idx="72">
                  <c:v>2.3722201776876806</c:v>
                </c:pt>
                <c:pt idx="73">
                  <c:v>2.388637122207411</c:v>
                </c:pt>
                <c:pt idx="74">
                  <c:v>2.4049420017426679</c:v>
                </c:pt>
                <c:pt idx="75">
                  <c:v>2.4211370803621928</c:v>
                </c:pt>
                <c:pt idx="76">
                  <c:v>2.4372245469105818</c:v>
                </c:pt>
                <c:pt idx="77">
                  <c:v>2.4532065184615468</c:v>
                </c:pt>
                <c:pt idx="78">
                  <c:v>2.4690850435699763</c:v>
                </c:pt>
                <c:pt idx="79">
                  <c:v>2.4848621053369708</c:v>
                </c:pt>
                <c:pt idx="80">
                  <c:v>2.5005396243008051</c:v>
                </c:pt>
                <c:pt idx="81">
                  <c:v>2.5161194611657738</c:v>
                </c:pt>
                <c:pt idx="82">
                  <c:v>2.5316034193798744</c:v>
                </c:pt>
                <c:pt idx="83">
                  <c:v>2.5469932475714581</c:v>
                </c:pt>
                <c:pt idx="84">
                  <c:v>2.5622906418541462</c:v>
                </c:pt>
                <c:pt idx="85">
                  <c:v>2.5774972480086302</c:v>
                </c:pt>
                <c:pt idx="86">
                  <c:v>2.592614663549289</c:v>
                </c:pt>
                <c:pt idx="87">
                  <c:v>2.6076444396829728</c:v>
                </c:pt>
                <c:pt idx="88">
                  <c:v>2.6225880831667512</c:v>
                </c:pt>
                <c:pt idx="89">
                  <c:v>2.6374470580709266</c:v>
                </c:pt>
                <c:pt idx="90">
                  <c:v>2.6522227874531419</c:v>
                </c:pt>
                <c:pt idx="91">
                  <c:v>2.6669166549490151</c:v>
                </c:pt>
                <c:pt idx="92">
                  <c:v>2.6815300062843179</c:v>
                </c:pt>
                <c:pt idx="93">
                  <c:v>2.6960641507133887</c:v>
                </c:pt>
                <c:pt idx="94">
                  <c:v>2.710520362388122</c:v>
                </c:pt>
                <c:pt idx="95">
                  <c:v>2.7248998816615932</c:v>
                </c:pt>
                <c:pt idx="96">
                  <c:v>2.7392039163300885</c:v>
                </c:pt>
                <c:pt idx="97">
                  <c:v>2.7534336428170598</c:v>
                </c:pt>
                <c:pt idx="98">
                  <c:v>2.7675902073022942</c:v>
                </c:pt>
                <c:pt idx="99">
                  <c:v>2.7816747267993587</c:v>
                </c:pt>
                <c:pt idx="100">
                  <c:v>2.7956882901841928</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0.82</c:v>
                </c:pt>
                <c:pt idx="1">
                  <c:v>0.82</c:v>
                </c:pt>
                <c:pt idx="2">
                  <c:v>0.82</c:v>
                </c:pt>
                <c:pt idx="3">
                  <c:v>0.82</c:v>
                </c:pt>
                <c:pt idx="4">
                  <c:v>0.82</c:v>
                </c:pt>
                <c:pt idx="5">
                  <c:v>0.82</c:v>
                </c:pt>
                <c:pt idx="6">
                  <c:v>0.82</c:v>
                </c:pt>
                <c:pt idx="7">
                  <c:v>0.82</c:v>
                </c:pt>
                <c:pt idx="8">
                  <c:v>0.82</c:v>
                </c:pt>
                <c:pt idx="9">
                  <c:v>0.83870648705525785</c:v>
                </c:pt>
                <c:pt idx="10">
                  <c:v>0.88407426248438059</c:v>
                </c:pt>
                <c:pt idx="11">
                  <c:v>0.92722490893311948</c:v>
                </c:pt>
                <c:pt idx="12">
                  <c:v>0.96845483214487693</c:v>
                </c:pt>
                <c:pt idx="13">
                  <c:v>1.0079997480473357</c:v>
                </c:pt>
                <c:pt idx="14">
                  <c:v>1.0460507742085097</c:v>
                </c:pt>
                <c:pt idx="15">
                  <c:v>1.0827654189070468</c:v>
                </c:pt>
                <c:pt idx="16">
                  <c:v>1.1182753160736771</c:v>
                </c:pt>
                <c:pt idx="17">
                  <c:v>1.1526918116731864</c:v>
                </c:pt>
                <c:pt idx="18">
                  <c:v>1.1861100888438403</c:v>
                </c:pt>
                <c:pt idx="19">
                  <c:v>1.2186122734552909</c:v>
                </c:pt>
                <c:pt idx="20">
                  <c:v>1.2502698121504026</c:v>
                </c:pt>
                <c:pt idx="21">
                  <c:v>1.2811453209270731</c:v>
                </c:pt>
                <c:pt idx="22">
                  <c:v>1.3112940415833756</c:v>
                </c:pt>
                <c:pt idx="23">
                  <c:v>1.340765003142159</c:v>
                </c:pt>
                <c:pt idx="24">
                  <c:v>1.3696019581650443</c:v>
                </c:pt>
                <c:pt idx="25">
                  <c:v>1.3978441450920964</c:v>
                </c:pt>
                <c:pt idx="26">
                  <c:v>1.4255269145572047</c:v>
                </c:pt>
                <c:pt idx="27">
                  <c:v>1.4526822482173156</c:v>
                </c:pt>
                <c:pt idx="28">
                  <c:v>1.4793391918165506</c:v>
                </c:pt>
                <c:pt idx="29">
                  <c:v>1.505524219201795</c:v>
                </c:pt>
                <c:pt idx="30">
                  <c:v>1.5312615402869312</c:v>
                </c:pt>
                <c:pt idx="31">
                  <c:v>1.5565733631668746</c:v>
                </c:pt>
                <c:pt idx="32">
                  <c:v>1.5814801184584537</c:v>
                </c:pt>
                <c:pt idx="33">
                  <c:v>1.6060006523155883</c:v>
                </c:pt>
                <c:pt idx="34">
                  <c:v>1.6301523933046336</c:v>
                </c:pt>
                <c:pt idx="35">
                  <c:v>1.6539514973407037</c:v>
                </c:pt>
                <c:pt idx="36">
                  <c:v>1.6774129741105157</c:v>
                </c:pt>
                <c:pt idx="37">
                  <c:v>1.7005507977925904</c:v>
                </c:pt>
                <c:pt idx="38">
                  <c:v>1.7233780043947833</c:v>
                </c:pt>
                <c:pt idx="39">
                  <c:v>1.7459067776346124</c:v>
                </c:pt>
                <c:pt idx="40">
                  <c:v>1.7681485249687612</c:v>
                </c:pt>
                <c:pt idx="41">
                  <c:v>1.7901139451185604</c:v>
                </c:pt>
                <c:pt idx="42">
                  <c:v>1.8118130882258983</c:v>
                </c:pt>
                <c:pt idx="43">
                  <c:v>1.8332554095993816</c:v>
                </c:pt>
                <c:pt idx="44">
                  <c:v>1.854449817866239</c:v>
                </c:pt>
                <c:pt idx="45">
                  <c:v>1.875404718225604</c:v>
                </c:pt>
                <c:pt idx="46">
                  <c:v>1.8961280513988468</c:v>
                </c:pt>
                <c:pt idx="47">
                  <c:v>1.9166273287888591</c:v>
                </c:pt>
                <c:pt idx="48">
                  <c:v>1.9369096642897539</c:v>
                </c:pt>
                <c:pt idx="49">
                  <c:v>1.9569818031289352</c:v>
                </c:pt>
                <c:pt idx="50">
                  <c:v>1.9768501480730671</c:v>
                </c:pt>
                <c:pt idx="51">
                  <c:v>1.9965207832865748</c:v>
                </c:pt>
                <c:pt idx="52">
                  <c:v>2.0159994960946714</c:v>
                </c:pt>
                <c:pt idx="53">
                  <c:v>2.0352917968715687</c:v>
                </c:pt>
                <c:pt idx="54">
                  <c:v>2.0544029372475663</c:v>
                </c:pt>
                <c:pt idx="55">
                  <c:v>2.073337926805507</c:v>
                </c:pt>
                <c:pt idx="56">
                  <c:v>2.0921015484170193</c:v>
                </c:pt>
                <c:pt idx="57">
                  <c:v>2.1106983723515822</c:v>
                </c:pt>
                <c:pt idx="58">
                  <c:v>2.1291327692763429</c:v>
                </c:pt>
                <c:pt idx="59">
                  <c:v>2.1474089222514374</c:v>
                </c:pt>
                <c:pt idx="60">
                  <c:v>2.1655308378140936</c:v>
                </c:pt>
                <c:pt idx="61">
                  <c:v>2.1835023562347122</c:v>
                </c:pt>
                <c:pt idx="62">
                  <c:v>2.2013271610192953</c:v>
                </c:pt>
                <c:pt idx="63">
                  <c:v>2.2190087877248255</c:v>
                </c:pt>
                <c:pt idx="64">
                  <c:v>2.2365506321473543</c:v>
                </c:pt>
                <c:pt idx="65">
                  <c:v>2.2539559579365034</c:v>
                </c:pt>
                <c:pt idx="66">
                  <c:v>2.2712279036847423</c:v>
                </c:pt>
                <c:pt idx="67">
                  <c:v>2.2883694895350533</c:v>
                </c:pt>
                <c:pt idx="68">
                  <c:v>2.3053836233463727</c:v>
                </c:pt>
                <c:pt idx="69">
                  <c:v>2.3222731064524647</c:v>
                </c:pt>
                <c:pt idx="70">
                  <c:v>2.339040639046511</c:v>
                </c:pt>
                <c:pt idx="71">
                  <c:v>2.3556888252207338</c:v>
                </c:pt>
                <c:pt idx="72">
                  <c:v>2.3722201776876806</c:v>
                </c:pt>
                <c:pt idx="73">
                  <c:v>2.388637122207411</c:v>
                </c:pt>
                <c:pt idx="74">
                  <c:v>2.4049420017426679</c:v>
                </c:pt>
                <c:pt idx="75">
                  <c:v>2.4211370803621928</c:v>
                </c:pt>
                <c:pt idx="76">
                  <c:v>2.4372245469105818</c:v>
                </c:pt>
                <c:pt idx="77">
                  <c:v>2.4532065184615468</c:v>
                </c:pt>
                <c:pt idx="78">
                  <c:v>2.4690850435699763</c:v>
                </c:pt>
                <c:pt idx="79">
                  <c:v>2.4848621053369708</c:v>
                </c:pt>
                <c:pt idx="80">
                  <c:v>2.702195121951219</c:v>
                </c:pt>
                <c:pt idx="81">
                  <c:v>2.7359725609756094</c:v>
                </c:pt>
                <c:pt idx="82">
                  <c:v>2.7697499999999993</c:v>
                </c:pt>
                <c:pt idx="83">
                  <c:v>2.8035274390243901</c:v>
                </c:pt>
                <c:pt idx="84">
                  <c:v>2.83730487804878</c:v>
                </c:pt>
                <c:pt idx="85">
                  <c:v>2.8710823170731703</c:v>
                </c:pt>
                <c:pt idx="86">
                  <c:v>2.9048597560975602</c:v>
                </c:pt>
                <c:pt idx="87">
                  <c:v>2.9386371951219514</c:v>
                </c:pt>
                <c:pt idx="88">
                  <c:v>2.9724146341463409</c:v>
                </c:pt>
                <c:pt idx="89">
                  <c:v>3.0061920731707312</c:v>
                </c:pt>
                <c:pt idx="90">
                  <c:v>3.039969512195122</c:v>
                </c:pt>
                <c:pt idx="91">
                  <c:v>3.0737469512195119</c:v>
                </c:pt>
                <c:pt idx="92">
                  <c:v>3.1075243902439023</c:v>
                </c:pt>
                <c:pt idx="93">
                  <c:v>3.1413018292682922</c:v>
                </c:pt>
                <c:pt idx="94">
                  <c:v>3.1750792682926829</c:v>
                </c:pt>
                <c:pt idx="95">
                  <c:v>3.2088567073170728</c:v>
                </c:pt>
                <c:pt idx="96">
                  <c:v>3.2426341463414627</c:v>
                </c:pt>
                <c:pt idx="97">
                  <c:v>3.2764115853658531</c:v>
                </c:pt>
                <c:pt idx="98">
                  <c:v>3.3101890243902439</c:v>
                </c:pt>
                <c:pt idx="99">
                  <c:v>3.3439664634146338</c:v>
                </c:pt>
                <c:pt idx="100">
                  <c:v>3.3777439024390237</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2:$R$66" noThreeD="1" sel="5" val="0"/>
</file>

<file path=xl/ctrlProps/ctrlProp11.xml><?xml version="1.0" encoding="utf-8"?>
<formControlPr xmlns="http://schemas.microsoft.com/office/spreadsheetml/2009/9/main" objectType="Drop" dropStyle="combo" dx="22" fmlaLink="$Q$36" fmlaRange="'Variable Mgmt'!$W$71:$W$74" noThreeD="1" sel="3" val="0"/>
</file>

<file path=xl/ctrlProps/ctrlProp12.xml><?xml version="1.0" encoding="utf-8"?>
<formControlPr xmlns="http://schemas.microsoft.com/office/spreadsheetml/2009/9/main" objectType="Drop" dropStyle="combo" dx="22" fmlaLink="$Q$41" fmlaRange="'Variable Mgmt'!$R$62:$R$64" noThreeD="1" sel="1" val="0"/>
</file>

<file path=xl/ctrlProps/ctrlProp13.xml><?xml version="1.0" encoding="utf-8"?>
<formControlPr xmlns="http://schemas.microsoft.com/office/spreadsheetml/2009/9/main" objectType="Drop" dropStyle="combo" dx="22" fmlaLink="$Q$38" fmlaRange="'Variable Mgmt'!$W$71:$W$74" noThreeD="1" sel="3" val="0"/>
</file>

<file path=xl/ctrlProps/ctrlProp14.xml><?xml version="1.0" encoding="utf-8"?>
<formControlPr xmlns="http://schemas.microsoft.com/office/spreadsheetml/2009/9/main" objectType="Drop" dropStyle="combo" dx="22" fmlaLink="$Q$37" fmlaRange="'Variable Mgmt'!$W$71:$W$74" noThreeD="1" sel="3" val="0"/>
</file>

<file path=xl/ctrlProps/ctrlProp15.xml><?xml version="1.0" encoding="utf-8"?>
<formControlPr xmlns="http://schemas.microsoft.com/office/spreadsheetml/2009/9/main" objectType="Drop" dropStyle="combo" dx="22" fmlaLink="$Q$40" fmlaRange="'Variable Mgmt'!$R$62:$R$64" noThreeD="1" sel="1" val="0"/>
</file>

<file path=xl/ctrlProps/ctrlProp16.xml><?xml version="1.0" encoding="utf-8"?>
<formControlPr xmlns="http://schemas.microsoft.com/office/spreadsheetml/2009/9/main" objectType="Drop" dropStyle="combo" dx="22" fmlaLink="$Q$42" fmlaRange="'Variable Mgmt'!$R$62:$R$64" noThreeD="1" sel="1" val="0"/>
</file>

<file path=xl/ctrlProps/ctrlProp17.xml><?xml version="1.0" encoding="utf-8"?>
<formControlPr xmlns="http://schemas.microsoft.com/office/spreadsheetml/2009/9/main" objectType="Drop" dropStyle="combo" dx="22" fmlaLink="$Q$43" fmlaRange="'Variable Mgmt'!$R$62:$R$64" noThreeD="1" sel="1" val="0"/>
</file>

<file path=xl/ctrlProps/ctrlProp18.xml><?xml version="1.0" encoding="utf-8"?>
<formControlPr xmlns="http://schemas.microsoft.com/office/spreadsheetml/2009/9/main" objectType="Drop" dropStyle="combo" dx="22" fmlaLink="$Q$44" fmlaRange="'Variable Mgmt'!$R$62:$R$64" noThreeD="1" sel="1" val="0"/>
</file>

<file path=xl/ctrlProps/ctrlProp19.xml><?xml version="1.0" encoding="utf-8"?>
<formControlPr xmlns="http://schemas.microsoft.com/office/spreadsheetml/2009/9/main" objectType="Drop" dropStyle="combo" dx="22" fmlaLink="$Q$35" fmlaRange="'Variable Mgmt'!$W$71:$W$75" noThreeD="1" sel="4" val="0"/>
</file>

<file path=xl/ctrlProps/ctrlProp2.xml><?xml version="1.0" encoding="utf-8"?>
<formControlPr xmlns="http://schemas.microsoft.com/office/spreadsheetml/2009/9/main" objectType="Spin" dx="16" fmlaLink="$E$7" max="65" min="3" page="10" val="12"/>
</file>

<file path=xl/ctrlProps/ctrlProp20.xml><?xml version="1.0" encoding="utf-8"?>
<formControlPr xmlns="http://schemas.microsoft.com/office/spreadsheetml/2009/9/main" objectType="Drop" dropStyle="combo" dx="22" fmlaLink="$Q$45" fmlaRange="'Variable Mgmt'!$R$71:$R$77" noThreeD="1" sel="5" val="0"/>
</file>

<file path=xl/ctrlProps/ctrlProp21.xml><?xml version="1.0" encoding="utf-8"?>
<formControlPr xmlns="http://schemas.microsoft.com/office/spreadsheetml/2009/9/main" objectType="Drop" dropStyle="combo" dx="22" fmlaLink="$Q$34" fmlaRange="'Variable Mgmt'!$R$62:$R$64" noThreeD="1" sel="1" val="0"/>
</file>

<file path=xl/ctrlProps/ctrlProp22.xml><?xml version="1.0" encoding="utf-8"?>
<formControlPr xmlns="http://schemas.microsoft.com/office/spreadsheetml/2009/9/main" objectType="Drop" dropStyle="combo" dx="22" fmlaLink="$Q$33" fmlaRange="'Variable Mgmt'!$R$62:$R$66" noThreeD="1" sel="5" val="0"/>
</file>

<file path=xl/ctrlProps/ctrlProp23.xml><?xml version="1.0" encoding="utf-8"?>
<formControlPr xmlns="http://schemas.microsoft.com/office/spreadsheetml/2009/9/main" objectType="Drop" dropStyle="combo" dx="22" fmlaLink="$Q$39" fmlaRange="'Variable Mgmt'!$W$71:$W$73"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2" fmlaRange="'Variable Mgmt'!$I$60:$I$61" noThreeD="1" sel="2" val="0"/>
</file>

<file path=xl/ctrlProps/ctrlProp4.xml><?xml version="1.0" encoding="utf-8"?>
<formControlPr xmlns="http://schemas.microsoft.com/office/spreadsheetml/2009/9/main" objectType="Drop" dropLines="2" dropStyle="combo" dx="22" fmlaLink="'Variable Mgmt'!$G$62" fmlaRange="'Variable Mgmt'!$F$60:$F$61" noThreeD="1" sel="1" val="0"/>
</file>

<file path=xl/ctrlProps/ctrlProp5.xml><?xml version="1.0" encoding="utf-8"?>
<formControlPr xmlns="http://schemas.microsoft.com/office/spreadsheetml/2009/9/main" objectType="Drop" dropLines="10" dropStyle="combo" dx="22" fmlaLink="'Variable Mgmt'!$S$43" fmlaRange="'Variable Mgmt'!$R$28:$R$41" noThreeD="1" sel="8" val="4"/>
</file>

<file path=xl/ctrlProps/ctrlProp6.xml><?xml version="1.0" encoding="utf-8"?>
<formControlPr xmlns="http://schemas.microsoft.com/office/spreadsheetml/2009/9/main" objectType="Drop" dropStyle="combo" dx="22" fmlaLink="'Variable Mgmt'!$G$56" fmlaRange="'Variable Mgmt'!$F$54:$F$55" noThreeD="1" sel="1" val="0"/>
</file>

<file path=xl/ctrlProps/ctrlProp7.xml><?xml version="1.0" encoding="utf-8"?>
<formControlPr xmlns="http://schemas.microsoft.com/office/spreadsheetml/2009/9/main" objectType="Drop" dropLines="10" dropStyle="combo" dx="22" fmlaLink="'Variable Mgmt'!$C$57" fmlaRange="'Variable Mgmt'!$B$54:$B$55" noThreeD="1" sel="1" val="0"/>
</file>

<file path=xl/ctrlProps/ctrlProp8.xml><?xml version="1.0" encoding="utf-8"?>
<formControlPr xmlns="http://schemas.microsoft.com/office/spreadsheetml/2009/9/main" objectType="Drop" dropLines="5" dropStyle="combo" dx="22" fmlaLink="'Variable Mgmt'!$Q$15" fmlaRange="'Variable Mgmt'!$P$10:$P$14" noThreeD="1" sel="5" val="0"/>
</file>

<file path=xl/ctrlProps/ctrlProp9.xml><?xml version="1.0" encoding="utf-8"?>
<formControlPr xmlns="http://schemas.microsoft.com/office/spreadsheetml/2009/9/main" objectType="Drop" dropStyle="combo" dx="22" fmlaLink="'BOM &amp; Schematic'!$Q$31" fmlaRange="'Variable Mgmt'!$R$62:$R$66"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142875</xdr:colOff>
          <xdr:row>0</xdr:row>
          <xdr:rowOff>381000</xdr:rowOff>
        </xdr:from>
        <xdr:to>
          <xdr:col>24</xdr:col>
          <xdr:colOff>523875</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1885511</xdr:colOff>
          <xdr:row>46</xdr:row>
          <xdr:rowOff>92499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639"/>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59599</xdr:colOff>
          <xdr:row>25</xdr:row>
          <xdr:rowOff>59027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640"/>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19">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22µF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5">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9µH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4">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1">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 </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1">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4">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69">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0.42A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133350</xdr:colOff>
          <xdr:row>6</xdr:row>
          <xdr:rowOff>19050</xdr:rowOff>
        </xdr:from>
        <xdr:to>
          <xdr:col>5</xdr:col>
          <xdr:colOff>304800</xdr:colOff>
          <xdr:row>7</xdr:row>
          <xdr:rowOff>28575</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3">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4">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3">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164kΩ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7">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2">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9V...16V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5</xdr:col>
          <xdr:colOff>285750</xdr:colOff>
          <xdr:row>29</xdr:row>
          <xdr:rowOff>28575</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39">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39">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324kΩ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19050</xdr:colOff>
          <xdr:row>34</xdr:row>
          <xdr:rowOff>0</xdr:rowOff>
        </xdr:from>
        <xdr:to>
          <xdr:col>5</xdr:col>
          <xdr:colOff>257175</xdr:colOff>
          <xdr:row>35</xdr:row>
          <xdr:rowOff>2485</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2">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Ruv1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2">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Ruv2</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2">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359059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439039</xdr:colOff>
      <xdr:row>3</xdr:row>
      <xdr:rowOff>133985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549813</xdr:colOff>
      <xdr:row>3</xdr:row>
      <xdr:rowOff>134293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19050</xdr:colOff>
          <xdr:row>11</xdr:row>
          <xdr:rowOff>0</xdr:rowOff>
        </xdr:from>
        <xdr:to>
          <xdr:col>12</xdr:col>
          <xdr:colOff>66675</xdr:colOff>
          <xdr:row>12</xdr:row>
          <xdr:rowOff>19050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19050</xdr:rowOff>
        </xdr:from>
        <xdr:to>
          <xdr:col>5</xdr:col>
          <xdr:colOff>266700</xdr:colOff>
          <xdr:row>32</xdr:row>
          <xdr:rowOff>19050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7">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 : 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0">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86.9%</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5">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0">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 </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6">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 </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1">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19">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19">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xdr:row>
          <xdr:rowOff>247649</xdr:rowOff>
        </xdr:from>
        <xdr:to>
          <xdr:col>17</xdr:col>
          <xdr:colOff>131833</xdr:colOff>
          <xdr:row>46</xdr:row>
          <xdr:rowOff>111125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641"/>
                </a:ext>
              </a:extLst>
            </xdr:cNvPicPr>
          </xdr:nvPicPr>
          <xdr:blipFill>
            <a:blip xmlns:r="http://schemas.openxmlformats.org/officeDocument/2006/relationships" r:embed="rId9"/>
            <a:srcRect/>
            <a:stretch>
              <a:fillRect/>
            </a:stretch>
          </xdr:blipFill>
          <xdr:spPr bwMode="auto">
            <a:xfrm>
              <a:off x="3962400" y="5448299"/>
              <a:ext cx="6685033" cy="4124325"/>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19050</xdr:rowOff>
        </xdr:from>
        <xdr:to>
          <xdr:col>5</xdr:col>
          <xdr:colOff>400050</xdr:colOff>
          <xdr:row>5</xdr:row>
          <xdr:rowOff>1121</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LM25184</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20.15V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78.4%</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0">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86.9%</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0">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86.9%</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9507"/>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90530"/>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127950" y="65131950"/>
          <a:ext cx="0" cy="433387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19050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19050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19050</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19050</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19050</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19050</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19050</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19050</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19050</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19050</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19050</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19050</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19050</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75"/>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19">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22µF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5">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9µH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4">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1">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 </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1">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4">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69">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0.42A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3">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4">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3">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164kΩ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7">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2">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9V...16V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39">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39">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324kΩ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2">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2">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2">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7">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 : 1</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785020</xdr:colOff>
      <xdr:row>13</xdr:row>
      <xdr:rowOff>48199</xdr:rowOff>
    </xdr:from>
    <xdr:to>
      <xdr:col>6</xdr:col>
      <xdr:colOff>507197</xdr:colOff>
      <xdr:row>15</xdr:row>
      <xdr:rowOff>70978</xdr:rowOff>
    </xdr:to>
    <xdr:sp macro="" textlink="'Variable Mgmt'!B215">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5809803" y="2129895"/>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0">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6">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1">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778989</xdr:colOff>
      <xdr:row>13</xdr:row>
      <xdr:rowOff>147540</xdr:rowOff>
    </xdr:from>
    <xdr:to>
      <xdr:col>6</xdr:col>
      <xdr:colOff>384842</xdr:colOff>
      <xdr:row>15</xdr:row>
      <xdr:rowOff>3127</xdr:rowOff>
    </xdr:to>
    <xdr:sp macro="" textlink="'Variable Mgmt'!D219">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5577380" y="2301018"/>
          <a:ext cx="511419" cy="18689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19">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19050</xdr:rowOff>
        </xdr:from>
        <xdr:to>
          <xdr:col>6</xdr:col>
          <xdr:colOff>866775</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19050</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LM25184</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133350</xdr:rowOff>
        </xdr:from>
        <xdr:to>
          <xdr:col>1</xdr:col>
          <xdr:colOff>400050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19050</xdr:colOff>
          <xdr:row>125</xdr:row>
          <xdr:rowOff>142875</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78.4%</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68"/>
  <sheetViews>
    <sheetView tabSelected="1" topLeftCell="A21" zoomScale="115" zoomScaleNormal="115" zoomScaleSheetLayoutView="70" workbookViewId="0">
      <selection activeCell="E30" sqref="E30"/>
    </sheetView>
  </sheetViews>
  <sheetFormatPr defaultColWidth="9.28515625" defaultRowHeight="12.75" x14ac:dyDescent="0.2"/>
  <cols>
    <col min="1" max="1" width="8.28515625" style="108" customWidth="1"/>
    <col min="2" max="2" width="8.28515625" style="47" customWidth="1"/>
    <col min="3" max="3" width="13.5703125" style="47" customWidth="1"/>
    <col min="4" max="4" width="9.7109375" style="47" customWidth="1"/>
    <col min="5" max="5" width="9.28515625" style="47" customWidth="1"/>
    <col min="6" max="6" width="8.7109375" style="47" customWidth="1"/>
    <col min="7" max="7" width="2.7109375" style="47" customWidth="1"/>
    <col min="8" max="9" width="8.28515625" style="47" customWidth="1"/>
    <col min="10" max="10" width="13.7109375" style="47" customWidth="1"/>
    <col min="11" max="11" width="10" style="47" customWidth="1"/>
    <col min="12" max="12" width="9.42578125" style="47" customWidth="1"/>
    <col min="13" max="13" width="8.7109375" style="47" customWidth="1"/>
    <col min="14" max="15" width="9.28515625" style="47"/>
    <col min="16" max="18" width="10.28515625" style="47" customWidth="1"/>
    <col min="19" max="19" width="10" style="47" bestFit="1" customWidth="1"/>
    <col min="20" max="25" width="9.28515625" style="47"/>
    <col min="26" max="26" width="29" style="47" customWidth="1"/>
    <col min="27" max="27" width="3.28515625" style="47" customWidth="1"/>
    <col min="28" max="16384" width="9.28515625" style="47"/>
  </cols>
  <sheetData>
    <row r="1" spans="1:27" ht="47.25" customHeight="1" x14ac:dyDescent="0.2">
      <c r="A1" s="525" t="s">
        <v>804</v>
      </c>
      <c r="B1" s="523"/>
      <c r="C1" s="523"/>
      <c r="D1" s="523"/>
      <c r="E1" s="523"/>
      <c r="F1" s="523"/>
      <c r="G1" s="523"/>
      <c r="H1" s="523"/>
      <c r="I1" s="523"/>
      <c r="J1" s="523"/>
      <c r="K1" s="523"/>
      <c r="L1" s="523"/>
      <c r="M1" s="523"/>
      <c r="N1" s="523"/>
      <c r="O1" s="523"/>
      <c r="P1" s="523"/>
      <c r="Q1" s="523"/>
      <c r="R1" s="524"/>
      <c r="S1" s="524"/>
      <c r="T1" s="524"/>
      <c r="U1" s="524"/>
      <c r="V1" s="421"/>
      <c r="W1" s="421"/>
      <c r="X1" s="421"/>
      <c r="Y1" s="421"/>
      <c r="Z1" s="421"/>
      <c r="AA1" s="421"/>
    </row>
    <row r="2" spans="1:27" ht="14.1" customHeight="1" x14ac:dyDescent="0.45">
      <c r="A2" s="402"/>
      <c r="B2" s="403"/>
      <c r="C2" s="403"/>
      <c r="D2" s="403"/>
      <c r="E2" s="403"/>
      <c r="F2" s="403"/>
      <c r="G2" s="403"/>
      <c r="H2" s="403"/>
      <c r="I2" s="403"/>
      <c r="J2" s="403"/>
      <c r="K2" s="403"/>
      <c r="L2" s="403"/>
      <c r="M2" s="403"/>
      <c r="N2" s="403"/>
      <c r="O2" s="416"/>
      <c r="P2" s="403"/>
      <c r="Q2" s="403"/>
      <c r="R2" s="411"/>
      <c r="S2" s="506"/>
      <c r="T2" s="506"/>
      <c r="U2" s="506"/>
      <c r="V2" s="506"/>
      <c r="W2" s="506"/>
      <c r="X2" s="506"/>
      <c r="Y2" s="506"/>
      <c r="Z2" s="506"/>
      <c r="AA2" s="506"/>
    </row>
    <row r="3" spans="1:27" ht="16.149999999999999" customHeight="1" x14ac:dyDescent="0.45">
      <c r="A3" s="404" t="s">
        <v>105</v>
      </c>
      <c r="B3" s="405"/>
      <c r="C3" s="417" t="s">
        <v>106</v>
      </c>
      <c r="D3" s="406"/>
      <c r="E3" s="84"/>
      <c r="F3" s="408" t="s">
        <v>59</v>
      </c>
      <c r="G3" s="407"/>
      <c r="H3" s="403"/>
      <c r="I3" s="403"/>
      <c r="J3" s="407"/>
      <c r="K3" s="409"/>
      <c r="L3" s="410"/>
      <c r="M3" s="411"/>
      <c r="N3" s="411"/>
      <c r="O3" s="506"/>
      <c r="P3" s="1"/>
      <c r="Q3" s="411" t="s">
        <v>77</v>
      </c>
      <c r="R3" s="411"/>
      <c r="S3" s="506"/>
      <c r="T3" s="506"/>
      <c r="U3" s="526" t="s">
        <v>316</v>
      </c>
      <c r="V3" s="506"/>
      <c r="W3" s="506"/>
      <c r="X3" s="506"/>
      <c r="Y3" s="506"/>
      <c r="Z3" s="506"/>
      <c r="AA3" s="506"/>
    </row>
    <row r="4" spans="1:27" ht="14.1" customHeight="1" thickBot="1" x14ac:dyDescent="0.35">
      <c r="A4" s="412"/>
      <c r="B4" s="413"/>
      <c r="C4" s="414"/>
      <c r="D4" s="414"/>
      <c r="E4" s="414"/>
      <c r="F4" s="414"/>
      <c r="G4" s="414"/>
      <c r="H4" s="414"/>
      <c r="I4" s="414"/>
      <c r="J4" s="414"/>
      <c r="K4" s="414"/>
      <c r="L4" s="414"/>
      <c r="M4" s="415"/>
      <c r="N4" s="415"/>
      <c r="O4" s="415"/>
      <c r="P4" s="415"/>
      <c r="Q4" s="415"/>
      <c r="R4" s="411"/>
      <c r="S4" s="506"/>
      <c r="T4" s="506"/>
      <c r="U4" s="506"/>
      <c r="V4" s="506"/>
      <c r="W4" s="506"/>
      <c r="X4" s="506"/>
      <c r="Y4" s="506"/>
      <c r="Z4" s="506"/>
      <c r="AA4" s="506"/>
    </row>
    <row r="5" spans="1:27" ht="19.5" customHeight="1" thickBot="1" x14ac:dyDescent="0.35">
      <c r="A5" s="107" t="s">
        <v>101</v>
      </c>
      <c r="B5" s="82"/>
      <c r="C5" s="48"/>
      <c r="D5" s="48"/>
      <c r="E5" s="49"/>
      <c r="F5" s="48"/>
      <c r="G5" s="73"/>
      <c r="H5" s="594" t="s">
        <v>362</v>
      </c>
      <c r="I5" s="93"/>
      <c r="J5" s="94"/>
      <c r="K5" s="94"/>
      <c r="L5" s="95"/>
      <c r="M5" s="360"/>
      <c r="N5" s="50"/>
      <c r="O5" s="50"/>
      <c r="P5" s="50"/>
      <c r="Q5" s="50"/>
      <c r="R5" s="507"/>
      <c r="S5" s="507"/>
      <c r="T5" s="507"/>
      <c r="U5" s="507"/>
      <c r="V5" s="507"/>
      <c r="W5" s="507"/>
      <c r="X5" s="507"/>
      <c r="Y5" s="507"/>
      <c r="Z5" s="510"/>
      <c r="AA5" s="506"/>
    </row>
    <row r="6" spans="1:27" ht="15.75" customHeight="1" x14ac:dyDescent="0.2">
      <c r="A6" s="142"/>
      <c r="B6" s="143"/>
      <c r="C6" s="144"/>
      <c r="D6" s="145" t="s">
        <v>370</v>
      </c>
      <c r="E6" s="146">
        <v>9</v>
      </c>
      <c r="F6" s="431" t="s">
        <v>0</v>
      </c>
      <c r="G6" s="91"/>
      <c r="H6" s="462"/>
      <c r="I6" s="514"/>
      <c r="J6" s="210"/>
      <c r="K6" s="515" t="s">
        <v>675</v>
      </c>
      <c r="L6" s="746">
        <f>Lmin</f>
        <v>8.5</v>
      </c>
      <c r="M6" s="640" t="s">
        <v>96</v>
      </c>
      <c r="N6" s="50"/>
      <c r="O6" s="50"/>
      <c r="P6" s="50"/>
      <c r="Q6" s="50"/>
      <c r="R6" s="83"/>
      <c r="S6" s="83"/>
      <c r="T6" s="76"/>
      <c r="U6" s="76"/>
      <c r="V6" s="76"/>
      <c r="W6" s="76"/>
      <c r="X6" s="76"/>
      <c r="Y6" s="76"/>
      <c r="Z6" s="511"/>
      <c r="AA6" s="506"/>
    </row>
    <row r="7" spans="1:27" ht="14.25" customHeight="1" x14ac:dyDescent="0.25">
      <c r="A7" s="136"/>
      <c r="B7" s="135"/>
      <c r="C7" s="137"/>
      <c r="D7" s="147" t="s">
        <v>371</v>
      </c>
      <c r="E7" s="148">
        <v>12</v>
      </c>
      <c r="F7" s="432" t="s">
        <v>0</v>
      </c>
      <c r="G7" s="91"/>
      <c r="H7" s="89"/>
      <c r="I7" s="90"/>
      <c r="J7" s="88"/>
      <c r="K7" s="101" t="s">
        <v>368</v>
      </c>
      <c r="L7" s="148">
        <v>9</v>
      </c>
      <c r="M7" s="432" t="s">
        <v>96</v>
      </c>
      <c r="N7" s="50"/>
      <c r="O7" s="50"/>
      <c r="P7" s="50"/>
      <c r="Q7" s="50"/>
      <c r="R7" s="83"/>
      <c r="S7" s="83"/>
      <c r="T7" s="76"/>
      <c r="U7" s="76"/>
      <c r="V7" s="76"/>
      <c r="W7" s="76"/>
      <c r="X7" s="76"/>
      <c r="Y7" s="76"/>
      <c r="Z7" s="511"/>
      <c r="AA7" s="506"/>
    </row>
    <row r="8" spans="1:27" ht="15.75" customHeight="1" x14ac:dyDescent="0.2">
      <c r="A8" s="136"/>
      <c r="B8" s="135"/>
      <c r="C8" s="137"/>
      <c r="D8" s="147" t="s">
        <v>372</v>
      </c>
      <c r="E8" s="148">
        <v>16</v>
      </c>
      <c r="F8" s="432" t="s">
        <v>0</v>
      </c>
      <c r="G8" s="91"/>
      <c r="H8" s="89"/>
      <c r="I8" s="90"/>
      <c r="J8" s="88"/>
      <c r="K8" s="101" t="s">
        <v>537</v>
      </c>
      <c r="L8" s="148">
        <v>48</v>
      </c>
      <c r="M8" s="432" t="s">
        <v>20</v>
      </c>
      <c r="N8" s="50"/>
      <c r="O8" s="50"/>
      <c r="P8" s="50"/>
      <c r="Q8" s="50"/>
      <c r="R8" s="83"/>
      <c r="S8" s="83"/>
      <c r="T8" s="76"/>
      <c r="U8" s="76"/>
      <c r="V8" s="76"/>
      <c r="W8" s="76"/>
      <c r="X8" s="76"/>
      <c r="Y8" s="76"/>
      <c r="Z8" s="511"/>
      <c r="AA8" s="506"/>
    </row>
    <row r="9" spans="1:27" ht="15.75" customHeight="1" x14ac:dyDescent="0.2">
      <c r="A9" s="136"/>
      <c r="B9" s="135"/>
      <c r="C9" s="137"/>
      <c r="D9" s="147" t="s">
        <v>369</v>
      </c>
      <c r="E9" s="592"/>
      <c r="F9" s="149"/>
      <c r="G9" s="91"/>
      <c r="H9" s="89"/>
      <c r="I9" s="90"/>
      <c r="J9" s="88"/>
      <c r="K9" s="101" t="str">
        <f>CHOOSE(MODE, "Secondary Winding DCR", "Secondary Winding #1 DCR")</f>
        <v>Secondary Winding DCR</v>
      </c>
      <c r="L9" s="148">
        <v>240</v>
      </c>
      <c r="M9" s="432" t="s">
        <v>20</v>
      </c>
      <c r="N9" s="50"/>
      <c r="O9" s="50"/>
      <c r="P9" s="50"/>
      <c r="Q9" s="50"/>
      <c r="R9" s="83"/>
      <c r="S9" s="83"/>
      <c r="T9" s="76"/>
      <c r="U9" s="76"/>
      <c r="V9" s="76"/>
      <c r="W9" s="76"/>
      <c r="X9" s="76"/>
      <c r="Y9" s="76"/>
      <c r="Z9" s="511"/>
      <c r="AA9" s="506"/>
    </row>
    <row r="10" spans="1:27" ht="15.75" customHeight="1" x14ac:dyDescent="0.2">
      <c r="A10" s="136"/>
      <c r="B10" s="135"/>
      <c r="C10" s="137"/>
      <c r="D10" s="147" t="str">
        <f>CHOOSE(MODE, "Output Voltage, VOUT ", "Output Voltage, VOUT1")</f>
        <v xml:space="preserve">Output Voltage, VOUT </v>
      </c>
      <c r="E10" s="148">
        <v>15.5</v>
      </c>
      <c r="F10" s="432" t="s">
        <v>0</v>
      </c>
      <c r="G10" s="91"/>
      <c r="H10" s="89"/>
      <c r="I10" s="90"/>
      <c r="J10" s="88"/>
      <c r="K10" s="101" t="str">
        <f>CHOOSE(MODE, "", "Secondary Winding #2 DCR")</f>
        <v/>
      </c>
      <c r="L10" s="148">
        <v>240</v>
      </c>
      <c r="M10" s="432" t="str">
        <f>CHOOSE(MODE, "", "mΩ")</f>
        <v/>
      </c>
      <c r="N10" s="50"/>
      <c r="O10" s="50"/>
      <c r="P10" s="50"/>
      <c r="Q10" s="50"/>
      <c r="R10" s="83"/>
      <c r="S10" s="83"/>
      <c r="T10" s="76"/>
      <c r="U10" s="76"/>
      <c r="V10" s="76"/>
      <c r="W10" s="76"/>
      <c r="X10" s="76"/>
      <c r="Y10" s="76"/>
      <c r="Z10" s="511"/>
      <c r="AA10" s="506"/>
    </row>
    <row r="11" spans="1:27" ht="15.75" customHeight="1" thickBot="1" x14ac:dyDescent="0.25">
      <c r="A11" s="139"/>
      <c r="B11" s="156"/>
      <c r="C11" s="512"/>
      <c r="D11" s="518" t="str">
        <f>CHOOSE(MODE, "Rated Output Current, IOUT ", "Rated Output Current, IOUT1")</f>
        <v xml:space="preserve">Rated Output Current, IOUT </v>
      </c>
      <c r="E11" s="519">
        <v>0.42</v>
      </c>
      <c r="F11" s="520" t="s">
        <v>1</v>
      </c>
      <c r="G11" s="91"/>
      <c r="H11" s="89"/>
      <c r="I11" s="76"/>
      <c r="J11" s="76"/>
      <c r="K11" s="101" t="s">
        <v>679</v>
      </c>
      <c r="L11" s="148">
        <v>100</v>
      </c>
      <c r="M11" s="432" t="s">
        <v>678</v>
      </c>
      <c r="N11" s="50"/>
      <c r="O11" s="50"/>
      <c r="P11" s="50"/>
      <c r="Q11" s="50"/>
      <c r="R11" s="83"/>
      <c r="S11" s="83"/>
      <c r="T11" s="76"/>
      <c r="U11" s="76"/>
      <c r="V11" s="76"/>
      <c r="W11" s="76"/>
      <c r="X11" s="76"/>
      <c r="Y11" s="76"/>
      <c r="Z11" s="511"/>
      <c r="AA11" s="506"/>
    </row>
    <row r="12" spans="1:27" ht="15.75" customHeight="1" x14ac:dyDescent="0.2">
      <c r="A12" s="76"/>
      <c r="B12" s="76"/>
      <c r="C12" s="76"/>
      <c r="D12" s="147" t="str">
        <f>CHOOSE(MODE, "", "Output Voltage, VOUT2")</f>
        <v/>
      </c>
      <c r="E12" s="148">
        <v>8</v>
      </c>
      <c r="F12" s="432" t="str">
        <f>CHOOSE(MODE, "", "V", "V")</f>
        <v/>
      </c>
      <c r="G12" s="91"/>
      <c r="H12" s="89"/>
      <c r="I12" s="90"/>
      <c r="J12" s="88"/>
      <c r="K12" s="87" t="str">
        <f>IF(MODE=1, "Transformer Turns Ratio, Pri : Sec", "Turns Ratio, PRI : SEC1")</f>
        <v>Transformer Turns Ratio, Pri : Sec</v>
      </c>
      <c r="L12" s="440"/>
      <c r="M12" s="461"/>
      <c r="N12" s="50"/>
      <c r="O12" s="50"/>
      <c r="P12" s="50"/>
      <c r="Q12" s="50"/>
      <c r="R12" s="83"/>
      <c r="S12" s="83"/>
      <c r="T12" s="76"/>
      <c r="U12" s="76"/>
      <c r="V12" s="76"/>
      <c r="W12" s="76"/>
      <c r="X12" s="76"/>
      <c r="Y12" s="76"/>
      <c r="Z12" s="511"/>
      <c r="AA12" s="506"/>
    </row>
    <row r="13" spans="1:27" ht="15.75" customHeight="1" thickBot="1" x14ac:dyDescent="0.25">
      <c r="A13" s="139"/>
      <c r="B13" s="156"/>
      <c r="C13" s="512"/>
      <c r="D13" s="518" t="str">
        <f>CHOOSE(MODE, "", "Rated Output Current, IOUT2")</f>
        <v/>
      </c>
      <c r="E13" s="519">
        <v>0.72499999999999998</v>
      </c>
      <c r="F13" s="432" t="str">
        <f>CHOOSE(MODE, "", "A", "A")</f>
        <v/>
      </c>
      <c r="G13" s="91"/>
      <c r="H13" s="136"/>
      <c r="I13" s="135"/>
      <c r="J13" s="137"/>
      <c r="K13" s="88" t="str">
        <f>CHOOSE(MODE, "SW Voltage at VIN(max) - Spike Not Included", "Turns Ratio, SEC2 : SEC1")</f>
        <v>SW Voltage at VIN(max) - Spike Not Included</v>
      </c>
      <c r="L13" s="639">
        <f>CHOOSE(MODE, ROUND('Variable Mgmt'!B48,0), ROUND(Nsec1sec2,2))</f>
        <v>32</v>
      </c>
      <c r="M13" s="461" t="str">
        <f>CHOOSE(MODE, "V", "")</f>
        <v>V</v>
      </c>
      <c r="N13" s="50"/>
      <c r="O13" s="50"/>
      <c r="P13" s="50"/>
      <c r="Q13" s="50"/>
      <c r="R13" s="83"/>
      <c r="S13" s="83"/>
      <c r="T13" s="76"/>
      <c r="U13" s="76"/>
      <c r="V13" s="76"/>
      <c r="W13" s="76"/>
      <c r="X13" s="76"/>
      <c r="Y13" s="76"/>
      <c r="Z13" s="511"/>
      <c r="AA13" s="506"/>
    </row>
    <row r="14" spans="1:27" ht="15.75" customHeight="1" x14ac:dyDescent="0.2">
      <c r="A14" s="136"/>
      <c r="B14" s="135"/>
      <c r="C14" s="137"/>
      <c r="D14" s="147"/>
      <c r="E14" s="76"/>
      <c r="F14" s="790"/>
      <c r="G14" s="91"/>
      <c r="H14" s="136"/>
      <c r="I14" s="135"/>
      <c r="J14" s="137"/>
      <c r="K14" s="789" t="str">
        <f>IF(L13&gt;Vsw_max/1.05, "Select a smaller turns ratio!", "")</f>
        <v/>
      </c>
      <c r="L14" s="639"/>
      <c r="M14" s="461"/>
      <c r="N14" s="50"/>
      <c r="O14" s="50"/>
      <c r="P14" s="50"/>
      <c r="Q14" s="50"/>
      <c r="R14" s="83"/>
      <c r="S14" s="83"/>
      <c r="T14" s="76"/>
      <c r="U14" s="76"/>
      <c r="V14" s="76"/>
      <c r="W14" s="76"/>
      <c r="X14" s="76"/>
      <c r="Y14" s="76"/>
      <c r="Z14" s="511"/>
      <c r="AA14" s="506"/>
    </row>
    <row r="15" spans="1:27" ht="15.75" customHeight="1" x14ac:dyDescent="0.2">
      <c r="A15" s="429"/>
      <c r="B15" s="76"/>
      <c r="C15" s="76"/>
      <c r="D15" s="76"/>
      <c r="E15" s="76"/>
      <c r="F15" s="790"/>
      <c r="G15" s="92"/>
      <c r="H15" s="136"/>
      <c r="I15" s="135"/>
      <c r="J15" s="611"/>
      <c r="K15" s="88" t="str">
        <f>CHOOSE(MODE, "Max Output Current at VIN(min)", "Max Output Power at VIN(min)")</f>
        <v>Max Output Current at VIN(min)</v>
      </c>
      <c r="L15" s="754">
        <f>CHOOSE(MODE, 'Variable Mgmt'!B44, 'Variable Mgmt'!B43)</f>
        <v>0.69676047752095494</v>
      </c>
      <c r="M15" s="642" t="str">
        <f>CHOOSE(MODE, "A", "W")</f>
        <v>A</v>
      </c>
      <c r="N15" s="50"/>
      <c r="O15" s="50"/>
      <c r="P15" s="50"/>
      <c r="Q15" s="50"/>
      <c r="R15" s="83"/>
      <c r="S15" s="83"/>
      <c r="T15" s="76"/>
      <c r="U15" s="76"/>
      <c r="V15" s="76"/>
      <c r="W15" s="76"/>
      <c r="X15" s="76"/>
      <c r="Y15" s="76"/>
      <c r="Z15" s="511"/>
      <c r="AA15" s="506"/>
    </row>
    <row r="16" spans="1:27" ht="16.5" customHeight="1" thickBot="1" x14ac:dyDescent="0.35">
      <c r="A16" s="107" t="s">
        <v>297</v>
      </c>
      <c r="B16" s="93"/>
      <c r="C16" s="94"/>
      <c r="D16" s="94"/>
      <c r="E16" s="95"/>
      <c r="F16" s="94"/>
      <c r="G16" s="91"/>
      <c r="H16" s="742"/>
      <c r="I16" s="50"/>
      <c r="J16" s="50"/>
      <c r="K16" s="212" t="s">
        <v>673</v>
      </c>
      <c r="L16" s="755">
        <f>Don_Vinmin*100</f>
        <v>64.566929133858267</v>
      </c>
      <c r="M16" s="642" t="s">
        <v>674</v>
      </c>
      <c r="N16" s="50"/>
      <c r="O16" s="50"/>
      <c r="P16" s="50"/>
      <c r="Q16" s="50"/>
      <c r="R16" s="83"/>
      <c r="S16" s="83"/>
      <c r="T16" s="76"/>
      <c r="U16" s="76"/>
      <c r="V16" s="76"/>
      <c r="W16" s="76"/>
      <c r="X16" s="76"/>
      <c r="Y16" s="76"/>
      <c r="Z16" s="511"/>
      <c r="AA16" s="506"/>
    </row>
    <row r="17" spans="1:27" ht="15.75" customHeight="1" x14ac:dyDescent="0.2">
      <c r="A17" s="389"/>
      <c r="B17" s="585"/>
      <c r="C17" s="586"/>
      <c r="D17" s="210" t="s">
        <v>315</v>
      </c>
      <c r="E17" s="620">
        <f>'Variable Mgmt'!B125</f>
        <v>2.2000000000000002</v>
      </c>
      <c r="F17" s="433" t="s">
        <v>97</v>
      </c>
      <c r="G17" s="91"/>
      <c r="H17" s="595"/>
      <c r="I17" s="595"/>
      <c r="J17" s="595"/>
      <c r="K17" s="749" t="s">
        <v>808</v>
      </c>
      <c r="L17" s="750">
        <v>36.481900999387356</v>
      </c>
      <c r="M17" s="586" t="s">
        <v>292</v>
      </c>
      <c r="N17" s="50"/>
      <c r="O17" s="50"/>
      <c r="P17" s="50"/>
      <c r="Q17" s="50"/>
      <c r="R17" s="83"/>
      <c r="S17" s="83"/>
      <c r="T17" s="76"/>
      <c r="U17" s="76"/>
      <c r="V17" s="76"/>
      <c r="W17" s="76"/>
      <c r="X17" s="76"/>
      <c r="Y17" s="76"/>
      <c r="Z17" s="511"/>
      <c r="AA17" s="506"/>
    </row>
    <row r="18" spans="1:27" ht="15.75" customHeight="1" x14ac:dyDescent="0.25">
      <c r="A18" s="98"/>
      <c r="B18" s="90"/>
      <c r="C18" s="97"/>
      <c r="D18" s="101" t="s">
        <v>141</v>
      </c>
      <c r="E18" s="99">
        <v>10</v>
      </c>
      <c r="F18" s="434" t="s">
        <v>97</v>
      </c>
      <c r="G18" s="91"/>
      <c r="H18" s="90"/>
      <c r="I18" s="50"/>
      <c r="J18" s="50"/>
      <c r="K18" s="749"/>
      <c r="L18" s="750">
        <v>22.379048873220089</v>
      </c>
      <c r="M18" s="90" t="s">
        <v>292</v>
      </c>
      <c r="N18" s="50"/>
      <c r="O18" s="50"/>
      <c r="P18" s="50"/>
      <c r="Q18" s="50"/>
      <c r="R18" s="83"/>
      <c r="S18" s="83"/>
      <c r="T18" s="76"/>
      <c r="U18" s="76"/>
      <c r="V18" s="76"/>
      <c r="W18" s="76"/>
      <c r="X18" s="76"/>
      <c r="Y18" s="76"/>
      <c r="Z18" s="511"/>
      <c r="AA18" s="506"/>
    </row>
    <row r="19" spans="1:27" ht="15.75" customHeight="1" x14ac:dyDescent="0.2">
      <c r="A19" s="98"/>
      <c r="B19" s="90"/>
      <c r="C19" s="153"/>
      <c r="D19" s="147" t="s">
        <v>104</v>
      </c>
      <c r="E19" s="152">
        <v>3</v>
      </c>
      <c r="F19" s="435" t="s">
        <v>20</v>
      </c>
      <c r="G19" s="91"/>
      <c r="H19" s="90"/>
      <c r="I19" s="50"/>
      <c r="J19" s="50"/>
      <c r="K19" s="749" t="s">
        <v>809</v>
      </c>
      <c r="L19" s="751">
        <f>'Calculations - Single'!U105</f>
        <v>2.0876693766937668</v>
      </c>
      <c r="M19" s="90" t="s">
        <v>1</v>
      </c>
      <c r="N19" s="50"/>
      <c r="O19" s="50"/>
      <c r="P19" s="50"/>
      <c r="Q19" s="50"/>
      <c r="R19" s="83"/>
      <c r="S19" s="83"/>
      <c r="T19" s="76"/>
      <c r="U19" s="76"/>
      <c r="V19" s="76"/>
      <c r="W19" s="76"/>
      <c r="X19" s="76"/>
      <c r="Y19" s="76"/>
      <c r="Z19" s="511"/>
      <c r="AA19" s="506"/>
    </row>
    <row r="20" spans="1:27" ht="15.75" customHeight="1" thickBot="1" x14ac:dyDescent="0.35">
      <c r="A20" s="102"/>
      <c r="B20" s="103"/>
      <c r="C20" s="109"/>
      <c r="D20" s="212" t="s">
        <v>506</v>
      </c>
      <c r="E20" s="213">
        <f>Vinripple2</f>
        <v>74.374537089730296</v>
      </c>
      <c r="F20" s="106" t="s">
        <v>103</v>
      </c>
      <c r="G20" s="91"/>
      <c r="H20" s="90"/>
      <c r="I20" s="50"/>
      <c r="J20" s="50"/>
      <c r="K20" s="752" t="s">
        <v>810</v>
      </c>
      <c r="L20" s="753">
        <f>Nps*L19</f>
        <v>2.0876693766937668</v>
      </c>
      <c r="M20" s="105" t="s">
        <v>1</v>
      </c>
      <c r="N20" s="50"/>
      <c r="O20" s="50"/>
      <c r="P20" s="50"/>
      <c r="Q20" s="50"/>
      <c r="R20" s="83"/>
      <c r="S20" s="83"/>
      <c r="T20" s="76"/>
      <c r="U20" s="76"/>
      <c r="V20" s="76"/>
      <c r="W20" s="76"/>
      <c r="X20" s="76"/>
      <c r="Y20" s="76"/>
      <c r="Z20" s="511"/>
      <c r="AA20" s="506"/>
    </row>
    <row r="21" spans="1:27" ht="15.75" customHeight="1" thickBot="1" x14ac:dyDescent="0.25">
      <c r="A21" s="426"/>
      <c r="B21" s="427"/>
      <c r="C21" s="428"/>
      <c r="D21" s="428" t="str">
        <f>CHOOSE(MODE, "Minimum Output Capacitance", "Minimum Output Capacitance, Output #1")</f>
        <v>Minimum Output Capacitance</v>
      </c>
      <c r="E21" s="748">
        <f>'Variable Mgmt'!B100</f>
        <v>21.317779700075526</v>
      </c>
      <c r="F21" s="433" t="s">
        <v>97</v>
      </c>
      <c r="G21" s="596"/>
      <c r="H21" s="586"/>
      <c r="I21" s="595"/>
      <c r="J21" s="507"/>
      <c r="K21" s="428" t="str">
        <f>CHOOSE(MODE, "", "Minimum Output Capacitance, Output #2")</f>
        <v/>
      </c>
      <c r="L21" s="638">
        <f>'Variable Mgmt'!B110</f>
        <v>15.170308270746586</v>
      </c>
      <c r="M21" s="433" t="s">
        <v>97</v>
      </c>
      <c r="N21" s="50"/>
      <c r="O21" s="50"/>
      <c r="P21" s="50"/>
      <c r="Q21" s="50"/>
      <c r="R21" s="83"/>
      <c r="S21" s="83"/>
      <c r="T21" s="76"/>
      <c r="U21" s="76"/>
      <c r="V21" s="76"/>
      <c r="W21" s="76"/>
      <c r="X21" s="76"/>
      <c r="Y21" s="76"/>
      <c r="Z21" s="511"/>
      <c r="AA21" s="506"/>
    </row>
    <row r="22" spans="1:27" ht="15.75" customHeight="1" x14ac:dyDescent="0.2">
      <c r="A22" s="89"/>
      <c r="B22" s="90"/>
      <c r="C22" s="137"/>
      <c r="D22" s="154" t="s">
        <v>140</v>
      </c>
      <c r="E22" s="148">
        <v>22</v>
      </c>
      <c r="F22" s="432" t="s">
        <v>97</v>
      </c>
      <c r="G22" s="597"/>
      <c r="H22" s="90"/>
      <c r="I22" s="50"/>
      <c r="J22" s="76"/>
      <c r="K22" s="154" t="s">
        <v>545</v>
      </c>
      <c r="L22" s="148">
        <v>22</v>
      </c>
      <c r="M22" s="432" t="s">
        <v>97</v>
      </c>
      <c r="N22" s="50"/>
      <c r="O22" s="50"/>
      <c r="P22" s="50"/>
      <c r="Q22" s="50"/>
      <c r="R22" s="83"/>
      <c r="S22" s="83"/>
      <c r="T22" s="76"/>
      <c r="U22" s="76"/>
      <c r="V22" s="76"/>
      <c r="W22" s="76"/>
      <c r="X22" s="76"/>
      <c r="Y22" s="76"/>
      <c r="Z22" s="511"/>
      <c r="AA22" s="506"/>
    </row>
    <row r="23" spans="1:27" ht="16.5" customHeight="1" thickBot="1" x14ac:dyDescent="0.25">
      <c r="A23" s="89"/>
      <c r="B23" s="90"/>
      <c r="C23" s="153"/>
      <c r="D23" s="147" t="s">
        <v>546</v>
      </c>
      <c r="E23" s="152">
        <v>2</v>
      </c>
      <c r="F23" s="435" t="s">
        <v>20</v>
      </c>
      <c r="G23" s="598"/>
      <c r="H23" s="90"/>
      <c r="I23" s="50"/>
      <c r="J23" s="76"/>
      <c r="K23" s="147" t="s">
        <v>546</v>
      </c>
      <c r="L23" s="152">
        <v>2</v>
      </c>
      <c r="M23" s="435" t="s">
        <v>20</v>
      </c>
      <c r="N23" s="50"/>
      <c r="O23" s="50"/>
      <c r="P23" s="50"/>
      <c r="Q23" s="50"/>
      <c r="R23" s="83"/>
      <c r="S23" s="83"/>
      <c r="T23" s="76"/>
      <c r="U23" s="76"/>
      <c r="V23" s="76"/>
      <c r="W23" s="76"/>
      <c r="X23" s="76"/>
      <c r="Y23" s="76"/>
      <c r="Z23" s="511"/>
      <c r="AA23" s="506"/>
    </row>
    <row r="24" spans="1:27" ht="15.75" customHeight="1" thickBot="1" x14ac:dyDescent="0.35">
      <c r="A24" s="102"/>
      <c r="B24" s="105"/>
      <c r="C24" s="105"/>
      <c r="D24" s="212" t="str">
        <f>CHOOSE(MODE, "Resulting Output Voltage Ripple", "Resulting Output Voltage Ripple, Output #1")</f>
        <v>Resulting Output Voltage Ripple</v>
      </c>
      <c r="E24" s="213">
        <f>Vripple1_actual</f>
        <v>33.285184750733151</v>
      </c>
      <c r="F24" s="106" t="s">
        <v>103</v>
      </c>
      <c r="G24" s="596"/>
      <c r="H24" s="105"/>
      <c r="I24" s="509"/>
      <c r="J24" s="508"/>
      <c r="K24" s="212" t="str">
        <f>CHOOSE(MODE, "", "Resulting Output Voltage Ripple, Output #2")</f>
        <v/>
      </c>
      <c r="L24" s="213">
        <f>Vripple2_actual</f>
        <v>56.614757348169412</v>
      </c>
      <c r="M24" s="106" t="s">
        <v>103</v>
      </c>
      <c r="N24" s="50"/>
      <c r="O24" s="50"/>
      <c r="P24" s="50"/>
      <c r="Q24" s="50"/>
      <c r="R24" s="83"/>
      <c r="S24" s="83"/>
      <c r="T24" s="76"/>
      <c r="U24" s="76"/>
      <c r="V24" s="76"/>
      <c r="W24" s="76"/>
      <c r="X24" s="76"/>
      <c r="Y24" s="76"/>
      <c r="Z24" s="511"/>
      <c r="AA24" s="506"/>
    </row>
    <row r="25" spans="1:27" ht="13.5" customHeight="1" x14ac:dyDescent="0.2">
      <c r="A25" s="429"/>
      <c r="B25" s="76"/>
      <c r="C25" s="76"/>
      <c r="D25" s="76"/>
      <c r="E25" s="76"/>
      <c r="F25" s="76"/>
      <c r="G25" s="76"/>
      <c r="H25" s="76"/>
      <c r="I25" s="76"/>
      <c r="J25" s="76"/>
      <c r="K25" s="76"/>
      <c r="L25" s="76"/>
      <c r="M25" s="76"/>
      <c r="N25" s="50"/>
      <c r="O25" s="50"/>
      <c r="P25" s="50"/>
      <c r="Q25" s="50"/>
      <c r="R25" s="83"/>
      <c r="S25" s="83"/>
      <c r="T25" s="76"/>
      <c r="U25" s="76"/>
      <c r="V25" s="76"/>
      <c r="W25" s="76"/>
      <c r="X25" s="76"/>
      <c r="Y25" s="76"/>
      <c r="Z25" s="511"/>
      <c r="AA25" s="506"/>
    </row>
    <row r="26" spans="1:27" ht="19.5" customHeight="1" thickBot="1" x14ac:dyDescent="0.35">
      <c r="A26" s="107" t="s">
        <v>389</v>
      </c>
      <c r="B26" s="96"/>
      <c r="C26" s="90"/>
      <c r="D26" s="88"/>
      <c r="E26" s="90"/>
      <c r="F26" s="90"/>
      <c r="G26" s="90"/>
      <c r="H26" s="90"/>
      <c r="I26" s="50"/>
      <c r="J26" s="50"/>
      <c r="K26" s="50"/>
      <c r="L26" s="50"/>
      <c r="M26" s="50"/>
      <c r="N26" s="50"/>
      <c r="O26" s="50"/>
      <c r="P26" s="50"/>
      <c r="Q26" s="50"/>
      <c r="R26" s="83"/>
      <c r="S26" s="83"/>
      <c r="T26" s="76"/>
      <c r="U26" s="76"/>
      <c r="V26" s="76"/>
      <c r="W26" s="76"/>
      <c r="X26" s="76"/>
      <c r="Y26" s="76"/>
      <c r="Z26" s="511"/>
      <c r="AA26" s="506"/>
    </row>
    <row r="27" spans="1:27" ht="15.75" customHeight="1" x14ac:dyDescent="0.2">
      <c r="A27" s="142"/>
      <c r="B27" s="143"/>
      <c r="C27" s="210"/>
      <c r="D27" s="210" t="s">
        <v>374</v>
      </c>
      <c r="E27" s="589">
        <f>Rfb_recommend</f>
        <v>164</v>
      </c>
      <c r="F27" s="522" t="s">
        <v>21</v>
      </c>
      <c r="G27" s="90"/>
      <c r="H27" s="90"/>
      <c r="I27" s="50"/>
      <c r="J27" s="50"/>
      <c r="K27" s="50"/>
      <c r="L27" s="50"/>
      <c r="M27" s="50"/>
      <c r="N27" s="50"/>
      <c r="O27" s="50"/>
      <c r="P27" s="50"/>
      <c r="Q27" s="50"/>
      <c r="R27" s="83"/>
      <c r="S27" s="83"/>
      <c r="T27" s="76"/>
      <c r="U27" s="76"/>
      <c r="V27" s="76"/>
      <c r="W27" s="76"/>
      <c r="X27" s="76"/>
      <c r="Y27" s="76"/>
      <c r="Z27" s="511"/>
      <c r="AA27" s="506"/>
    </row>
    <row r="28" spans="1:27" ht="15.75" customHeight="1" thickBot="1" x14ac:dyDescent="0.25">
      <c r="A28" s="136"/>
      <c r="B28" s="135"/>
      <c r="C28" s="137"/>
      <c r="D28" s="154" t="s">
        <v>373</v>
      </c>
      <c r="E28" s="155">
        <v>164</v>
      </c>
      <c r="F28" s="149" t="str">
        <f>IF(Vout=Vref,"","kΩ")</f>
        <v>kΩ</v>
      </c>
      <c r="G28" s="90"/>
      <c r="H28" s="90"/>
      <c r="I28" s="50"/>
      <c r="J28" s="50"/>
      <c r="K28" s="50"/>
      <c r="L28" s="50"/>
      <c r="M28" s="50"/>
      <c r="N28" s="50"/>
      <c r="O28" s="50"/>
      <c r="P28" s="50"/>
      <c r="Q28" s="50"/>
      <c r="R28" s="83"/>
      <c r="S28" s="83"/>
      <c r="T28" s="76"/>
      <c r="U28" s="76"/>
      <c r="V28" s="76"/>
      <c r="W28" s="76"/>
      <c r="X28" s="76"/>
      <c r="Y28" s="76"/>
      <c r="Z28" s="511"/>
      <c r="AA28" s="506"/>
    </row>
    <row r="29" spans="1:27" ht="14.1" customHeight="1" x14ac:dyDescent="0.2">
      <c r="A29" s="393"/>
      <c r="B29" s="394"/>
      <c r="C29" s="395"/>
      <c r="D29" s="396" t="s">
        <v>291</v>
      </c>
      <c r="E29" s="397" t="s">
        <v>697</v>
      </c>
      <c r="F29" s="398"/>
      <c r="G29" s="91"/>
      <c r="H29" s="90"/>
      <c r="I29" s="50"/>
      <c r="J29" s="50"/>
      <c r="K29" s="50"/>
      <c r="L29" s="50"/>
      <c r="M29" s="50"/>
      <c r="N29" s="50"/>
      <c r="O29" s="50"/>
      <c r="P29" s="50"/>
      <c r="Q29" s="50"/>
      <c r="R29" s="83"/>
      <c r="S29" s="83"/>
      <c r="T29" s="76"/>
      <c r="U29" s="76"/>
      <c r="V29" s="76"/>
      <c r="W29" s="76"/>
      <c r="X29" s="76"/>
      <c r="Y29" s="76"/>
      <c r="Z29" s="511"/>
      <c r="AA29" s="506"/>
    </row>
    <row r="30" spans="1:27" ht="16.5" customHeight="1" x14ac:dyDescent="0.2">
      <c r="A30" s="136"/>
      <c r="B30" s="135"/>
      <c r="C30" s="135"/>
      <c r="D30" s="151" t="str">
        <f>CHOOSE(MODE_SS,"Soft-Start Time","*Leave SS Pin Open or Supply by Ext. Bias")</f>
        <v>*Leave SS Pin Open or Supply by Ext. Bias</v>
      </c>
      <c r="E30" s="152">
        <v>6</v>
      </c>
      <c r="F30" s="149" t="s">
        <v>63</v>
      </c>
      <c r="G30" s="91"/>
      <c r="H30" s="90"/>
      <c r="I30" s="50"/>
      <c r="J30" s="50"/>
      <c r="K30" s="50"/>
      <c r="L30" s="50"/>
      <c r="M30" s="50"/>
      <c r="N30" s="50"/>
      <c r="O30" s="50"/>
      <c r="P30" s="50"/>
      <c r="Q30" s="50"/>
      <c r="R30" s="83"/>
      <c r="S30" s="83"/>
      <c r="T30" s="76"/>
      <c r="U30" s="76"/>
      <c r="V30" s="76"/>
      <c r="W30" s="76"/>
      <c r="X30" s="76"/>
      <c r="Y30" s="76"/>
      <c r="Z30" s="511"/>
      <c r="AA30" s="506"/>
    </row>
    <row r="31" spans="1:27" ht="16.5" customHeight="1" thickBot="1" x14ac:dyDescent="0.35">
      <c r="A31" s="139"/>
      <c r="B31" s="140"/>
      <c r="C31" s="140"/>
      <c r="D31" s="377" t="s">
        <v>142</v>
      </c>
      <c r="E31" s="392">
        <f>IF(Tss&gt;0.0001,Css_u*1000000000,"N/A")</f>
        <v>33</v>
      </c>
      <c r="F31" s="141" t="s">
        <v>56</v>
      </c>
      <c r="G31" s="91"/>
      <c r="H31" s="90"/>
      <c r="I31" s="50"/>
      <c r="J31" s="50"/>
      <c r="K31" s="50"/>
      <c r="L31" s="50"/>
      <c r="M31" s="50"/>
      <c r="N31" s="50"/>
      <c r="O31" s="50"/>
      <c r="P31" s="50"/>
      <c r="Q31" s="50"/>
      <c r="R31" s="83"/>
      <c r="S31" s="83"/>
      <c r="T31" s="76"/>
      <c r="U31" s="76"/>
      <c r="V31" s="76"/>
      <c r="W31" s="76"/>
      <c r="X31" s="76"/>
      <c r="Y31" s="76"/>
      <c r="Z31" s="511"/>
      <c r="AA31" s="506"/>
    </row>
    <row r="32" spans="1:27" ht="15.75" customHeight="1" x14ac:dyDescent="0.2">
      <c r="A32" s="136"/>
      <c r="B32" s="135"/>
      <c r="C32" s="135"/>
      <c r="D32" s="87" t="s">
        <v>387</v>
      </c>
      <c r="E32" s="150"/>
      <c r="F32" s="138"/>
      <c r="G32" s="90"/>
      <c r="H32" s="90"/>
      <c r="I32" s="50"/>
      <c r="J32" s="50"/>
      <c r="K32" s="50"/>
      <c r="L32" s="50"/>
      <c r="M32" s="50"/>
      <c r="N32" s="50"/>
      <c r="O32" s="50"/>
      <c r="P32" s="50"/>
      <c r="Q32" s="50"/>
      <c r="R32" s="83"/>
      <c r="S32" s="83"/>
      <c r="T32" s="76"/>
      <c r="U32" s="76"/>
      <c r="V32" s="76"/>
      <c r="W32" s="76"/>
      <c r="X32" s="76"/>
      <c r="Y32" s="76"/>
      <c r="Z32" s="511"/>
      <c r="AA32" s="506"/>
    </row>
    <row r="33" spans="1:27" ht="15.75" customHeight="1" x14ac:dyDescent="0.2">
      <c r="A33" s="136"/>
      <c r="B33" s="135"/>
      <c r="C33" s="135"/>
      <c r="D33" s="87" t="str">
        <f>CHOOSE(TC,"Diode Voltage Drop Thermal Coefficient","*Leave TC Pin Open")</f>
        <v>Diode Voltage Drop Thermal Coefficient</v>
      </c>
      <c r="E33" s="593">
        <v>-1.5</v>
      </c>
      <c r="F33" s="138" t="s">
        <v>386</v>
      </c>
      <c r="G33" s="90"/>
      <c r="H33" s="90"/>
      <c r="I33" s="50"/>
      <c r="J33" s="50"/>
      <c r="K33" s="50"/>
      <c r="L33" s="50"/>
      <c r="M33" s="50"/>
      <c r="N33" s="50"/>
      <c r="O33" s="50"/>
      <c r="P33" s="50"/>
      <c r="Q33" s="50"/>
      <c r="R33" s="83"/>
      <c r="S33" s="83"/>
      <c r="T33" s="76"/>
      <c r="U33" s="76"/>
      <c r="V33" s="76"/>
      <c r="W33" s="76"/>
      <c r="X33" s="76"/>
      <c r="Y33" s="76"/>
      <c r="Z33" s="511"/>
      <c r="AA33" s="506"/>
    </row>
    <row r="34" spans="1:27" ht="15.75" customHeight="1" thickBot="1" x14ac:dyDescent="0.25">
      <c r="A34" s="139"/>
      <c r="B34" s="156"/>
      <c r="C34" s="156"/>
      <c r="D34" s="512" t="s">
        <v>388</v>
      </c>
      <c r="E34" s="532">
        <f>RTC</f>
        <v>324</v>
      </c>
      <c r="F34" s="533" t="s">
        <v>21</v>
      </c>
      <c r="G34" s="90"/>
      <c r="H34" s="90"/>
      <c r="I34" s="50"/>
      <c r="J34" s="50"/>
      <c r="K34" s="74"/>
      <c r="L34" s="50"/>
      <c r="M34" s="50"/>
      <c r="N34" s="50"/>
      <c r="O34" s="50"/>
      <c r="P34" s="50"/>
      <c r="Q34" s="50"/>
      <c r="R34" s="83"/>
      <c r="S34" s="83"/>
      <c r="T34" s="76"/>
      <c r="U34" s="76"/>
      <c r="V34" s="76"/>
      <c r="W34" s="76"/>
      <c r="X34" s="76"/>
      <c r="Y34" s="76"/>
      <c r="Z34" s="511"/>
      <c r="AA34" s="506"/>
    </row>
    <row r="35" spans="1:27" ht="16.5" customHeight="1" x14ac:dyDescent="0.2">
      <c r="A35" s="136"/>
      <c r="B35" s="135"/>
      <c r="C35" s="135"/>
      <c r="D35" s="154" t="s">
        <v>304</v>
      </c>
      <c r="E35" s="150"/>
      <c r="F35" s="138"/>
      <c r="G35" s="90"/>
      <c r="H35" s="90"/>
      <c r="I35" s="50"/>
      <c r="J35" s="50"/>
      <c r="K35" s="50"/>
      <c r="L35" s="50"/>
      <c r="M35" s="50"/>
      <c r="N35" s="50"/>
      <c r="O35" s="50"/>
      <c r="P35" s="50"/>
      <c r="Q35" s="50"/>
      <c r="R35" s="83"/>
      <c r="S35" s="83"/>
      <c r="T35" s="76"/>
      <c r="U35" s="76"/>
      <c r="V35" s="76"/>
      <c r="W35" s="76"/>
      <c r="X35" s="76"/>
      <c r="Y35" s="76"/>
      <c r="Z35" s="511"/>
      <c r="AA35" s="506"/>
    </row>
    <row r="36" spans="1:27" ht="15.75" customHeight="1" x14ac:dyDescent="0.2">
      <c r="A36" s="136"/>
      <c r="B36" s="135"/>
      <c r="C36" s="153"/>
      <c r="D36" s="154" t="str">
        <f>CHOOSE(MODE_UVLO, "Input UVLO Turn-On Threshold", "*Connect EN pin to VIN or Logic HIGH")</f>
        <v>Input UVLO Turn-On Threshold</v>
      </c>
      <c r="E36" s="155">
        <v>10</v>
      </c>
      <c r="F36" s="149" t="s">
        <v>0</v>
      </c>
      <c r="G36" s="90"/>
      <c r="H36" s="90"/>
      <c r="I36" s="83"/>
      <c r="J36" s="83"/>
      <c r="K36" s="83"/>
      <c r="L36" s="214"/>
      <c r="M36" s="50"/>
      <c r="N36" s="50"/>
      <c r="O36" s="50"/>
      <c r="P36" s="50"/>
      <c r="Q36" s="50"/>
      <c r="R36" s="83"/>
      <c r="S36" s="83"/>
      <c r="T36" s="76"/>
      <c r="U36" s="76"/>
      <c r="V36" s="76"/>
      <c r="W36" s="76"/>
      <c r="X36" s="76"/>
      <c r="Y36" s="76"/>
      <c r="Z36" s="511"/>
      <c r="AA36" s="506"/>
    </row>
    <row r="37" spans="1:27" ht="15.75" customHeight="1" thickBot="1" x14ac:dyDescent="0.25">
      <c r="A37" s="139"/>
      <c r="B37" s="156"/>
      <c r="C37" s="156"/>
      <c r="D37" s="437" t="str">
        <f>CHOOSE(MODE_UVLO, "Input UVLO Turn-Off Threshold", "")</f>
        <v>Input UVLO Turn-Off Threshold</v>
      </c>
      <c r="E37" s="438">
        <v>8</v>
      </c>
      <c r="F37" s="439" t="s">
        <v>0</v>
      </c>
      <c r="G37" s="90"/>
      <c r="H37" s="137"/>
      <c r="I37" s="215"/>
      <c r="J37" s="217"/>
      <c r="K37" s="83"/>
      <c r="L37" s="83"/>
      <c r="M37" s="50"/>
      <c r="N37" s="50"/>
      <c r="O37" s="50"/>
      <c r="P37" s="50"/>
      <c r="Q37" s="50"/>
      <c r="R37" s="83"/>
      <c r="S37" s="83"/>
      <c r="T37" s="76"/>
      <c r="U37" s="76"/>
      <c r="V37" s="76"/>
      <c r="W37" s="76"/>
      <c r="X37" s="76"/>
      <c r="Y37" s="76"/>
      <c r="Z37" s="511"/>
      <c r="AA37" s="506"/>
    </row>
    <row r="38" spans="1:27" ht="15.75" customHeight="1" x14ac:dyDescent="0.2">
      <c r="A38" s="462"/>
      <c r="B38" s="135"/>
      <c r="C38" s="153"/>
      <c r="D38" s="137" t="s">
        <v>378</v>
      </c>
      <c r="E38" s="580">
        <f>'Variable Mgmt'!F155</f>
        <v>332</v>
      </c>
      <c r="F38" s="138" t="s">
        <v>21</v>
      </c>
      <c r="G38" s="90"/>
      <c r="H38" s="219"/>
      <c r="I38" s="151"/>
      <c r="J38" s="591"/>
      <c r="K38" s="218"/>
      <c r="L38" s="83"/>
      <c r="M38" s="50"/>
      <c r="N38" s="50"/>
      <c r="O38" s="50"/>
      <c r="P38" s="50"/>
      <c r="Q38" s="50"/>
      <c r="R38" s="83"/>
      <c r="S38" s="83"/>
      <c r="T38" s="76"/>
      <c r="U38" s="76"/>
      <c r="V38" s="76"/>
      <c r="W38" s="76"/>
      <c r="X38" s="76"/>
      <c r="Y38" s="76"/>
      <c r="Z38" s="511"/>
      <c r="AA38" s="506"/>
    </row>
    <row r="39" spans="1:27" ht="15.75" customHeight="1" thickBot="1" x14ac:dyDescent="0.25">
      <c r="A39" s="139"/>
      <c r="B39" s="156"/>
      <c r="C39" s="156"/>
      <c r="D39" s="512" t="s">
        <v>293</v>
      </c>
      <c r="E39" s="513">
        <f>'Variable Mgmt'!F156</f>
        <v>59</v>
      </c>
      <c r="F39" s="141" t="s">
        <v>21</v>
      </c>
      <c r="G39" s="90"/>
      <c r="H39" s="90"/>
      <c r="I39" s="83"/>
      <c r="J39" s="216"/>
      <c r="K39" s="83"/>
      <c r="L39" s="83"/>
      <c r="M39" s="50"/>
      <c r="N39" s="50"/>
      <c r="O39" s="50"/>
      <c r="P39" s="50"/>
      <c r="Q39" s="50" t="s">
        <v>78</v>
      </c>
      <c r="R39" s="83"/>
      <c r="S39" s="83"/>
      <c r="T39" s="76"/>
      <c r="U39" s="76"/>
      <c r="V39" s="76"/>
      <c r="W39" s="76"/>
      <c r="X39" s="76"/>
      <c r="Y39" s="76"/>
      <c r="Z39" s="511"/>
      <c r="AA39" s="506"/>
    </row>
    <row r="40" spans="1:27" ht="13.5" customHeight="1" x14ac:dyDescent="0.2">
      <c r="A40" s="462"/>
      <c r="B40" s="514"/>
      <c r="C40" s="514"/>
      <c r="D40" s="515"/>
      <c r="E40" s="516"/>
      <c r="F40" s="517"/>
      <c r="G40" s="90"/>
      <c r="H40" s="90"/>
      <c r="I40" s="50"/>
      <c r="J40" s="75"/>
      <c r="K40" s="50"/>
      <c r="L40" s="50"/>
      <c r="M40" s="50"/>
      <c r="N40" s="50"/>
      <c r="O40" s="50"/>
      <c r="P40" s="50"/>
      <c r="Q40" s="50"/>
      <c r="R40" s="83"/>
      <c r="S40" s="83"/>
      <c r="T40" s="76"/>
      <c r="U40" s="76"/>
      <c r="V40" s="76"/>
      <c r="W40" s="76"/>
      <c r="X40" s="76"/>
      <c r="Y40" s="76"/>
      <c r="Z40" s="511"/>
      <c r="AA40" s="506"/>
    </row>
    <row r="41" spans="1:27" ht="19.5" customHeight="1" thickBot="1" x14ac:dyDescent="0.25">
      <c r="A41" s="463" t="s">
        <v>505</v>
      </c>
      <c r="B41" s="90"/>
      <c r="C41" s="90"/>
      <c r="D41" s="88"/>
      <c r="E41" s="100"/>
      <c r="F41" s="90"/>
      <c r="G41" s="90"/>
      <c r="H41" s="90"/>
      <c r="I41" s="50"/>
      <c r="J41" s="75"/>
      <c r="K41" s="50"/>
      <c r="L41" s="50"/>
      <c r="M41" s="50"/>
      <c r="N41" s="50"/>
      <c r="O41" s="50"/>
      <c r="P41" s="50"/>
      <c r="Q41" s="50"/>
      <c r="R41" s="83"/>
      <c r="S41" s="83"/>
      <c r="T41" s="76"/>
      <c r="U41" s="76"/>
      <c r="V41" s="76"/>
      <c r="W41" s="76"/>
      <c r="X41" s="76"/>
      <c r="Y41" s="76"/>
      <c r="Z41" s="511"/>
      <c r="AA41" s="506"/>
    </row>
    <row r="42" spans="1:27" ht="15.75" customHeight="1" x14ac:dyDescent="0.25">
      <c r="A42" s="576"/>
      <c r="B42" s="507"/>
      <c r="C42" s="507"/>
      <c r="D42" s="577" t="s">
        <v>655</v>
      </c>
      <c r="E42" s="581">
        <v>0.9</v>
      </c>
      <c r="F42" s="578" t="s">
        <v>0</v>
      </c>
      <c r="G42" s="90"/>
      <c r="H42" s="90"/>
      <c r="I42" s="50"/>
      <c r="J42" s="75"/>
      <c r="K42" s="50"/>
      <c r="L42" s="50"/>
      <c r="M42" s="50"/>
      <c r="N42" s="50"/>
      <c r="O42" s="50"/>
      <c r="P42" s="50"/>
      <c r="Q42" s="50"/>
      <c r="R42" s="83"/>
      <c r="S42" s="83"/>
      <c r="T42" s="76"/>
      <c r="U42" s="76"/>
      <c r="V42" s="76"/>
      <c r="W42" s="76"/>
      <c r="X42" s="76"/>
      <c r="Y42" s="76"/>
      <c r="Z42" s="511"/>
      <c r="AA42" s="506"/>
    </row>
    <row r="43" spans="1:27" ht="15.75" customHeight="1" x14ac:dyDescent="0.25">
      <c r="A43" s="429"/>
      <c r="B43" s="76"/>
      <c r="C43" s="76"/>
      <c r="D43" s="636" t="s">
        <v>656</v>
      </c>
      <c r="E43" s="99">
        <v>0.9</v>
      </c>
      <c r="F43" s="434" t="s">
        <v>0</v>
      </c>
      <c r="G43" s="90"/>
      <c r="H43" s="90"/>
      <c r="I43" s="50"/>
      <c r="J43" s="75"/>
      <c r="K43" s="50"/>
      <c r="L43" s="50"/>
      <c r="M43" s="50"/>
      <c r="N43" s="50"/>
      <c r="O43" s="50"/>
      <c r="P43" s="50"/>
      <c r="Q43" s="50"/>
      <c r="R43" s="83"/>
      <c r="S43" s="83"/>
      <c r="T43" s="76"/>
      <c r="U43" s="76"/>
      <c r="V43" s="76"/>
      <c r="W43" s="76"/>
      <c r="X43" s="76"/>
      <c r="Y43" s="76"/>
      <c r="Z43" s="511"/>
      <c r="AA43" s="506"/>
    </row>
    <row r="44" spans="1:27" ht="15.75" customHeight="1" x14ac:dyDescent="0.2">
      <c r="A44" s="89"/>
      <c r="B44" s="135"/>
      <c r="C44" s="135"/>
      <c r="D44" s="154" t="s">
        <v>812</v>
      </c>
      <c r="E44" s="575">
        <v>41</v>
      </c>
      <c r="F44" s="435" t="s">
        <v>84</v>
      </c>
      <c r="G44" s="90"/>
      <c r="H44" s="90"/>
      <c r="I44" s="50"/>
      <c r="J44" s="75"/>
      <c r="K44" s="50"/>
      <c r="L44" s="50"/>
      <c r="M44" s="50"/>
      <c r="N44" s="50"/>
      <c r="O44" s="50"/>
      <c r="P44" s="50"/>
      <c r="Q44" s="50"/>
      <c r="R44" s="83"/>
      <c r="S44" s="83"/>
      <c r="T44" s="76"/>
      <c r="U44" s="76"/>
      <c r="V44" s="76"/>
      <c r="W44" s="76"/>
      <c r="X44" s="76"/>
      <c r="Y44" s="76"/>
      <c r="Z44" s="511"/>
      <c r="AA44" s="506"/>
    </row>
    <row r="45" spans="1:27" ht="15.75" customHeight="1" x14ac:dyDescent="0.25">
      <c r="A45" s="89"/>
      <c r="B45" s="90"/>
      <c r="C45" s="90"/>
      <c r="D45" s="87" t="s">
        <v>516</v>
      </c>
      <c r="E45" s="575">
        <v>25</v>
      </c>
      <c r="F45" s="435" t="s">
        <v>102</v>
      </c>
      <c r="G45" s="90"/>
      <c r="H45" s="90"/>
      <c r="I45" s="50"/>
      <c r="J45" s="50"/>
      <c r="K45" s="50"/>
      <c r="L45" s="50"/>
      <c r="M45" s="50"/>
      <c r="N45" s="50"/>
      <c r="O45" s="50"/>
      <c r="P45" s="50"/>
      <c r="Q45" s="50"/>
      <c r="R45" s="83"/>
      <c r="S45" s="83"/>
      <c r="T45" s="76"/>
      <c r="U45" s="76"/>
      <c r="V45" s="76"/>
      <c r="W45" s="76"/>
      <c r="X45" s="76"/>
      <c r="Y45" s="76"/>
      <c r="Z45" s="511"/>
      <c r="AA45" s="506"/>
    </row>
    <row r="46" spans="1:27" ht="15.75" customHeight="1" x14ac:dyDescent="0.3">
      <c r="A46" s="89"/>
      <c r="B46" s="90"/>
      <c r="C46" s="90"/>
      <c r="D46" s="88" t="s">
        <v>798</v>
      </c>
      <c r="E46" s="374">
        <f>CHOOSE(MODE, 'Calculations - Single'!BP105, 'Calculations - Dual'!BO105)</f>
        <v>302.94023300251575</v>
      </c>
      <c r="F46" s="104" t="s">
        <v>292</v>
      </c>
      <c r="G46" s="90"/>
      <c r="H46" s="90"/>
      <c r="I46" s="50"/>
      <c r="J46" s="50"/>
      <c r="K46" s="50"/>
      <c r="L46" s="50"/>
      <c r="M46" s="50"/>
      <c r="N46" s="50"/>
      <c r="O46" s="50"/>
      <c r="P46" s="50"/>
      <c r="Q46" s="50"/>
      <c r="R46" s="83"/>
      <c r="S46" s="83"/>
      <c r="T46" s="76"/>
      <c r="U46" s="76"/>
      <c r="V46" s="76"/>
      <c r="W46" s="76"/>
      <c r="X46" s="76"/>
      <c r="Y46" s="76"/>
      <c r="Z46" s="511"/>
      <c r="AA46" s="506"/>
    </row>
    <row r="47" spans="1:27" ht="15.75" customHeight="1" thickBot="1" x14ac:dyDescent="0.35">
      <c r="A47" s="102"/>
      <c r="B47" s="103"/>
      <c r="C47" s="103"/>
      <c r="D47" s="377" t="s">
        <v>799</v>
      </c>
      <c r="E47" s="521">
        <f>E45+E46/1000*ThetaJA</f>
        <v>37.420549553103143</v>
      </c>
      <c r="F47" s="436" t="s">
        <v>102</v>
      </c>
      <c r="G47" s="90"/>
      <c r="H47" s="90"/>
      <c r="I47" s="50"/>
      <c r="J47" s="50"/>
      <c r="K47" s="50"/>
      <c r="L47" s="50"/>
      <c r="M47" s="50"/>
      <c r="N47" s="50"/>
      <c r="O47" s="50"/>
      <c r="P47" s="50"/>
      <c r="Q47" s="50"/>
      <c r="R47" s="83"/>
      <c r="S47" s="83"/>
      <c r="T47" s="76"/>
      <c r="U47" s="76"/>
      <c r="V47" s="76"/>
      <c r="W47" s="76"/>
      <c r="X47" s="76"/>
      <c r="Y47" s="76"/>
      <c r="Z47" s="511"/>
      <c r="AA47" s="506"/>
    </row>
    <row r="48" spans="1:27" ht="15.75" customHeight="1" thickBot="1" x14ac:dyDescent="0.25">
      <c r="A48" s="767"/>
      <c r="B48" s="105"/>
      <c r="C48" s="105"/>
      <c r="D48" s="212"/>
      <c r="E48" s="768"/>
      <c r="F48" s="570"/>
      <c r="G48" s="90"/>
      <c r="H48" s="90"/>
      <c r="I48" s="50"/>
      <c r="J48" s="50"/>
      <c r="K48" s="50"/>
      <c r="L48" s="50"/>
      <c r="M48" s="50"/>
      <c r="N48" s="50"/>
      <c r="O48" s="50"/>
      <c r="P48" s="50"/>
      <c r="Q48" s="50"/>
      <c r="R48" s="83"/>
      <c r="S48" s="83"/>
      <c r="T48" s="76"/>
      <c r="U48" s="76"/>
      <c r="V48" s="76"/>
      <c r="W48" s="76"/>
      <c r="X48" s="76"/>
      <c r="Y48" s="76"/>
      <c r="Z48" s="511"/>
      <c r="AA48" s="506"/>
    </row>
    <row r="49" spans="1:35" ht="15.75" customHeight="1" x14ac:dyDescent="0.2">
      <c r="A49" s="89"/>
      <c r="B49" s="90"/>
      <c r="C49" s="90"/>
      <c r="D49" s="88"/>
      <c r="E49" s="374"/>
      <c r="F49" s="769"/>
      <c r="G49" s="90"/>
      <c r="H49" s="90"/>
      <c r="I49" s="50"/>
      <c r="J49" s="50"/>
      <c r="K49" s="50"/>
      <c r="L49" s="50"/>
      <c r="M49" s="50"/>
      <c r="N49" s="50"/>
      <c r="O49" s="50"/>
      <c r="P49" s="50"/>
      <c r="Q49" s="50"/>
      <c r="R49" s="83"/>
      <c r="S49" s="83"/>
      <c r="T49" s="76"/>
      <c r="U49" s="76"/>
      <c r="V49" s="76"/>
      <c r="W49" s="76"/>
      <c r="X49" s="76"/>
      <c r="Y49" s="76"/>
      <c r="Z49" s="511"/>
      <c r="AA49" s="506"/>
    </row>
    <row r="50" spans="1:35" ht="15.75" customHeight="1" x14ac:dyDescent="0.2">
      <c r="A50" s="107" t="s">
        <v>858</v>
      </c>
      <c r="B50" s="90"/>
      <c r="C50" s="90"/>
      <c r="D50" s="147"/>
      <c r="E50" s="374"/>
      <c r="F50" s="769"/>
      <c r="G50" s="769" t="s">
        <v>855</v>
      </c>
      <c r="H50" s="90"/>
      <c r="I50" s="50"/>
      <c r="J50" s="50"/>
      <c r="K50" s="50"/>
      <c r="L50" s="50"/>
      <c r="M50" s="50"/>
      <c r="N50" s="50"/>
      <c r="O50" s="50"/>
      <c r="P50" s="50"/>
      <c r="Q50" s="50"/>
      <c r="R50" s="83"/>
      <c r="S50" s="83"/>
      <c r="T50" s="76"/>
      <c r="U50" s="76"/>
      <c r="V50" s="76"/>
      <c r="W50" s="76"/>
      <c r="X50" s="76"/>
      <c r="Y50" s="76"/>
      <c r="Z50" s="511"/>
      <c r="AA50" s="506"/>
    </row>
    <row r="51" spans="1:35" ht="15.75" customHeight="1" x14ac:dyDescent="0.2">
      <c r="A51" s="778"/>
      <c r="B51" s="779"/>
      <c r="C51" s="779"/>
      <c r="D51" s="791" t="str">
        <f>CHOOSE(MODE, "Recommended Csnb", "Recommended Csnb1")</f>
        <v>Recommended Csnb</v>
      </c>
      <c r="E51" s="792">
        <v>22</v>
      </c>
      <c r="F51" s="781" t="s">
        <v>15</v>
      </c>
      <c r="G51" s="90"/>
      <c r="H51" s="778"/>
      <c r="I51" s="785"/>
      <c r="J51" s="785"/>
      <c r="K51" s="791" t="str">
        <f>CHOOSE(MODE, "", "Recommended Csnb2")</f>
        <v/>
      </c>
      <c r="L51" s="792" t="str">
        <f>CHOOSE(MODE, "", 22)</f>
        <v/>
      </c>
      <c r="M51" s="781" t="str">
        <f>CHOOSE(MODE, "", "pF")</f>
        <v/>
      </c>
      <c r="N51" s="50"/>
      <c r="O51" s="50"/>
      <c r="P51" s="50"/>
      <c r="Q51" s="50"/>
      <c r="R51" s="83"/>
      <c r="S51" s="83"/>
      <c r="T51" s="76"/>
      <c r="U51" s="76"/>
      <c r="V51" s="76"/>
      <c r="W51" s="76"/>
      <c r="X51" s="76"/>
      <c r="Y51" s="76"/>
      <c r="Z51" s="511"/>
      <c r="AA51" s="506"/>
    </row>
    <row r="52" spans="1:35" ht="15.75" customHeight="1" x14ac:dyDescent="0.2">
      <c r="A52" s="782"/>
      <c r="B52" s="90"/>
      <c r="C52" s="90"/>
      <c r="D52" s="88" t="s">
        <v>853</v>
      </c>
      <c r="E52" s="374">
        <f>(VIN_max/Npri_sec+Vout)*1.5</f>
        <v>31.25</v>
      </c>
      <c r="F52" s="783" t="s">
        <v>0</v>
      </c>
      <c r="G52" s="90"/>
      <c r="H52" s="782"/>
      <c r="I52" s="50"/>
      <c r="J52" s="50"/>
      <c r="K52" s="88" t="str">
        <f>CHOOSE(MODE, "", "Snubber Capacitor Voltage Rating &gt;")</f>
        <v/>
      </c>
      <c r="L52" s="374" t="str">
        <f>CHOOSE(MODE, "", (VIN_max/Npri_sec2+Vout2)*1.5)</f>
        <v/>
      </c>
      <c r="M52" s="783" t="str">
        <f>CHOOSE(MODE, "", "V")</f>
        <v/>
      </c>
      <c r="N52" s="50"/>
      <c r="O52" s="50"/>
      <c r="P52" s="50"/>
      <c r="Q52" s="50"/>
      <c r="R52" s="83"/>
      <c r="S52" s="83"/>
      <c r="T52" s="76"/>
      <c r="U52" s="76"/>
      <c r="V52" s="76"/>
      <c r="W52" s="76"/>
      <c r="X52" s="76"/>
      <c r="Y52" s="76"/>
      <c r="Z52" s="511"/>
      <c r="AA52" s="506"/>
    </row>
    <row r="53" spans="1:35" ht="15.75" customHeight="1" x14ac:dyDescent="0.2">
      <c r="A53" s="782"/>
      <c r="B53" s="90"/>
      <c r="C53" s="90"/>
      <c r="D53" s="88" t="str">
        <f>CHOOSE(MODE, "Recommended Rsnb", "Recommended Rsnb1")</f>
        <v>Recommended Rsnb</v>
      </c>
      <c r="E53" s="374">
        <v>100</v>
      </c>
      <c r="F53" s="784" t="s">
        <v>136</v>
      </c>
      <c r="G53" s="90"/>
      <c r="H53" s="782"/>
      <c r="I53" s="50"/>
      <c r="J53" s="50"/>
      <c r="K53" s="88" t="str">
        <f>CHOOSE(MODE, "", "Recommended Rsnb2")</f>
        <v/>
      </c>
      <c r="L53" s="374" t="str">
        <f>CHOOSE(MODE, "", 100)</f>
        <v/>
      </c>
      <c r="M53" s="784" t="str">
        <f>CHOOSE(MODE, "", "Ω")</f>
        <v/>
      </c>
      <c r="N53" s="50"/>
      <c r="O53" s="50"/>
      <c r="P53" s="50"/>
      <c r="Q53" s="50"/>
      <c r="R53" s="83"/>
      <c r="S53" s="83"/>
      <c r="T53" s="76"/>
      <c r="U53" s="76"/>
      <c r="V53" s="76"/>
      <c r="W53" s="76"/>
      <c r="X53" s="76"/>
      <c r="Y53" s="76"/>
      <c r="Z53" s="511"/>
      <c r="AA53" s="506"/>
    </row>
    <row r="54" spans="1:35" ht="15.75" customHeight="1" x14ac:dyDescent="0.2">
      <c r="A54" s="774"/>
      <c r="B54" s="775"/>
      <c r="C54" s="775"/>
      <c r="D54" s="793" t="s">
        <v>854</v>
      </c>
      <c r="E54" s="794">
        <f>E52*E52*E51*0.000000000001*350000*4</f>
        <v>3.0078125000000001E-2</v>
      </c>
      <c r="F54" s="777" t="s">
        <v>45</v>
      </c>
      <c r="G54" s="90"/>
      <c r="H54" s="774"/>
      <c r="I54" s="788"/>
      <c r="J54" s="788"/>
      <c r="K54" s="793" t="str">
        <f>CHOOSE(MODE, "", "Snubber Resistor Power Dissipation Rating &gt;")</f>
        <v/>
      </c>
      <c r="L54" s="794" t="str">
        <f>CHOOSE(MODE, "", L52*L52*L51*0.000000000001*350000*4)</f>
        <v/>
      </c>
      <c r="M54" s="777" t="str">
        <f>CHOOSE(MODE, "", "W")</f>
        <v/>
      </c>
      <c r="N54" s="50"/>
      <c r="O54" s="50"/>
      <c r="P54" s="50"/>
      <c r="Q54" s="50"/>
      <c r="R54" s="83"/>
      <c r="S54" s="83"/>
      <c r="T54" s="76"/>
      <c r="U54" s="76"/>
      <c r="V54" s="76"/>
      <c r="W54" s="76"/>
      <c r="X54" s="76"/>
      <c r="Y54" s="76"/>
      <c r="Z54" s="511"/>
      <c r="AA54" s="506"/>
    </row>
    <row r="55" spans="1:35" ht="15.75" customHeight="1" x14ac:dyDescent="0.2">
      <c r="A55" s="89"/>
      <c r="B55" s="90"/>
      <c r="C55" s="90"/>
      <c r="D55" s="88"/>
      <c r="E55" s="374"/>
      <c r="F55" s="769"/>
      <c r="G55" s="90"/>
      <c r="H55" s="90"/>
      <c r="I55" s="50"/>
      <c r="J55" s="50"/>
      <c r="K55" s="50"/>
      <c r="L55" s="50"/>
      <c r="M55" s="50"/>
      <c r="N55" s="50"/>
      <c r="O55" s="50"/>
      <c r="P55" s="50"/>
      <c r="Q55" s="50"/>
      <c r="R55" s="83"/>
      <c r="S55" s="83"/>
      <c r="T55" s="76"/>
      <c r="U55" s="76"/>
      <c r="V55" s="76"/>
      <c r="W55" s="76"/>
      <c r="X55" s="76"/>
      <c r="Y55" s="76"/>
      <c r="Z55" s="511"/>
      <c r="AA55" s="506"/>
    </row>
    <row r="56" spans="1:35" ht="15.75" customHeight="1" x14ac:dyDescent="0.2">
      <c r="A56" s="107" t="s">
        <v>850</v>
      </c>
      <c r="B56" s="90"/>
      <c r="C56" s="90"/>
      <c r="D56" s="88"/>
      <c r="E56" s="374"/>
      <c r="F56" s="769"/>
      <c r="G56" s="769" t="s">
        <v>852</v>
      </c>
      <c r="H56" s="90"/>
      <c r="I56" s="50"/>
      <c r="J56" s="50"/>
      <c r="K56" s="50"/>
      <c r="L56" s="50"/>
      <c r="M56" s="50"/>
      <c r="N56" s="50"/>
      <c r="O56" s="50"/>
      <c r="P56" s="50"/>
      <c r="Q56" s="50"/>
      <c r="R56" s="83"/>
      <c r="S56" s="83"/>
      <c r="T56" s="76"/>
      <c r="U56" s="76"/>
      <c r="V56" s="76"/>
      <c r="W56" s="76"/>
      <c r="X56" s="76"/>
      <c r="Y56" s="76"/>
      <c r="Z56" s="511"/>
      <c r="AA56" s="506"/>
    </row>
    <row r="57" spans="1:35" ht="15.75" customHeight="1" x14ac:dyDescent="0.2">
      <c r="A57" s="778"/>
      <c r="B57" s="779"/>
      <c r="C57" s="779"/>
      <c r="D57" s="780" t="str">
        <f>CHOOSE(MODE, "Min Load Current, IOUTmin ", "Min Load Current, IOUT1min")</f>
        <v xml:space="preserve">Min Load Current, IOUTmin </v>
      </c>
      <c r="E57" s="795">
        <v>1E-3</v>
      </c>
      <c r="F57" s="781" t="s">
        <v>1</v>
      </c>
      <c r="G57" s="90"/>
      <c r="H57" s="778"/>
      <c r="I57" s="785"/>
      <c r="J57" s="785"/>
      <c r="K57" s="780" t="str">
        <f>CHOOSE(MODE, " ", "Min Load Current, IOUT2min")</f>
        <v xml:space="preserve"> </v>
      </c>
      <c r="L57" s="798">
        <v>1E-3</v>
      </c>
      <c r="M57" s="786" t="str">
        <f>CHOOSE(MODE, "", "A")</f>
        <v/>
      </c>
      <c r="N57" s="50"/>
      <c r="O57" s="50"/>
      <c r="P57" s="50"/>
      <c r="Q57" s="50"/>
      <c r="R57" s="83"/>
      <c r="S57" s="83"/>
      <c r="T57" s="76"/>
      <c r="U57" s="76"/>
      <c r="V57" s="76"/>
      <c r="W57" s="76"/>
      <c r="X57" s="76"/>
      <c r="Y57" s="76"/>
      <c r="Z57" s="511"/>
      <c r="AA57" s="506"/>
    </row>
    <row r="58" spans="1:35" ht="15.75" customHeight="1" x14ac:dyDescent="0.2">
      <c r="A58" s="782"/>
      <c r="B58" s="90"/>
      <c r="C58" s="90"/>
      <c r="D58" s="87" t="str">
        <f>CHOOSE(MODE,"Max Output Voltage Limit, VOUTmax","Max Output Voltage Limit, VOUT1max")</f>
        <v>Max Output Voltage Limit, VOUTmax</v>
      </c>
      <c r="E58" s="796">
        <v>18</v>
      </c>
      <c r="F58" s="783" t="s">
        <v>0</v>
      </c>
      <c r="G58" s="90"/>
      <c r="H58" s="782"/>
      <c r="I58" s="50"/>
      <c r="J58" s="50"/>
      <c r="K58" s="87" t="str">
        <f>CHOOSE(MODE,"","Max Output Voltage Limit, VOUT2max")</f>
        <v/>
      </c>
      <c r="L58" s="799">
        <v>18</v>
      </c>
      <c r="M58" s="787" t="str">
        <f>CHOOSE(MODE,"","V")</f>
        <v/>
      </c>
      <c r="N58" s="50"/>
      <c r="O58" s="50"/>
      <c r="P58" s="50"/>
      <c r="Q58" s="50"/>
      <c r="R58" s="83"/>
      <c r="S58" s="83"/>
      <c r="T58" s="76"/>
      <c r="U58" s="76"/>
      <c r="V58" s="76"/>
      <c r="W58" s="76"/>
      <c r="X58" s="76"/>
      <c r="Y58" s="76"/>
      <c r="Z58" s="511"/>
      <c r="AA58" s="506"/>
    </row>
    <row r="59" spans="1:35" ht="15.75" customHeight="1" x14ac:dyDescent="0.2">
      <c r="A59" s="782"/>
      <c r="B59" s="90"/>
      <c r="C59" s="83"/>
      <c r="D59" s="88" t="str">
        <f>CHOOSE(MODE," Zener Clamp Dz or Dymmy Load Rdmy","Zener Clamp Dz1 or Dummy Load Rdmy1")</f>
        <v xml:space="preserve"> Zener Clamp Dz or Dymmy Load Rdmy</v>
      </c>
      <c r="E59" s="773" t="str">
        <f>CHOOSE(MODE, IF('Calculations - Single'!G329="Yes",IF(E58&gt;ROUND(Vout*11.25,0)/10, "Dz", "Rdym"), "None"), IF('Calculations - Dual'!G329="Yes",IF(E58&gt;ROUND(Vout*11.25,0)/10, "Dz1", "Rdym1"), "None"))</f>
        <v>None</v>
      </c>
      <c r="F59" s="783" t="s">
        <v>78</v>
      </c>
      <c r="G59" s="90"/>
      <c r="H59" s="782"/>
      <c r="I59" s="50"/>
      <c r="J59" s="50"/>
      <c r="K59" s="88" t="str">
        <f>CHOOSE(MODE,"","Zener Clamp Dz2 or Dummy Load Rdmy2")</f>
        <v/>
      </c>
      <c r="L59" s="773" t="str">
        <f>CHOOSE(MODE, "", IF('Calculations - Dual'!N329="Yes",IF(ABS(L58)&gt;ROUND(Vout2*11.25,0)/10, "Dz2", "Rdym2"), "None"))</f>
        <v/>
      </c>
      <c r="M59" s="787"/>
      <c r="N59" s="50"/>
      <c r="O59" s="50"/>
      <c r="P59" s="50"/>
      <c r="Q59" s="50"/>
      <c r="R59" s="83"/>
      <c r="S59" s="83"/>
      <c r="T59" s="76"/>
      <c r="U59" s="76"/>
      <c r="V59" s="76"/>
      <c r="W59" s="76"/>
      <c r="X59" s="76"/>
      <c r="Y59" s="76"/>
      <c r="Z59" s="511"/>
      <c r="AA59" s="506"/>
    </row>
    <row r="60" spans="1:35" ht="15.75" customHeight="1" x14ac:dyDescent="0.2">
      <c r="A60" s="782"/>
      <c r="B60" s="90"/>
      <c r="C60" s="97"/>
      <c r="D60" s="88" t="str">
        <f>"Selection "&amp;IF(E59="Dz", "Zener Clamp (5%)", IF(E59="Rdym", "Dummy Load (1%)", ""))</f>
        <v xml:space="preserve">Selection </v>
      </c>
      <c r="E60" s="770" t="str">
        <f>CHOOSE(MODE,IF(E59="Rdym",'Standard Value Calculator'!J23,IF(E59="None","None",ROUND(E58/0.0105,0)/100)),IF(E59="Rdym",'Standard Value Calculator'!J24,IF(E59="None","None",ROUND(E58/0.0105,0)/100)))</f>
        <v>None</v>
      </c>
      <c r="F60" s="784" t="str">
        <f>IF(E59="DZ", "V", IF(E59="Rdym","Ohm", ""))</f>
        <v/>
      </c>
      <c r="G60" s="90"/>
      <c r="H60" s="782"/>
      <c r="I60" s="50"/>
      <c r="J60" s="50"/>
      <c r="K60" s="88" t="str">
        <f>CHOOSE(MODE, "", "Selection "&amp;IF(L59="Dz", "Zener Clamp (5%)", IF(L59="Rdym", "Dummy Load (1%)", "")))</f>
        <v/>
      </c>
      <c r="L60" s="770" t="str">
        <f>CHOOSE(MODE,"",IF(L59="Rdym",'Standard Value Calculator'!J25,IF(L59="None","None",ROUND(ABS(L58)/0.0105,0)/100)))</f>
        <v/>
      </c>
      <c r="M60" s="784" t="str">
        <f>IF(L59="DZ", "V", IF(L59="Rdym","Ohm", ""))</f>
        <v/>
      </c>
      <c r="N60" s="50"/>
      <c r="O60" s="50"/>
      <c r="P60" s="50"/>
      <c r="Q60" s="50"/>
      <c r="R60" s="83"/>
      <c r="S60" s="83"/>
      <c r="T60" s="76"/>
      <c r="U60" s="76"/>
      <c r="V60" s="76"/>
      <c r="W60" s="76"/>
      <c r="X60" s="76"/>
      <c r="Y60" s="76"/>
      <c r="Z60" s="511"/>
      <c r="AA60" s="506"/>
    </row>
    <row r="61" spans="1:35" ht="15.75" customHeight="1" x14ac:dyDescent="0.2">
      <c r="A61" s="774"/>
      <c r="B61" s="775"/>
      <c r="C61" s="775"/>
      <c r="D61" s="793" t="s">
        <v>839</v>
      </c>
      <c r="E61" s="776" t="str">
        <f>IF(E59="Rdym",(Vout*1.08)^2/E60*4, IF(E59="Dz", E60*1.065*E57*4, "N/A"))</f>
        <v>N/A</v>
      </c>
      <c r="F61" s="777" t="s">
        <v>45</v>
      </c>
      <c r="G61" s="90"/>
      <c r="H61" s="774"/>
      <c r="I61" s="788"/>
      <c r="J61" s="788"/>
      <c r="K61" s="793" t="str">
        <f>CHOOSE(MODE, "", "Selected Device Min Power Rating&gt;")</f>
        <v/>
      </c>
      <c r="L61" s="776" t="str">
        <f>CHOOSE(MODE, "", IF(L59="Rdym",(Vout2*1.08)^2/L60*4, IF(L59="Dz", ABS(L60*1.065*L57*4), "")))</f>
        <v/>
      </c>
      <c r="M61" s="777" t="str">
        <f>CHOOSE(MODE, "", "W")</f>
        <v/>
      </c>
      <c r="N61" s="50"/>
      <c r="O61" s="50"/>
      <c r="P61" s="50"/>
      <c r="Q61" s="50"/>
      <c r="R61" s="83"/>
      <c r="S61" s="83"/>
      <c r="T61" s="76"/>
      <c r="U61" s="76"/>
      <c r="V61" s="76"/>
      <c r="W61" s="76"/>
      <c r="X61" s="76"/>
      <c r="Y61" s="76"/>
      <c r="Z61" s="511"/>
      <c r="AA61" s="506"/>
    </row>
    <row r="62" spans="1:35" ht="15.75" customHeight="1" thickBot="1" x14ac:dyDescent="0.25">
      <c r="A62" s="89"/>
      <c r="B62" s="90"/>
      <c r="C62" s="90"/>
      <c r="D62" s="88"/>
      <c r="E62" s="374"/>
      <c r="F62" s="769"/>
      <c r="G62" s="90"/>
      <c r="H62" s="90"/>
      <c r="I62" s="50"/>
      <c r="J62" s="50"/>
      <c r="K62" s="50"/>
      <c r="L62" s="50"/>
      <c r="M62" s="50"/>
      <c r="N62" s="50"/>
      <c r="O62" s="50"/>
      <c r="P62" s="50"/>
      <c r="Q62" s="50"/>
      <c r="R62" s="83"/>
      <c r="S62" s="83"/>
      <c r="T62" s="76"/>
      <c r="U62" s="76"/>
      <c r="V62" s="76"/>
      <c r="W62" s="76"/>
      <c r="X62" s="76"/>
      <c r="Y62" s="76"/>
      <c r="Z62" s="511"/>
      <c r="AA62" s="506"/>
    </row>
    <row r="63" spans="1:35" x14ac:dyDescent="0.2">
      <c r="A63" s="419"/>
      <c r="B63" s="420"/>
      <c r="C63" s="421"/>
      <c r="D63" s="421"/>
      <c r="E63" s="421"/>
      <c r="F63" s="421"/>
      <c r="G63" s="421"/>
      <c r="H63" s="421"/>
      <c r="I63" s="421"/>
      <c r="J63" s="421"/>
      <c r="K63" s="421"/>
      <c r="L63" s="421"/>
      <c r="M63" s="421"/>
      <c r="N63" s="421"/>
      <c r="O63" s="421"/>
      <c r="P63" s="421"/>
      <c r="Q63" s="421"/>
      <c r="R63" s="418"/>
      <c r="S63" s="418"/>
      <c r="T63" s="418"/>
      <c r="U63" s="506"/>
      <c r="V63" s="506"/>
      <c r="W63" s="418"/>
      <c r="X63" s="418"/>
      <c r="Y63" s="418"/>
      <c r="Z63" s="506"/>
      <c r="AA63" s="506"/>
      <c r="AB63" s="23"/>
      <c r="AC63" s="23"/>
      <c r="AD63" s="23"/>
      <c r="AG63" s="23"/>
      <c r="AH63" s="23"/>
      <c r="AI63" s="23"/>
    </row>
    <row r="64" spans="1:35" x14ac:dyDescent="0.2">
      <c r="A64" s="46"/>
      <c r="B64" s="46"/>
      <c r="C64" s="46"/>
      <c r="D64" s="46"/>
      <c r="E64" s="46"/>
      <c r="F64" s="46"/>
      <c r="G64" s="46"/>
      <c r="H64" s="46"/>
      <c r="I64" s="46"/>
      <c r="J64" s="46"/>
      <c r="K64" s="46"/>
      <c r="L64" s="46"/>
      <c r="M64" s="46"/>
      <c r="N64" s="46"/>
      <c r="O64" s="46"/>
      <c r="P64" s="46"/>
      <c r="Q64" s="46"/>
      <c r="R64" s="23"/>
      <c r="S64" s="23"/>
      <c r="T64" s="23"/>
      <c r="W64" s="23"/>
      <c r="X64" s="23"/>
      <c r="Y64" s="23"/>
      <c r="AB64" s="23"/>
      <c r="AC64" s="23"/>
      <c r="AD64" s="23"/>
      <c r="AG64" s="23"/>
      <c r="AH64" s="23"/>
      <c r="AI64" s="23"/>
    </row>
    <row r="65" spans="2:35" x14ac:dyDescent="0.2">
      <c r="B65" s="46"/>
      <c r="C65" s="46"/>
      <c r="D65" s="46"/>
      <c r="E65" s="46"/>
      <c r="F65" s="46"/>
      <c r="G65" s="46"/>
      <c r="H65" s="46"/>
      <c r="I65" s="46"/>
      <c r="J65" s="46"/>
      <c r="K65" s="46"/>
      <c r="L65" s="46"/>
      <c r="R65" s="23"/>
      <c r="S65" s="23"/>
      <c r="T65" s="23"/>
      <c r="W65" s="23"/>
      <c r="X65" s="23"/>
      <c r="Y65" s="23"/>
      <c r="AB65" s="23"/>
      <c r="AC65" s="23"/>
      <c r="AD65" s="23"/>
      <c r="AG65" s="23"/>
      <c r="AH65" s="23"/>
      <c r="AI65" s="23"/>
    </row>
    <row r="66" spans="2:35" x14ac:dyDescent="0.2">
      <c r="B66" s="46"/>
      <c r="C66" s="46"/>
      <c r="D66" s="46"/>
      <c r="E66" s="46"/>
      <c r="F66" s="46"/>
      <c r="G66" s="46"/>
      <c r="H66" s="46"/>
      <c r="I66" s="46"/>
      <c r="J66" s="46"/>
      <c r="K66" s="46"/>
      <c r="L66" s="46"/>
      <c r="R66" s="23"/>
      <c r="S66" s="23"/>
      <c r="T66" s="23"/>
      <c r="W66" s="23"/>
      <c r="X66" s="23"/>
      <c r="Y66" s="23"/>
      <c r="AB66" s="23"/>
      <c r="AC66" s="23"/>
      <c r="AD66" s="23"/>
      <c r="AG66" s="23"/>
      <c r="AH66" s="23"/>
      <c r="AI66" s="23"/>
    </row>
    <row r="67" spans="2:35" x14ac:dyDescent="0.2">
      <c r="B67" s="46"/>
      <c r="C67" s="46"/>
      <c r="D67" s="46"/>
      <c r="E67" s="46"/>
      <c r="F67" s="46"/>
      <c r="G67" s="46"/>
      <c r="H67" s="46"/>
      <c r="I67" s="46"/>
      <c r="J67" s="46"/>
      <c r="K67" s="46"/>
      <c r="L67" s="46"/>
      <c r="R67" s="23"/>
      <c r="S67" s="23"/>
      <c r="T67" s="23"/>
      <c r="W67" s="23"/>
      <c r="X67" s="23"/>
      <c r="Y67" s="23"/>
      <c r="AB67" s="23"/>
      <c r="AC67" s="23"/>
      <c r="AD67" s="23"/>
      <c r="AG67" s="23"/>
      <c r="AH67" s="23"/>
      <c r="AI67" s="23"/>
    </row>
    <row r="68" spans="2:35" x14ac:dyDescent="0.2">
      <c r="B68" s="46"/>
      <c r="C68" s="46"/>
      <c r="D68" s="46"/>
      <c r="E68" s="46"/>
      <c r="F68" s="46"/>
      <c r="G68" s="46"/>
      <c r="H68" s="46"/>
      <c r="I68" s="46"/>
      <c r="J68" s="46"/>
      <c r="K68" s="46"/>
      <c r="L68" s="46"/>
      <c r="R68" s="23"/>
      <c r="S68" s="23"/>
      <c r="T68" s="23"/>
      <c r="W68" s="23"/>
      <c r="X68" s="23"/>
      <c r="Y68" s="23"/>
      <c r="AB68" s="23"/>
      <c r="AC68" s="23"/>
      <c r="AD68" s="23"/>
      <c r="AG68" s="23"/>
      <c r="AH68" s="23"/>
      <c r="AI68" s="23"/>
    </row>
  </sheetData>
  <sheetProtection algorithmName="SHA-512" hashValue="NGgjRsnZQ4828zU6PBR87NHdBE6pHGkzNKhW+1ZnCcJNBW+36ByPsVKqh/HoKIevTn1Eh8LeqPG9BbeQyVmbsw==" saltValue="VU8L+zc5m5OLjpGl1YEQiQ==" spinCount="100000" sheet="1" objects="1" scenarios="1" selectLockedCells="1"/>
  <phoneticPr fontId="6" type="noConversion"/>
  <conditionalFormatting sqref="E8">
    <cfRule type="cellIs" dxfId="73" priority="131" stopIfTrue="1" operator="notBetween">
      <formula>4.5</formula>
      <formula>VIN_MAX_RATING</formula>
    </cfRule>
  </conditionalFormatting>
  <conditionalFormatting sqref="E10">
    <cfRule type="cellIs" dxfId="72" priority="128" stopIfTrue="1" operator="notBetween">
      <formula>-200</formula>
      <formula>200</formula>
    </cfRule>
  </conditionalFormatting>
  <conditionalFormatting sqref="E22">
    <cfRule type="cellIs" dxfId="71" priority="125" stopIfTrue="1" operator="lessThan">
      <formula>$E$21</formula>
    </cfRule>
  </conditionalFormatting>
  <conditionalFormatting sqref="E18">
    <cfRule type="cellIs" dxfId="70" priority="121" stopIfTrue="1" operator="lessThan">
      <formula>$E$17</formula>
    </cfRule>
  </conditionalFormatting>
  <conditionalFormatting sqref="E19">
    <cfRule type="cellIs" dxfId="69" priority="120" stopIfTrue="1" operator="equal">
      <formula>0</formula>
    </cfRule>
  </conditionalFormatting>
  <conditionalFormatting sqref="E36">
    <cfRule type="cellIs" dxfId="68" priority="117" operator="notBetween">
      <formula>65</formula>
      <formula>4.5</formula>
    </cfRule>
  </conditionalFormatting>
  <conditionalFormatting sqref="E30">
    <cfRule type="cellIs" dxfId="67" priority="115" operator="lessThan">
      <formula>6</formula>
    </cfRule>
  </conditionalFormatting>
  <conditionalFormatting sqref="F15">
    <cfRule type="expression" dxfId="66" priority="104">
      <formula>(MODE=2)</formula>
    </cfRule>
  </conditionalFormatting>
  <conditionalFormatting sqref="E30:F30">
    <cfRule type="expression" dxfId="65" priority="99">
      <formula>OR(MODE_SS=2,MODE_SS=3)</formula>
    </cfRule>
  </conditionalFormatting>
  <conditionalFormatting sqref="D30">
    <cfRule type="expression" dxfId="64" priority="98">
      <formula>OR(MODE_SS=2,MODE_SS=3)</formula>
    </cfRule>
  </conditionalFormatting>
  <conditionalFormatting sqref="D31:F31">
    <cfRule type="expression" dxfId="63" priority="97">
      <formula>OR(MODE_SS=2,MODE_SS=3)</formula>
    </cfRule>
  </conditionalFormatting>
  <conditionalFormatting sqref="D36">
    <cfRule type="expression" dxfId="62" priority="95">
      <formula>MODE_UVLO=2</formula>
    </cfRule>
  </conditionalFormatting>
  <conditionalFormatting sqref="C38:F40 E36:F37">
    <cfRule type="expression" dxfId="61" priority="69">
      <formula>MODE_UVLO=2</formula>
    </cfRule>
  </conditionalFormatting>
  <conditionalFormatting sqref="D37">
    <cfRule type="expression" dxfId="60" priority="92">
      <formula>MODE_UVLO=2</formula>
    </cfRule>
  </conditionalFormatting>
  <conditionalFormatting sqref="E47:E51 E53:E62">
    <cfRule type="cellIs" dxfId="59" priority="77" operator="notBetween">
      <formula>-40</formula>
      <formula>150</formula>
    </cfRule>
  </conditionalFormatting>
  <conditionalFormatting sqref="E45">
    <cfRule type="cellIs" dxfId="58" priority="76" operator="notBetween">
      <formula>-40</formula>
      <formula>150</formula>
    </cfRule>
  </conditionalFormatting>
  <conditionalFormatting sqref="F21">
    <cfRule type="cellIs" dxfId="57" priority="75" stopIfTrue="1" operator="lessThanOrEqual">
      <formula>0</formula>
    </cfRule>
  </conditionalFormatting>
  <conditionalFormatting sqref="A37:F37">
    <cfRule type="expression" dxfId="56" priority="59">
      <formula>MODE_UVLO=1</formula>
    </cfRule>
  </conditionalFormatting>
  <conditionalFormatting sqref="A40:F40">
    <cfRule type="expression" dxfId="55" priority="68">
      <formula>MODE_UVLO=2</formula>
    </cfRule>
  </conditionalFormatting>
  <conditionalFormatting sqref="F38:F39">
    <cfRule type="expression" dxfId="54" priority="67">
      <formula>MODE_UVLO=2</formula>
    </cfRule>
  </conditionalFormatting>
  <conditionalFormatting sqref="E37">
    <cfRule type="cellIs" dxfId="53" priority="93" operator="notBetween">
      <formula>3.5</formula>
      <formula>$E$36</formula>
    </cfRule>
  </conditionalFormatting>
  <conditionalFormatting sqref="F17">
    <cfRule type="cellIs" dxfId="52" priority="57" stopIfTrue="1" operator="lessThanOrEqual">
      <formula>0</formula>
    </cfRule>
  </conditionalFormatting>
  <conditionalFormatting sqref="E11">
    <cfRule type="cellIs" dxfId="51" priority="56" operator="between">
      <formula>-0.0099</formula>
      <formula>0.0099</formula>
    </cfRule>
  </conditionalFormatting>
  <conditionalFormatting sqref="E11">
    <cfRule type="expression" dxfId="50" priority="83">
      <formula>"Iout&gt;2"</formula>
    </cfRule>
  </conditionalFormatting>
  <conditionalFormatting sqref="J38">
    <cfRule type="cellIs" dxfId="49" priority="139" stopIfTrue="1" operator="notBetween">
      <formula>600</formula>
      <formula>50</formula>
    </cfRule>
    <cfRule type="cellIs" dxfId="48" priority="140" stopIfTrue="1" operator="greaterThan">
      <formula>$E$9</formula>
    </cfRule>
  </conditionalFormatting>
  <conditionalFormatting sqref="E12">
    <cfRule type="cellIs" dxfId="47" priority="55" operator="notBetween">
      <formula>-200</formula>
      <formula>200</formula>
    </cfRule>
  </conditionalFormatting>
  <conditionalFormatting sqref="E13">
    <cfRule type="cellIs" dxfId="46" priority="53" operator="between">
      <formula>-0.0099</formula>
      <formula>0.0099</formula>
    </cfRule>
  </conditionalFormatting>
  <conditionalFormatting sqref="E13">
    <cfRule type="expression" dxfId="45" priority="54">
      <formula>Iout2 &gt; 2</formula>
    </cfRule>
  </conditionalFormatting>
  <conditionalFormatting sqref="E23">
    <cfRule type="cellIs" dxfId="44" priority="49" stopIfTrue="1" operator="equal">
      <formula>0</formula>
    </cfRule>
  </conditionalFormatting>
  <conditionalFormatting sqref="D33">
    <cfRule type="expression" dxfId="43" priority="44">
      <formula>OR(TC=2)</formula>
    </cfRule>
  </conditionalFormatting>
  <conditionalFormatting sqref="D34:F34 E33:F33">
    <cfRule type="expression" dxfId="42" priority="43">
      <formula>OR(TC=2)</formula>
    </cfRule>
  </conditionalFormatting>
  <conditionalFormatting sqref="L23">
    <cfRule type="cellIs" dxfId="41" priority="37" stopIfTrue="1" operator="equal">
      <formula>0</formula>
    </cfRule>
  </conditionalFormatting>
  <conditionalFormatting sqref="L22">
    <cfRule type="cellIs" dxfId="40" priority="39" stopIfTrue="1" operator="lessThan">
      <formula>$L$21</formula>
    </cfRule>
  </conditionalFormatting>
  <conditionalFormatting sqref="M21">
    <cfRule type="cellIs" dxfId="39" priority="38" stopIfTrue="1" operator="lessThanOrEqual">
      <formula>0</formula>
    </cfRule>
  </conditionalFormatting>
  <conditionalFormatting sqref="E7">
    <cfRule type="cellIs" dxfId="38" priority="28" operator="notBetween">
      <formula>4.5</formula>
      <formula>VIN_MAX_RATING</formula>
    </cfRule>
  </conditionalFormatting>
  <conditionalFormatting sqref="E6">
    <cfRule type="cellIs" dxfId="37" priority="27" operator="notBetween">
      <formula>4.5</formula>
      <formula>VIN_MAX_RATING</formula>
    </cfRule>
  </conditionalFormatting>
  <conditionalFormatting sqref="L59">
    <cfRule type="cellIs" dxfId="36" priority="23" operator="notBetween">
      <formula>-40</formula>
      <formula>150</formula>
    </cfRule>
  </conditionalFormatting>
  <conditionalFormatting sqref="L61">
    <cfRule type="cellIs" dxfId="35" priority="22" operator="notBetween">
      <formula>-40</formula>
      <formula>150</formula>
    </cfRule>
  </conditionalFormatting>
  <conditionalFormatting sqref="L60">
    <cfRule type="cellIs" dxfId="34" priority="20" operator="notBetween">
      <formula>-40</formula>
      <formula>150</formula>
    </cfRule>
  </conditionalFormatting>
  <conditionalFormatting sqref="F14">
    <cfRule type="expression" dxfId="33" priority="19">
      <formula>(MODE=2)</formula>
    </cfRule>
  </conditionalFormatting>
  <conditionalFormatting sqref="E52">
    <cfRule type="cellIs" dxfId="32" priority="17" operator="notBetween">
      <formula>-40</formula>
      <formula>150</formula>
    </cfRule>
  </conditionalFormatting>
  <conditionalFormatting sqref="L51 L53:L54">
    <cfRule type="cellIs" dxfId="31" priority="16" operator="notBetween">
      <formula>-40</formula>
      <formula>150</formula>
    </cfRule>
  </conditionalFormatting>
  <conditionalFormatting sqref="L52">
    <cfRule type="cellIs" dxfId="30" priority="15" operator="notBetween">
      <formula>-40</formula>
      <formula>150</formula>
    </cfRule>
  </conditionalFormatting>
  <conditionalFormatting sqref="G51:M54">
    <cfRule type="expression" priority="14">
      <formula>"MODE=true"</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142875</xdr:colOff>
                    <xdr:row>0</xdr:row>
                    <xdr:rowOff>381000</xdr:rowOff>
                  </from>
                  <to>
                    <xdr:col>24</xdr:col>
                    <xdr:colOff>523875</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133350</xdr:colOff>
                    <xdr:row>6</xdr:row>
                    <xdr:rowOff>19050</xdr:rowOff>
                  </from>
                  <to>
                    <xdr:col>5</xdr:col>
                    <xdr:colOff>304800</xdr:colOff>
                    <xdr:row>7</xdr:row>
                    <xdr:rowOff>28575</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19050</xdr:colOff>
                    <xdr:row>28</xdr:row>
                    <xdr:rowOff>0</xdr:rowOff>
                  </from>
                  <to>
                    <xdr:col>5</xdr:col>
                    <xdr:colOff>285750</xdr:colOff>
                    <xdr:row>29</xdr:row>
                    <xdr:rowOff>28575</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19050</xdr:colOff>
                    <xdr:row>34</xdr:row>
                    <xdr:rowOff>0</xdr:rowOff>
                  </from>
                  <to>
                    <xdr:col>5</xdr:col>
                    <xdr:colOff>257175</xdr:colOff>
                    <xdr:row>34</xdr:row>
                    <xdr:rowOff>209550</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19050</xdr:colOff>
                    <xdr:row>11</xdr:row>
                    <xdr:rowOff>0</xdr:rowOff>
                  </from>
                  <to>
                    <xdr:col>12</xdr:col>
                    <xdr:colOff>66675</xdr:colOff>
                    <xdr:row>12</xdr:row>
                    <xdr:rowOff>19050</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19050</xdr:rowOff>
                  </from>
                  <to>
                    <xdr:col>5</xdr:col>
                    <xdr:colOff>266700</xdr:colOff>
                    <xdr:row>32</xdr:row>
                    <xdr:rowOff>19050</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28575</xdr:colOff>
                    <xdr:row>4</xdr:row>
                    <xdr:rowOff>19050</xdr:rowOff>
                  </from>
                  <to>
                    <xdr:col>5</xdr:col>
                    <xdr:colOff>400050</xdr:colOff>
                    <xdr:row>4</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9" id="{2F97F2FF-95A0-40C5-B045-6ADA68EA7C2F}">
            <xm:f>'Variable Mgmt'!$B$58</xm:f>
            <x14:dxf>
              <font>
                <strike val="0"/>
                <color theme="0"/>
              </font>
              <fill>
                <patternFill>
                  <bgColor theme="0"/>
                </patternFill>
              </fill>
            </x14:dxf>
          </x14:cfRule>
          <xm:sqref>E12:E13</xm:sqref>
        </x14:conditionalFormatting>
        <x14:conditionalFormatting xmlns:xm="http://schemas.microsoft.com/office/excel/2006/main">
          <x14:cfRule type="expression" priority="171" id="{9B976DD7-FFA8-454F-A63D-186A721FDF9C}">
            <xm:f>'Variable Mgmt'!$B$58</xm:f>
            <x14:dxf>
              <border>
                <bottom/>
                <vertical/>
                <horizontal/>
              </border>
            </x14:dxf>
          </x14:cfRule>
          <xm:sqref>A12:F13 A14:D14</xm:sqref>
        </x14:conditionalFormatting>
        <x14:conditionalFormatting xmlns:xm="http://schemas.microsoft.com/office/excel/2006/main">
          <x14:cfRule type="expression" priority="172" id="{25C53C6F-CE07-4419-8FCF-F6B8FCD8434A}">
            <xm:f>'Variable Mgmt'!$B$58</xm:f>
            <x14:dxf>
              <border>
                <right/>
                <vertical/>
                <horizontal/>
              </border>
            </x14:dxf>
          </x14:cfRule>
          <xm:sqref>F12:F13</xm:sqref>
        </x14:conditionalFormatting>
        <x14:conditionalFormatting xmlns:xm="http://schemas.microsoft.com/office/excel/2006/main">
          <x14:cfRule type="expression" priority="42" id="{56BB0655-3B2C-4E9D-AD05-7700A46C30F4}">
            <xm:f>'Variable Mgmt'!$B$58=FALSE</xm:f>
            <x14:dxf>
              <border>
                <bottom/>
                <vertical/>
                <horizontal/>
              </border>
            </x14:dxf>
          </x14:cfRule>
          <xm:sqref>A12:F12</xm:sqref>
        </x14:conditionalFormatting>
        <x14:conditionalFormatting xmlns:xm="http://schemas.microsoft.com/office/excel/2006/main">
          <x14:cfRule type="expression" priority="41" id="{7DE853EF-1754-4C48-A140-FF26B3EC5CF8}">
            <xm:f>'Variable Mgmt'!$B$58=FALSE</xm:f>
            <x14:dxf>
              <border>
                <bottom/>
                <vertical/>
                <horizontal/>
              </border>
            </x14:dxf>
          </x14:cfRule>
          <xm:sqref>A11:F11</xm:sqref>
        </x14:conditionalFormatting>
        <x14:conditionalFormatting xmlns:xm="http://schemas.microsoft.com/office/excel/2006/main">
          <x14:cfRule type="expression" priority="36" id="{18CE8F81-B526-43C7-B5F1-BAA9C73809CD}">
            <xm:f>'Variable Mgmt'!$B$58=TRUE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35" id="{B42E45EE-F49B-4512-9DB9-8B85B95C6919}">
            <xm:f>'Variable Mgmt'!$B$58=TRUE</xm:f>
            <x14:dxf>
              <border>
                <left/>
                <right/>
                <top/>
                <bottom/>
                <vertical/>
                <horizontal/>
              </border>
            </x14:dxf>
          </x14:cfRule>
          <xm:sqref>H21:J24</xm:sqref>
        </x14:conditionalFormatting>
        <x14:conditionalFormatting xmlns:xm="http://schemas.microsoft.com/office/excel/2006/main">
          <x14:cfRule type="expression" priority="34" id="{8076779E-531E-4945-9FF1-9C72CDB0D6DC}">
            <xm:f>'Variable Mgmt'!$B$58=TRUE</xm:f>
            <x14:dxf>
              <border>
                <top/>
                <bottom/>
                <vertical/>
                <horizontal/>
              </border>
            </x14:dxf>
          </x14:cfRule>
          <xm:sqref>G22:G23</xm:sqref>
        </x14:conditionalFormatting>
        <x14:conditionalFormatting xmlns:xm="http://schemas.microsoft.com/office/excel/2006/main">
          <x14:cfRule type="expression" priority="175" id="{2E385B5D-C8C9-48C7-B4AE-E1A8F27EB6E6}">
            <xm:f>'Variable Mgmt'!$B$90&gt;'Variable Mgmt'!$B$79*1000000</xm:f>
            <x14:dxf>
              <font>
                <color rgb="FFFF0000"/>
              </font>
            </x14:dxf>
          </x14:cfRule>
          <xm:sqref>L7</xm:sqref>
        </x14:conditionalFormatting>
        <x14:conditionalFormatting xmlns:xm="http://schemas.microsoft.com/office/excel/2006/main">
          <x14:cfRule type="expression" priority="176" id="{EE277573-B7FD-4D2F-97C3-CC46EAD89E7B}">
            <xm:f>AND('Variable Mgmt'!#REF!&gt;'Variable Mgmt'!$B$62*1/1000, MODE=1)</xm:f>
            <x14:dxf>
              <font>
                <b/>
                <i val="0"/>
                <color rgb="FFFF0000"/>
              </font>
            </x14:dxf>
          </x14:cfRule>
          <xm:sqref>L12</xm:sqref>
        </x14:conditionalFormatting>
        <x14:conditionalFormatting xmlns:xm="http://schemas.microsoft.com/office/excel/2006/main">
          <x14:cfRule type="expression" priority="33" id="{DA50B535-B6B5-4DFB-9CBC-C505A48C7EB5}">
            <xm:f>'Variable Mgmt'!$B$58=TRUE</xm:f>
            <x14:dxf>
              <font>
                <color theme="0"/>
              </font>
              <fill>
                <patternFill>
                  <bgColor theme="0"/>
                </patternFill>
              </fill>
            </x14:dxf>
          </x14:cfRule>
          <xm:sqref>L10</xm:sqref>
        </x14:conditionalFormatting>
        <x14:conditionalFormatting xmlns:xm="http://schemas.microsoft.com/office/excel/2006/main">
          <x14:cfRule type="expression" priority="31" id="{2E35C64D-1122-4B17-B495-E52D781938E1}">
            <xm:f>'Variable Mgmt'!$D$43=TRUE</xm:f>
            <x14:dxf>
              <font>
                <strike val="0"/>
                <color theme="0"/>
              </font>
              <fill>
                <patternFill>
                  <bgColor rgb="FFFF0000"/>
                </patternFill>
              </fill>
            </x14:dxf>
          </x14:cfRule>
          <xm:sqref>L15:M15</xm:sqref>
        </x14:conditionalFormatting>
        <x14:conditionalFormatting xmlns:xm="http://schemas.microsoft.com/office/excel/2006/main">
          <x14:cfRule type="expression" priority="30" id="{F4D74C3C-4D76-4D0F-8E84-39601788AC8B}">
            <xm:f>'Variable Mgmt'!$D$67=TRUE</xm:f>
            <x14:dxf>
              <font>
                <b/>
                <i val="0"/>
                <color theme="0"/>
              </font>
              <fill>
                <patternFill>
                  <bgColor rgb="FFFF0000"/>
                </patternFill>
              </fill>
            </x14:dxf>
          </x14:cfRule>
          <xm:sqref>L16:M16</xm:sqref>
        </x14:conditionalFormatting>
        <x14:conditionalFormatting xmlns:xm="http://schemas.microsoft.com/office/excel/2006/main">
          <x14:cfRule type="expression" priority="26" id="{FDF11FD5-D0E4-4176-BA12-7EC76C4512D8}">
            <xm:f>'Variable Mgmt'!$B$58=FALSE</xm:f>
            <x14:dxf>
              <font>
                <color theme="0"/>
              </font>
            </x14:dxf>
          </x14:cfRule>
          <xm:sqref>K17:M17 K19:M20 L18:M18</xm:sqref>
        </x14:conditionalFormatting>
        <x14:conditionalFormatting xmlns:xm="http://schemas.microsoft.com/office/excel/2006/main">
          <x14:cfRule type="expression" priority="18" id="{6A589E4F-73D5-400C-B465-4C34FC9CCF83}">
            <xm:f>'Variable Mgmt'!$B$58=FALSE</xm:f>
            <x14:dxf>
              <font>
                <color theme="0"/>
              </font>
            </x14:dxf>
          </x14:cfRule>
          <xm:sqref>K18</xm:sqref>
        </x14:conditionalFormatting>
        <x14:conditionalFormatting xmlns:xm="http://schemas.microsoft.com/office/excel/2006/main">
          <x14:cfRule type="expression" priority="1" id="{0F0DB212-D1A4-4698-84D1-3D9EBCED844A}">
            <xm:f>NOT('Variable Mgmt'!$B$58=TRUE)</xm:f>
            <x14:dxf>
              <font>
                <color theme="1"/>
              </font>
              <fill>
                <patternFill>
                  <fgColor rgb="FFFFFF00"/>
                  <bgColor rgb="FFFFFF00"/>
                </patternFill>
              </fill>
            </x14:dxf>
          </x14:cfRule>
          <x14:cfRule type="expression" priority="2" id="{A5CCDE80-CA7B-43C9-85B5-68458520B476}">
            <xm:f>'Variable Mgmt'!$B$58=TRUE</xm:f>
            <x14:dxf>
              <font>
                <color theme="0"/>
              </font>
            </x14:dxf>
          </x14:cfRule>
          <xm:sqref>L57:L58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topLeftCell="A4" zoomScaleNormal="100" workbookViewId="0">
      <selection activeCell="H7" sqref="H7"/>
    </sheetView>
  </sheetViews>
  <sheetFormatPr defaultRowHeight="12.75" x14ac:dyDescent="0.2"/>
  <cols>
    <col min="2" max="2" width="126.42578125" customWidth="1"/>
  </cols>
  <sheetData>
    <row r="2" spans="1:2" ht="17.25" customHeight="1" x14ac:dyDescent="0.2">
      <c r="A2" s="77" t="str">
        <f>CHOOSE(MODE, "EFF_SINGLE", "EFF_DUAL")</f>
        <v>EFF_SINGLE</v>
      </c>
    </row>
    <row r="5" spans="1:2" ht="409.5" customHeight="1" x14ac:dyDescent="0.2">
      <c r="B5" s="364"/>
    </row>
    <row r="6" spans="1:2" ht="17.100000000000001" customHeight="1" x14ac:dyDescent="0.2"/>
    <row r="7" spans="1:2" ht="409.5" customHeight="1" x14ac:dyDescent="0.2">
      <c r="B7" s="364"/>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C7" sqref="C7"/>
    </sheetView>
  </sheetViews>
  <sheetFormatPr defaultRowHeight="12.75" x14ac:dyDescent="0.2"/>
  <cols>
    <col min="2" max="2" width="126.42578125" customWidth="1"/>
  </cols>
  <sheetData>
    <row r="2" spans="1:2" ht="17.25" customHeight="1" x14ac:dyDescent="0.2">
      <c r="A2" s="77" t="str">
        <f>CHOOSE(MODE, "Fsw_SINGLE", "Fsw_DUAL")</f>
        <v>Fsw_SINGLE</v>
      </c>
    </row>
    <row r="5" spans="1:2" ht="409.5" customHeight="1" x14ac:dyDescent="0.2">
      <c r="B5" s="364"/>
    </row>
    <row r="6" spans="1:2" ht="17.100000000000001" customHeight="1" x14ac:dyDescent="0.2"/>
    <row r="7" spans="1:2" ht="409.5" customHeight="1" x14ac:dyDescent="0.2">
      <c r="B7" s="364"/>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zoomScale="25" zoomScaleNormal="25" zoomScaleSheetLayoutView="145" workbookViewId="0">
      <selection activeCell="H23" sqref="H23"/>
    </sheetView>
  </sheetViews>
  <sheetFormatPr defaultRowHeight="12.75" x14ac:dyDescent="0.2"/>
  <cols>
    <col min="1" max="1" width="12.7109375" style="364" customWidth="1"/>
    <col min="2" max="2" width="124.7109375" style="11" customWidth="1"/>
    <col min="3" max="4" width="9.28515625" style="364"/>
    <col min="5" max="5" width="124.7109375" style="7" customWidth="1"/>
    <col min="8" max="8" width="124.7109375" style="365" customWidth="1"/>
  </cols>
  <sheetData>
    <row r="2" spans="1:15" x14ac:dyDescent="0.2">
      <c r="A2" s="364" t="str">
        <f>'Variable Mgmt'!K50</f>
        <v>SCH_SINGLE_UVLOadj_SSint_TCyes</v>
      </c>
    </row>
    <row r="5" spans="1:15" s="364" customFormat="1" ht="13.5" customHeight="1" x14ac:dyDescent="0.2">
      <c r="E5" s="365"/>
      <c r="H5" s="365"/>
    </row>
    <row r="6" spans="1:15" s="364" customFormat="1" ht="16.5" customHeight="1" x14ac:dyDescent="0.2">
      <c r="E6" s="365"/>
      <c r="H6" s="365"/>
    </row>
    <row r="7" spans="1:15" ht="357" customHeight="1" x14ac:dyDescent="0.2">
      <c r="B7" s="12"/>
      <c r="E7" s="391"/>
      <c r="F7" s="11"/>
      <c r="G7" s="11"/>
      <c r="I7" s="11"/>
      <c r="J7" s="11"/>
      <c r="K7" s="11"/>
      <c r="L7" s="11"/>
      <c r="M7" s="11"/>
      <c r="N7" s="11"/>
    </row>
    <row r="8" spans="1:15" s="364" customFormat="1" ht="17.25" customHeight="1" x14ac:dyDescent="0.2">
      <c r="B8" s="365"/>
      <c r="E8" s="365"/>
      <c r="H8" s="365"/>
      <c r="O8" s="366"/>
    </row>
    <row r="9" spans="1:15" ht="357" customHeight="1" x14ac:dyDescent="0.2">
      <c r="B9" s="112"/>
      <c r="D9" s="365"/>
      <c r="E9" s="391"/>
      <c r="F9" s="364"/>
      <c r="G9" s="11"/>
      <c r="I9" s="11"/>
      <c r="J9" s="11"/>
      <c r="K9" s="11"/>
      <c r="L9" s="11"/>
      <c r="M9" s="11"/>
      <c r="N9" s="11"/>
      <c r="O9" s="367"/>
    </row>
    <row r="10" spans="1:15" s="364" customFormat="1" x14ac:dyDescent="0.2">
      <c r="E10" s="365"/>
      <c r="H10" s="365"/>
    </row>
    <row r="11" spans="1:15" ht="357" customHeight="1" x14ac:dyDescent="0.2">
      <c r="B11" s="391"/>
      <c r="D11" s="365"/>
      <c r="E11" s="365"/>
      <c r="F11" s="364"/>
      <c r="G11" s="11"/>
      <c r="I11" s="11"/>
      <c r="J11" s="11"/>
      <c r="K11" s="11"/>
      <c r="L11" s="11"/>
      <c r="M11" s="11"/>
      <c r="N11" s="11"/>
      <c r="O11" s="367"/>
    </row>
    <row r="12" spans="1:15" x14ac:dyDescent="0.2">
      <c r="B12" s="364"/>
      <c r="E12" s="365"/>
      <c r="F12" s="364"/>
      <c r="G12" s="11"/>
      <c r="I12" s="11"/>
      <c r="J12" s="11"/>
      <c r="K12" s="11"/>
      <c r="L12" s="11"/>
      <c r="M12" s="11"/>
      <c r="N12" s="11"/>
    </row>
    <row r="13" spans="1:15" ht="357" customHeight="1" x14ac:dyDescent="0.2">
      <c r="B13" s="391"/>
      <c r="E13" s="365"/>
      <c r="F13" s="364"/>
      <c r="G13" s="11"/>
      <c r="I13" s="11"/>
      <c r="J13" s="11"/>
      <c r="K13" s="11"/>
      <c r="L13" s="11"/>
      <c r="M13" s="11"/>
      <c r="N13" s="11"/>
      <c r="O13" s="367"/>
    </row>
    <row r="14" spans="1:15" x14ac:dyDescent="0.2">
      <c r="B14" s="364"/>
      <c r="E14" s="365"/>
      <c r="F14" s="364"/>
      <c r="G14" s="11"/>
      <c r="I14" s="11"/>
      <c r="J14" s="11"/>
      <c r="K14" s="11"/>
      <c r="L14" s="11"/>
      <c r="M14" s="11"/>
      <c r="N14" s="11"/>
    </row>
    <row r="15" spans="1:15" ht="357" customHeight="1" x14ac:dyDescent="0.2">
      <c r="E15" s="365"/>
      <c r="F15" s="364"/>
      <c r="G15" s="11"/>
      <c r="I15" s="11"/>
      <c r="J15" s="11"/>
      <c r="K15" s="11"/>
      <c r="L15" s="11"/>
      <c r="M15" s="11"/>
      <c r="N15" s="11"/>
      <c r="O15" s="367"/>
    </row>
    <row r="16" spans="1:15" x14ac:dyDescent="0.2">
      <c r="B16" s="364"/>
      <c r="E16" s="365"/>
      <c r="F16" s="11"/>
      <c r="G16" s="11"/>
      <c r="I16" s="11"/>
      <c r="J16" s="11"/>
      <c r="K16" s="11"/>
      <c r="L16" s="11"/>
      <c r="M16" s="11"/>
      <c r="N16" s="11"/>
    </row>
    <row r="17" spans="2:15" ht="357" customHeight="1" x14ac:dyDescent="0.2">
      <c r="B17" s="391"/>
      <c r="E17" s="365"/>
      <c r="F17" s="364"/>
      <c r="G17" s="11"/>
      <c r="I17" s="11"/>
      <c r="J17" s="11"/>
      <c r="K17" s="11"/>
      <c r="L17" s="11"/>
      <c r="M17" s="11"/>
      <c r="N17" s="11"/>
      <c r="O17" s="367"/>
    </row>
    <row r="18" spans="2:15" ht="12" customHeight="1" x14ac:dyDescent="0.2">
      <c r="B18" s="364"/>
      <c r="E18" s="365"/>
      <c r="F18" s="11"/>
      <c r="G18" s="11"/>
      <c r="I18" s="11"/>
      <c r="J18" s="11"/>
      <c r="K18" s="11"/>
      <c r="L18" s="11"/>
      <c r="M18" s="11"/>
      <c r="N18" s="11"/>
    </row>
    <row r="19" spans="2:15" ht="357" customHeight="1" x14ac:dyDescent="0.2">
      <c r="B19" s="364"/>
      <c r="E19" s="365"/>
      <c r="F19" s="11"/>
      <c r="G19" s="11"/>
      <c r="I19" s="11"/>
      <c r="J19" s="11"/>
      <c r="K19" s="11"/>
      <c r="L19" s="11"/>
      <c r="M19" s="11"/>
      <c r="N19" s="11"/>
    </row>
    <row r="20" spans="2:15" ht="13.5" customHeight="1" x14ac:dyDescent="0.2">
      <c r="B20" s="364"/>
      <c r="E20" s="365"/>
      <c r="F20" s="11"/>
      <c r="G20" s="11"/>
      <c r="I20" s="11"/>
      <c r="J20" s="11"/>
      <c r="K20" s="11"/>
      <c r="L20" s="11"/>
      <c r="M20" s="11"/>
      <c r="N20" s="11"/>
    </row>
    <row r="21" spans="2:15" ht="357" customHeight="1" x14ac:dyDescent="0.2">
      <c r="B21" s="364"/>
      <c r="E21" s="365"/>
      <c r="F21" s="11"/>
      <c r="G21" s="11"/>
      <c r="I21" s="11"/>
      <c r="J21" s="11"/>
      <c r="K21" s="11"/>
      <c r="L21" s="11"/>
      <c r="M21" s="11"/>
      <c r="N21" s="11"/>
    </row>
    <row r="22" spans="2:15" x14ac:dyDescent="0.2">
      <c r="B22" s="364"/>
      <c r="E22" s="365"/>
      <c r="F22" s="11"/>
      <c r="G22" s="11"/>
      <c r="I22" s="11"/>
      <c r="J22" s="11"/>
      <c r="K22" s="11"/>
      <c r="L22" s="11"/>
      <c r="M22" s="11"/>
      <c r="N22" s="11"/>
    </row>
    <row r="23" spans="2:15" ht="357" customHeight="1" x14ac:dyDescent="0.2">
      <c r="B23" s="364"/>
      <c r="E23" s="365"/>
      <c r="F23" s="11"/>
      <c r="G23" s="11"/>
      <c r="I23" s="11"/>
      <c r="J23" s="11"/>
      <c r="K23" s="11"/>
      <c r="L23" s="11"/>
      <c r="M23" s="11"/>
      <c r="N23" s="11"/>
    </row>
    <row r="24" spans="2:15" x14ac:dyDescent="0.2">
      <c r="B24" s="364"/>
      <c r="E24" s="365"/>
      <c r="F24" s="11"/>
      <c r="G24" s="11"/>
      <c r="I24" s="11"/>
      <c r="J24" s="11"/>
      <c r="K24" s="11"/>
      <c r="L24" s="11"/>
      <c r="M24" s="11"/>
      <c r="N24" s="11"/>
    </row>
    <row r="25" spans="2:15" ht="327.75" customHeight="1" x14ac:dyDescent="0.2">
      <c r="B25" s="364"/>
      <c r="E25" s="365"/>
      <c r="F25" s="11"/>
      <c r="G25" s="11"/>
      <c r="I25" s="11"/>
      <c r="J25" s="11"/>
      <c r="K25" s="11"/>
      <c r="L25" s="11"/>
      <c r="M25" s="11"/>
      <c r="N25" s="11"/>
    </row>
    <row r="26" spans="2:15" x14ac:dyDescent="0.2">
      <c r="E26" s="365"/>
      <c r="F26" s="11"/>
      <c r="G26" s="11"/>
      <c r="I26" s="11"/>
      <c r="J26" s="11"/>
      <c r="K26" s="11"/>
      <c r="L26" s="11"/>
      <c r="M26" s="11"/>
      <c r="N26" s="11"/>
    </row>
    <row r="27" spans="2:15" ht="327.60000000000002" customHeight="1" x14ac:dyDescent="0.2">
      <c r="B27" s="364"/>
      <c r="E27" s="365"/>
      <c r="F27" s="11"/>
      <c r="G27" s="11"/>
      <c r="I27" s="11"/>
      <c r="J27" s="11"/>
      <c r="K27" s="11"/>
      <c r="L27" s="11"/>
      <c r="M27" s="11"/>
      <c r="N27" s="11"/>
    </row>
    <row r="28" spans="2:15" x14ac:dyDescent="0.2">
      <c r="B28" s="364"/>
      <c r="E28" s="365"/>
      <c r="F28" s="11"/>
      <c r="G28" s="11"/>
      <c r="I28" s="11"/>
      <c r="J28" s="11"/>
      <c r="K28" s="11"/>
      <c r="L28" s="11"/>
      <c r="M28" s="11"/>
      <c r="N28" s="11"/>
    </row>
    <row r="29" spans="2:15" ht="327.75" customHeight="1" x14ac:dyDescent="0.2">
      <c r="B29" s="364"/>
      <c r="E29" s="365"/>
      <c r="F29" s="11"/>
      <c r="G29" s="11"/>
      <c r="I29" s="11"/>
      <c r="J29" s="11"/>
      <c r="K29" s="11"/>
      <c r="L29" s="11"/>
      <c r="M29" s="11"/>
      <c r="N29" s="11"/>
    </row>
    <row r="30" spans="2:15" ht="13.5" customHeight="1" x14ac:dyDescent="0.2">
      <c r="B30" s="364"/>
      <c r="E30" s="365"/>
      <c r="F30" s="11"/>
      <c r="G30" s="11"/>
      <c r="I30" s="11"/>
      <c r="J30" s="11"/>
      <c r="K30" s="11"/>
      <c r="L30" s="11"/>
      <c r="M30" s="11"/>
      <c r="N30" s="11"/>
    </row>
    <row r="31" spans="2:15" ht="327.75" customHeight="1" x14ac:dyDescent="0.2">
      <c r="B31" s="364"/>
      <c r="E31" s="365"/>
      <c r="F31" s="11"/>
      <c r="G31" s="11"/>
      <c r="I31" s="11"/>
      <c r="J31" s="11"/>
      <c r="K31" s="11"/>
      <c r="L31" s="11"/>
      <c r="M31" s="11"/>
      <c r="N31" s="11"/>
    </row>
    <row r="32" spans="2:15" ht="13.5" customHeight="1" x14ac:dyDescent="0.2">
      <c r="B32" s="364"/>
      <c r="E32" s="365"/>
      <c r="F32" s="11"/>
      <c r="G32" s="11"/>
      <c r="I32" s="11"/>
      <c r="J32" s="11"/>
      <c r="K32" s="11"/>
      <c r="L32" s="11"/>
      <c r="M32" s="11"/>
      <c r="N32" s="11"/>
    </row>
    <row r="33" spans="2:20" ht="327.75" customHeight="1" x14ac:dyDescent="0.2">
      <c r="B33" s="364"/>
      <c r="E33" s="365"/>
      <c r="F33" s="11"/>
      <c r="G33" s="11"/>
      <c r="I33" s="11"/>
      <c r="J33" s="11"/>
      <c r="K33" s="11"/>
      <c r="L33" s="11"/>
      <c r="M33" s="11"/>
      <c r="N33" s="11"/>
    </row>
    <row r="34" spans="2:20" ht="13.5" customHeight="1" x14ac:dyDescent="0.2">
      <c r="B34" s="364"/>
      <c r="E34" s="365"/>
      <c r="F34" s="11"/>
      <c r="G34" s="11"/>
      <c r="I34" s="11"/>
      <c r="J34" s="11"/>
      <c r="K34" s="11"/>
      <c r="L34" s="11"/>
      <c r="M34" s="11"/>
      <c r="N34" s="11"/>
    </row>
    <row r="35" spans="2:20" ht="327.60000000000002" customHeight="1" x14ac:dyDescent="0.2">
      <c r="B35" s="364"/>
      <c r="E35" s="365"/>
      <c r="F35" s="11"/>
      <c r="G35" s="11"/>
      <c r="I35" s="11"/>
      <c r="J35" s="11"/>
      <c r="K35" s="11"/>
      <c r="L35" s="11"/>
      <c r="M35" s="11"/>
      <c r="N35" s="11"/>
    </row>
    <row r="36" spans="2:20" ht="13.5" customHeight="1" x14ac:dyDescent="0.2">
      <c r="B36" s="364"/>
      <c r="E36" s="365"/>
      <c r="F36" s="11"/>
      <c r="G36" s="11"/>
      <c r="I36" s="11"/>
      <c r="J36" s="11"/>
      <c r="K36" s="11"/>
      <c r="L36" s="11"/>
      <c r="M36" s="11"/>
      <c r="N36" s="11"/>
    </row>
    <row r="37" spans="2:20" ht="327.75" customHeight="1" x14ac:dyDescent="0.2">
      <c r="B37" s="364"/>
      <c r="E37" s="365"/>
      <c r="F37" s="11"/>
      <c r="G37" s="11"/>
      <c r="I37" s="11"/>
      <c r="J37" s="11"/>
      <c r="K37" s="11"/>
      <c r="L37" s="11"/>
      <c r="M37" s="11"/>
      <c r="N37" s="11"/>
    </row>
    <row r="38" spans="2:20" ht="13.5" customHeight="1" x14ac:dyDescent="0.35">
      <c r="B38" s="364"/>
      <c r="E38" s="365"/>
      <c r="F38" s="11"/>
      <c r="G38" s="368"/>
      <c r="I38" s="369"/>
      <c r="J38" s="11"/>
      <c r="K38" s="11"/>
      <c r="L38" s="11"/>
      <c r="M38" s="11"/>
      <c r="N38" s="11"/>
    </row>
    <row r="39" spans="2:20" ht="327.75" customHeight="1" x14ac:dyDescent="0.2">
      <c r="B39" s="364"/>
      <c r="E39" s="365"/>
      <c r="F39" s="11"/>
      <c r="G39" s="11"/>
      <c r="I39" s="369"/>
      <c r="J39" s="11"/>
      <c r="K39" s="11"/>
      <c r="L39" s="11"/>
      <c r="M39" s="11"/>
      <c r="N39" s="11"/>
    </row>
    <row r="40" spans="2:20" x14ac:dyDescent="0.2">
      <c r="B40" s="364"/>
      <c r="E40" s="365"/>
      <c r="F40" s="11"/>
      <c r="G40" s="11"/>
      <c r="I40" s="11"/>
      <c r="J40" s="11"/>
      <c r="K40" s="11"/>
      <c r="L40" s="11"/>
      <c r="M40" s="11"/>
      <c r="N40" s="11"/>
      <c r="O40" s="11"/>
      <c r="P40" s="11"/>
      <c r="Q40" s="13"/>
      <c r="S40" s="370"/>
      <c r="T40" s="370"/>
    </row>
    <row r="41" spans="2:20" ht="327.75" customHeight="1" x14ac:dyDescent="0.2">
      <c r="B41" s="364"/>
      <c r="E41" s="365"/>
      <c r="F41" s="11"/>
      <c r="G41" s="11"/>
      <c r="I41" s="11"/>
      <c r="J41" s="11"/>
      <c r="K41" s="11"/>
      <c r="L41" s="11"/>
      <c r="M41" s="11"/>
      <c r="N41" s="11"/>
      <c r="O41" s="11"/>
      <c r="P41" s="11"/>
      <c r="Q41" s="13"/>
      <c r="S41" s="370"/>
    </row>
    <row r="42" spans="2:20" x14ac:dyDescent="0.2">
      <c r="B42" s="364"/>
      <c r="E42" s="365"/>
      <c r="F42" s="11"/>
      <c r="G42" s="11"/>
      <c r="I42" s="11"/>
      <c r="J42" s="11"/>
      <c r="K42" s="11"/>
      <c r="L42" s="11"/>
      <c r="M42" s="11"/>
      <c r="N42" s="11"/>
      <c r="O42" s="11"/>
      <c r="P42" s="11"/>
      <c r="Q42" s="13"/>
      <c r="S42" s="370"/>
    </row>
    <row r="43" spans="2:20" ht="327.75" customHeight="1" x14ac:dyDescent="0.2">
      <c r="B43" s="364"/>
      <c r="E43" s="365"/>
      <c r="F43" s="11"/>
      <c r="G43" s="11"/>
      <c r="I43" s="11"/>
      <c r="J43" s="11"/>
      <c r="K43" s="11"/>
      <c r="L43" s="11"/>
      <c r="M43" s="11"/>
      <c r="N43" s="11"/>
      <c r="O43" s="11"/>
      <c r="P43" s="11"/>
      <c r="Q43" s="13"/>
      <c r="S43" s="370"/>
    </row>
    <row r="44" spans="2:20" x14ac:dyDescent="0.2">
      <c r="B44" s="364"/>
      <c r="E44" s="365"/>
      <c r="F44" s="11"/>
      <c r="G44" s="11"/>
      <c r="I44" s="11"/>
      <c r="J44" s="11"/>
      <c r="K44" s="11"/>
      <c r="L44" s="11"/>
      <c r="M44" s="11"/>
      <c r="N44" s="11"/>
      <c r="O44" s="11"/>
      <c r="P44" s="11"/>
      <c r="Q44" s="13"/>
      <c r="S44" s="370"/>
    </row>
    <row r="45" spans="2:20" ht="327.75" customHeight="1" x14ac:dyDescent="0.2">
      <c r="B45" s="364"/>
      <c r="E45" s="365"/>
      <c r="F45" s="11"/>
      <c r="G45" s="11"/>
      <c r="I45" s="11"/>
      <c r="J45" s="11"/>
      <c r="K45" s="11"/>
      <c r="L45" s="11"/>
      <c r="M45" s="11"/>
      <c r="N45" s="11"/>
      <c r="O45" s="11"/>
      <c r="P45" s="11"/>
      <c r="Q45" s="13"/>
      <c r="S45" s="370"/>
    </row>
    <row r="46" spans="2:20" x14ac:dyDescent="0.2">
      <c r="B46" s="364"/>
      <c r="E46" s="365"/>
      <c r="F46" s="11"/>
      <c r="G46" s="11"/>
      <c r="I46" s="11"/>
      <c r="J46" s="11"/>
      <c r="K46" s="11"/>
      <c r="L46" s="11"/>
      <c r="M46" s="11"/>
      <c r="N46" s="11"/>
      <c r="O46" s="11"/>
      <c r="P46" s="11"/>
      <c r="Q46" s="13"/>
      <c r="S46" s="370"/>
    </row>
    <row r="47" spans="2:20" ht="327.75" customHeight="1" x14ac:dyDescent="0.2">
      <c r="B47" s="364"/>
      <c r="E47" s="365"/>
      <c r="F47" s="11"/>
      <c r="G47" s="11"/>
      <c r="I47" s="11"/>
      <c r="J47" s="11"/>
      <c r="K47" s="11"/>
      <c r="L47" s="11"/>
      <c r="M47" s="11"/>
      <c r="N47" s="11"/>
      <c r="O47" s="11"/>
      <c r="P47" s="11"/>
      <c r="Q47" s="13"/>
      <c r="S47" s="371"/>
    </row>
    <row r="48" spans="2:20" x14ac:dyDescent="0.2">
      <c r="B48" s="364"/>
      <c r="E48" s="365"/>
      <c r="F48" s="11"/>
      <c r="G48" s="11"/>
      <c r="I48" s="11"/>
      <c r="J48" s="11"/>
      <c r="K48" s="11"/>
      <c r="L48" s="11"/>
      <c r="M48" s="11"/>
      <c r="N48" s="11"/>
      <c r="O48" s="11"/>
      <c r="P48" s="11"/>
      <c r="Q48" s="13"/>
      <c r="S48" s="370"/>
    </row>
    <row r="49" spans="2:19" ht="327.75" customHeight="1" x14ac:dyDescent="0.2">
      <c r="B49" s="364"/>
      <c r="E49" s="365"/>
      <c r="F49" s="11"/>
      <c r="G49" s="11"/>
      <c r="I49" s="11"/>
      <c r="J49" s="11"/>
      <c r="K49" s="11"/>
      <c r="L49" s="11"/>
      <c r="M49" s="11"/>
      <c r="N49" s="11"/>
      <c r="O49" s="11"/>
      <c r="P49" s="11"/>
      <c r="Q49" s="13"/>
      <c r="S49" s="370"/>
    </row>
    <row r="50" spans="2:19" x14ac:dyDescent="0.2">
      <c r="B50" s="364"/>
      <c r="E50" s="365"/>
      <c r="F50" s="11"/>
      <c r="G50" s="11"/>
      <c r="I50" s="11"/>
      <c r="J50" s="11"/>
      <c r="K50" s="11"/>
      <c r="L50" s="11"/>
      <c r="M50" s="11"/>
      <c r="N50" s="11"/>
      <c r="O50" s="11"/>
      <c r="P50" s="11"/>
      <c r="Q50" s="13"/>
      <c r="S50" s="370"/>
    </row>
    <row r="51" spans="2:19" x14ac:dyDescent="0.2">
      <c r="B51" s="364"/>
      <c r="E51" s="365"/>
      <c r="F51" s="11"/>
      <c r="G51" s="11"/>
      <c r="I51" s="11"/>
      <c r="J51" s="11"/>
      <c r="K51" s="11"/>
      <c r="L51" s="11"/>
      <c r="M51" s="11"/>
      <c r="N51" s="11"/>
      <c r="O51" s="11"/>
      <c r="P51" s="11"/>
      <c r="Q51" s="13"/>
      <c r="S51" s="370"/>
    </row>
    <row r="52" spans="2:19" x14ac:dyDescent="0.2">
      <c r="B52" s="364"/>
      <c r="E52" s="365"/>
      <c r="F52" s="11"/>
      <c r="G52" s="11"/>
      <c r="I52" s="11"/>
      <c r="J52" s="11"/>
      <c r="K52" s="11"/>
      <c r="L52" s="11"/>
      <c r="M52" s="11"/>
      <c r="N52" s="11"/>
      <c r="O52" s="11"/>
      <c r="P52" s="11"/>
      <c r="Q52" s="13"/>
      <c r="S52" s="370"/>
    </row>
    <row r="53" spans="2:19" x14ac:dyDescent="0.2">
      <c r="B53" s="364"/>
      <c r="E53" s="365"/>
      <c r="F53" s="11"/>
      <c r="G53" s="11"/>
      <c r="I53" s="11"/>
      <c r="J53" s="11"/>
      <c r="K53" s="11"/>
      <c r="L53" s="11"/>
      <c r="M53" s="11"/>
      <c r="N53" s="11"/>
    </row>
    <row r="54" spans="2:19" x14ac:dyDescent="0.2">
      <c r="B54" s="364"/>
      <c r="E54" s="365"/>
      <c r="F54" s="11"/>
      <c r="G54" s="11"/>
      <c r="I54" s="11"/>
      <c r="J54" s="11"/>
      <c r="K54" s="11"/>
      <c r="L54" s="11"/>
      <c r="M54" s="11"/>
      <c r="N54" s="11"/>
    </row>
    <row r="55" spans="2:19" x14ac:dyDescent="0.2">
      <c r="B55" s="364"/>
      <c r="E55" s="365"/>
      <c r="F55" s="11"/>
      <c r="G55" s="11"/>
      <c r="I55" s="11"/>
      <c r="J55" s="11"/>
      <c r="K55" s="11"/>
      <c r="L55" s="11"/>
      <c r="M55" s="11"/>
      <c r="N55" s="11"/>
      <c r="R55" s="14"/>
    </row>
    <row r="56" spans="2:19" x14ac:dyDescent="0.2">
      <c r="B56" s="364"/>
      <c r="E56" s="365"/>
      <c r="F56" s="11"/>
      <c r="G56" s="11"/>
      <c r="I56" s="11"/>
      <c r="J56" s="11"/>
      <c r="K56" s="11"/>
      <c r="L56" s="11"/>
      <c r="M56" s="11"/>
      <c r="N56" s="11"/>
    </row>
    <row r="57" spans="2:19" x14ac:dyDescent="0.2">
      <c r="B57" s="364"/>
      <c r="E57" s="365"/>
      <c r="F57" s="11"/>
      <c r="G57" s="11"/>
      <c r="I57" s="11"/>
      <c r="J57" s="11"/>
      <c r="K57" s="11"/>
      <c r="L57" s="11"/>
      <c r="M57" s="11"/>
      <c r="N57" s="11"/>
    </row>
    <row r="58" spans="2:19" x14ac:dyDescent="0.2">
      <c r="E58" s="12"/>
      <c r="F58" s="11"/>
      <c r="G58" s="11"/>
      <c r="I58" s="11"/>
      <c r="J58" s="11"/>
      <c r="K58" s="11"/>
      <c r="L58" s="11"/>
      <c r="M58" s="11"/>
      <c r="N58" s="11"/>
    </row>
    <row r="59" spans="2:19" x14ac:dyDescent="0.2">
      <c r="E59" s="12"/>
      <c r="F59" s="11"/>
      <c r="G59" s="11"/>
      <c r="I59" s="11"/>
      <c r="J59" s="11"/>
      <c r="K59" s="11"/>
      <c r="L59" s="11"/>
      <c r="M59" s="11"/>
      <c r="N59" s="11"/>
    </row>
    <row r="60" spans="2:19" x14ac:dyDescent="0.2">
      <c r="E60" s="12"/>
      <c r="F60" s="11"/>
      <c r="G60" s="11"/>
      <c r="I60" s="11"/>
      <c r="J60" s="11"/>
      <c r="K60" s="11"/>
      <c r="L60" s="11"/>
      <c r="M60" s="11"/>
      <c r="N60" s="11"/>
    </row>
    <row r="61" spans="2:19" x14ac:dyDescent="0.2">
      <c r="E61" s="12"/>
      <c r="F61" s="11"/>
      <c r="G61" s="11"/>
      <c r="I61" s="11"/>
      <c r="J61" s="11"/>
      <c r="K61" s="11"/>
      <c r="L61" s="11"/>
      <c r="M61" s="11"/>
      <c r="N61" s="11"/>
    </row>
    <row r="62" spans="2:19" x14ac:dyDescent="0.2">
      <c r="E62" s="12"/>
      <c r="F62" s="11"/>
      <c r="G62" s="11"/>
      <c r="I62" s="11"/>
      <c r="J62" s="11"/>
      <c r="K62" s="11"/>
      <c r="L62" s="11"/>
      <c r="M62" s="11"/>
      <c r="N62" s="11"/>
    </row>
    <row r="63" spans="2:19" x14ac:dyDescent="0.2">
      <c r="E63" s="12"/>
      <c r="F63" s="11"/>
      <c r="G63" s="11"/>
      <c r="I63" s="11"/>
      <c r="J63" s="11"/>
      <c r="K63" s="11"/>
      <c r="L63" s="11"/>
      <c r="M63" s="11"/>
      <c r="N63" s="11"/>
    </row>
    <row r="64" spans="2:19" x14ac:dyDescent="0.2">
      <c r="E64" s="12"/>
      <c r="F64" s="11"/>
      <c r="G64" s="11"/>
      <c r="I64" s="11"/>
      <c r="J64" s="11"/>
      <c r="K64" s="11"/>
      <c r="L64" s="11"/>
      <c r="M64" s="11"/>
      <c r="N64" s="11"/>
    </row>
    <row r="65" spans="5:18" x14ac:dyDescent="0.2">
      <c r="E65" s="12"/>
      <c r="F65" s="11"/>
      <c r="G65" s="11"/>
      <c r="I65" s="11"/>
      <c r="J65" s="11"/>
      <c r="K65" s="11"/>
      <c r="L65" s="11"/>
      <c r="M65" s="11"/>
      <c r="N65" s="11"/>
    </row>
    <row r="66" spans="5:18" x14ac:dyDescent="0.2">
      <c r="E66" s="12"/>
      <c r="F66" s="11"/>
      <c r="G66" s="11"/>
      <c r="I66" s="11"/>
      <c r="J66" s="11"/>
      <c r="K66" s="11"/>
      <c r="L66" s="11"/>
      <c r="M66" s="11"/>
      <c r="N66" s="11"/>
      <c r="R66" s="14"/>
    </row>
    <row r="67" spans="5:18" x14ac:dyDescent="0.2">
      <c r="E67" s="12"/>
      <c r="F67" s="11"/>
      <c r="G67" s="11"/>
      <c r="I67" s="11"/>
      <c r="J67" s="11"/>
      <c r="K67" s="11"/>
      <c r="L67" s="11"/>
      <c r="M67" s="11"/>
      <c r="N67" s="11"/>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I40" sqref="I40"/>
    </sheetView>
  </sheetViews>
  <sheetFormatPr defaultRowHeight="12.75" x14ac:dyDescent="0.2"/>
  <cols>
    <col min="1" max="1" width="17.28515625" customWidth="1"/>
    <col min="2" max="2" width="12" bestFit="1" customWidth="1"/>
    <col min="8" max="8" width="12.28515625" customWidth="1"/>
    <col min="9" max="9" width="12.42578125" bestFit="1" customWidth="1"/>
    <col min="10" max="10" width="15.42578125" customWidth="1"/>
  </cols>
  <sheetData>
    <row r="2" spans="1:11" x14ac:dyDescent="0.2">
      <c r="A2" t="s">
        <v>68</v>
      </c>
      <c r="B2" t="s">
        <v>66</v>
      </c>
      <c r="C2" t="s">
        <v>14</v>
      </c>
      <c r="D2" t="s">
        <v>28</v>
      </c>
      <c r="E2" t="s">
        <v>75</v>
      </c>
    </row>
    <row r="3" spans="1:11" x14ac:dyDescent="0.2">
      <c r="A3" t="s">
        <v>71</v>
      </c>
      <c r="B3">
        <f>Css</f>
        <v>3.0000000000000004E-8</v>
      </c>
      <c r="C3">
        <f>Cout</f>
        <v>22</v>
      </c>
      <c r="D3">
        <f>Cin</f>
        <v>10</v>
      </c>
      <c r="E3">
        <f>Cb</f>
        <v>0</v>
      </c>
      <c r="H3" t="s">
        <v>73</v>
      </c>
      <c r="I3" t="s">
        <v>74</v>
      </c>
      <c r="J3" s="3" t="s">
        <v>70</v>
      </c>
    </row>
    <row r="4" spans="1:11" x14ac:dyDescent="0.2">
      <c r="A4" s="6" t="s">
        <v>70</v>
      </c>
      <c r="B4" s="6">
        <f>SUM(B6:B158)/1000000000000</f>
        <v>3.2999999999999998E-8</v>
      </c>
      <c r="C4" s="6">
        <f>SUM(C6:C158)/1000000000000</f>
        <v>0</v>
      </c>
      <c r="D4" s="6">
        <f>SUM(D6:D158)/1000000000000</f>
        <v>0</v>
      </c>
      <c r="E4" s="6">
        <f t="shared" ref="E4" si="0">IF(E3="OPEN","OPEN",SUM(E6:E158)/1000000000000)</f>
        <v>0</v>
      </c>
      <c r="H4" s="77"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x14ac:dyDescent="0.2">
      <c r="A5" t="s">
        <v>69</v>
      </c>
      <c r="J5" s="3"/>
      <c r="K5" s="17"/>
    </row>
    <row r="6" spans="1:11" x14ac:dyDescent="0.2">
      <c r="A6">
        <v>0.47</v>
      </c>
      <c r="B6">
        <f t="shared" ref="B6:E6" si="2">IF(IF((B$3*10^12-$A7)*(B$3*10^12-$A6)*-1&lt;0,0,1)*IF(ABS(B$3*10^12-$A7)&gt;(B$3*10^12-$A6),$A6,$A7)=B7,0,IF((B$3*10^12-$A7)*(B$3*10^12-$A6)*-1&lt;0,0,1)*IF(ABS(B$3*10^12-$A7)&gt;(B$3*10^12-$A6),$A6,$A7))</f>
        <v>0</v>
      </c>
      <c r="C6">
        <f t="shared" si="2"/>
        <v>0</v>
      </c>
      <c r="D6">
        <f t="shared" si="2"/>
        <v>0</v>
      </c>
      <c r="E6">
        <f t="shared" si="2"/>
        <v>0</v>
      </c>
      <c r="H6" s="77" t="s">
        <v>162</v>
      </c>
      <c r="I6" t="e">
        <f>Rshunt</f>
        <v>#NAME?</v>
      </c>
      <c r="J6" s="3" t="e">
        <f t="shared" si="1"/>
        <v>#NAME?</v>
      </c>
      <c r="K6" s="17" t="s">
        <v>136</v>
      </c>
    </row>
    <row r="7" spans="1:11" x14ac:dyDescent="0.2">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7" t="s">
        <v>136</v>
      </c>
    </row>
    <row r="8" spans="1:11" x14ac:dyDescent="0.2">
      <c r="A8">
        <v>0.68</v>
      </c>
      <c r="B8">
        <f t="shared" si="3"/>
        <v>0</v>
      </c>
      <c r="C8">
        <f t="shared" si="4"/>
        <v>0</v>
      </c>
      <c r="D8">
        <f t="shared" si="5"/>
        <v>0</v>
      </c>
      <c r="E8">
        <f t="shared" si="6"/>
        <v>0</v>
      </c>
      <c r="J8" s="3"/>
      <c r="K8" s="17"/>
    </row>
    <row r="9" spans="1:11" x14ac:dyDescent="0.2">
      <c r="A9">
        <v>0.82</v>
      </c>
      <c r="B9">
        <f t="shared" si="3"/>
        <v>0</v>
      </c>
      <c r="C9">
        <f t="shared" si="4"/>
        <v>0</v>
      </c>
      <c r="D9">
        <f t="shared" si="5"/>
        <v>0</v>
      </c>
      <c r="E9">
        <f t="shared" si="6"/>
        <v>0</v>
      </c>
      <c r="H9" t="s">
        <v>383</v>
      </c>
      <c r="I9">
        <f>RTC_1</f>
        <v>328000</v>
      </c>
      <c r="J9" s="3">
        <f t="shared" si="1"/>
        <v>324000</v>
      </c>
      <c r="K9" s="17" t="s">
        <v>136</v>
      </c>
    </row>
    <row r="10" spans="1:11" x14ac:dyDescent="0.2">
      <c r="A10">
        <v>1</v>
      </c>
      <c r="B10">
        <f t="shared" si="3"/>
        <v>0</v>
      </c>
      <c r="C10">
        <f t="shared" si="4"/>
        <v>0</v>
      </c>
      <c r="D10">
        <f t="shared" si="5"/>
        <v>0</v>
      </c>
      <c r="E10">
        <f t="shared" si="6"/>
        <v>0</v>
      </c>
      <c r="H10" t="s">
        <v>17</v>
      </c>
      <c r="I10">
        <f>Rfb</f>
        <v>164000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165000</v>
      </c>
      <c r="K10" s="17" t="s">
        <v>136</v>
      </c>
    </row>
    <row r="11" spans="1:11" x14ac:dyDescent="0.2">
      <c r="A11">
        <v>1.2</v>
      </c>
      <c r="B11">
        <f t="shared" si="3"/>
        <v>0</v>
      </c>
      <c r="C11">
        <f t="shared" si="4"/>
        <v>0</v>
      </c>
      <c r="D11">
        <f t="shared" si="5"/>
        <v>0</v>
      </c>
      <c r="E11">
        <f t="shared" si="6"/>
        <v>0</v>
      </c>
      <c r="J11" s="3"/>
    </row>
    <row r="12" spans="1:11" x14ac:dyDescent="0.2">
      <c r="A12">
        <v>1.5</v>
      </c>
      <c r="B12">
        <f t="shared" si="3"/>
        <v>0</v>
      </c>
      <c r="C12">
        <f t="shared" si="4"/>
        <v>0</v>
      </c>
      <c r="D12">
        <f t="shared" si="5"/>
        <v>0</v>
      </c>
      <c r="E12">
        <f t="shared" si="6"/>
        <v>0</v>
      </c>
      <c r="J12" s="3"/>
    </row>
    <row r="13" spans="1:11" x14ac:dyDescent="0.2">
      <c r="A13">
        <v>1.8</v>
      </c>
      <c r="B13">
        <f t="shared" si="3"/>
        <v>0</v>
      </c>
      <c r="C13">
        <f t="shared" si="4"/>
        <v>0</v>
      </c>
      <c r="D13">
        <f t="shared" si="5"/>
        <v>0</v>
      </c>
      <c r="E13">
        <f t="shared" si="6"/>
        <v>0</v>
      </c>
      <c r="H13" s="77"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x14ac:dyDescent="0.2">
      <c r="A14">
        <v>2.2000000000000002</v>
      </c>
      <c r="B14">
        <f t="shared" ref="B14:E14" si="7">IF(IF((B$3*10^12-$A15)*(B$3*10^12-$A14)*-1&lt;0,0,1)*IF(ABS(B$3*10^12-$A15)&gt;(B$3*10^12-$A14),$A14,$A15)=B15,0,IF((B$3*10^12-$A15)*(B$3*10^12-$A14)*-1&lt;0,0,1)*IF(ABS(B$3*10^12-$A15)&gt;(B$3*10^12-$A14),$A14,$A15))</f>
        <v>0</v>
      </c>
      <c r="C14">
        <f t="shared" si="7"/>
        <v>0</v>
      </c>
      <c r="D14">
        <f t="shared" si="7"/>
        <v>0</v>
      </c>
      <c r="E14">
        <f t="shared" si="7"/>
        <v>0</v>
      </c>
      <c r="H14" s="77" t="s">
        <v>160</v>
      </c>
      <c r="I14" t="e">
        <f>Cslope_ideal</f>
        <v>#NAME?</v>
      </c>
      <c r="J14" t="e">
        <f>#REF!*1000000000000</f>
        <v>#REF!</v>
      </c>
      <c r="K14" s="77" t="s">
        <v>15</v>
      </c>
    </row>
    <row r="15" spans="1:11" x14ac:dyDescent="0.2">
      <c r="A15">
        <v>2.7</v>
      </c>
      <c r="B15">
        <f t="shared" si="3"/>
        <v>0</v>
      </c>
      <c r="C15">
        <f t="shared" si="4"/>
        <v>0</v>
      </c>
      <c r="D15">
        <f t="shared" si="5"/>
        <v>0</v>
      </c>
      <c r="E15">
        <f t="shared" si="6"/>
        <v>0</v>
      </c>
    </row>
    <row r="16" spans="1:11" x14ac:dyDescent="0.2">
      <c r="A16">
        <v>3.3</v>
      </c>
      <c r="B16">
        <f t="shared" si="3"/>
        <v>0</v>
      </c>
      <c r="C16">
        <f t="shared" si="4"/>
        <v>0</v>
      </c>
      <c r="D16">
        <f t="shared" si="5"/>
        <v>0</v>
      </c>
      <c r="E16">
        <f t="shared" si="6"/>
        <v>0</v>
      </c>
      <c r="H16" s="77" t="s">
        <v>130</v>
      </c>
      <c r="I16">
        <f>Ruvlo1</f>
        <v>333.3333333333332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332</v>
      </c>
      <c r="K16" s="17" t="s">
        <v>113</v>
      </c>
    </row>
    <row r="17" spans="1:11" x14ac:dyDescent="0.2">
      <c r="A17">
        <v>3.9</v>
      </c>
      <c r="B17">
        <f t="shared" si="3"/>
        <v>0</v>
      </c>
      <c r="C17">
        <f t="shared" si="4"/>
        <v>0</v>
      </c>
      <c r="D17">
        <f t="shared" si="5"/>
        <v>0</v>
      </c>
      <c r="E17">
        <f t="shared" si="6"/>
        <v>0</v>
      </c>
      <c r="H17" s="77" t="s">
        <v>131</v>
      </c>
      <c r="I17" s="177">
        <f>Ruvlo2</f>
        <v>58.588235294117645</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59</v>
      </c>
      <c r="K17" s="17" t="s">
        <v>113</v>
      </c>
    </row>
    <row r="18" spans="1:11" x14ac:dyDescent="0.2">
      <c r="A18">
        <v>4.7</v>
      </c>
      <c r="B18">
        <f t="shared" si="3"/>
        <v>0</v>
      </c>
      <c r="C18">
        <f t="shared" si="4"/>
        <v>0</v>
      </c>
      <c r="D18">
        <f t="shared" si="5"/>
        <v>0</v>
      </c>
      <c r="E18">
        <f t="shared" si="6"/>
        <v>0</v>
      </c>
      <c r="H18" s="77" t="s">
        <v>295</v>
      </c>
      <c r="I18" s="177"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x14ac:dyDescent="0.2">
      <c r="A19">
        <v>5.6</v>
      </c>
      <c r="B19">
        <f t="shared" si="3"/>
        <v>0</v>
      </c>
      <c r="C19">
        <f t="shared" si="4"/>
        <v>0</v>
      </c>
      <c r="D19">
        <f t="shared" si="5"/>
        <v>0</v>
      </c>
      <c r="E19">
        <f t="shared" si="6"/>
        <v>0</v>
      </c>
    </row>
    <row r="20" spans="1:11" x14ac:dyDescent="0.2">
      <c r="A20">
        <v>6.8</v>
      </c>
      <c r="B20">
        <f t="shared" si="3"/>
        <v>0</v>
      </c>
      <c r="C20">
        <f t="shared" si="4"/>
        <v>0</v>
      </c>
      <c r="D20">
        <f t="shared" si="5"/>
        <v>0</v>
      </c>
      <c r="E20">
        <f t="shared" si="6"/>
        <v>0</v>
      </c>
      <c r="H20" s="77"/>
      <c r="J20" s="3"/>
    </row>
    <row r="21" spans="1:11" x14ac:dyDescent="0.2">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x14ac:dyDescent="0.2">
      <c r="A22">
        <v>10</v>
      </c>
      <c r="B22">
        <f t="shared" si="3"/>
        <v>0</v>
      </c>
      <c r="C22">
        <f t="shared" si="4"/>
        <v>0</v>
      </c>
      <c r="D22">
        <f t="shared" si="5"/>
        <v>0</v>
      </c>
      <c r="E22">
        <f t="shared" si="6"/>
        <v>0</v>
      </c>
      <c r="H22" s="77"/>
      <c r="J22" s="3"/>
      <c r="K22" s="17"/>
    </row>
    <row r="23" spans="1:11" x14ac:dyDescent="0.2">
      <c r="A23">
        <v>12</v>
      </c>
      <c r="B23">
        <f t="shared" si="3"/>
        <v>0</v>
      </c>
      <c r="C23">
        <f t="shared" si="4"/>
        <v>0</v>
      </c>
      <c r="D23">
        <f t="shared" si="5"/>
        <v>0</v>
      </c>
      <c r="E23">
        <f t="shared" si="6"/>
        <v>0</v>
      </c>
      <c r="H23" t="s">
        <v>838</v>
      </c>
      <c r="I23">
        <f>'Calculations - Single'!H329</f>
        <v>27936.101074218757</v>
      </c>
      <c r="J23" s="3">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28000</v>
      </c>
      <c r="K23" s="17" t="s">
        <v>136</v>
      </c>
    </row>
    <row r="24" spans="1:11" x14ac:dyDescent="0.2">
      <c r="A24">
        <v>15</v>
      </c>
      <c r="B24">
        <f t="shared" si="3"/>
        <v>0</v>
      </c>
      <c r="C24">
        <f t="shared" si="4"/>
        <v>0</v>
      </c>
      <c r="D24">
        <f t="shared" si="5"/>
        <v>0</v>
      </c>
      <c r="E24">
        <f t="shared" si="6"/>
        <v>0</v>
      </c>
      <c r="H24" t="s">
        <v>849</v>
      </c>
      <c r="I24">
        <f>'Calculations - Dual'!H329</f>
        <v>178791.04687500009</v>
      </c>
      <c r="J24" s="3">
        <f t="shared" si="8"/>
        <v>178000</v>
      </c>
    </row>
    <row r="25" spans="1:11" x14ac:dyDescent="0.2">
      <c r="A25">
        <v>18</v>
      </c>
      <c r="B25">
        <f t="shared" si="3"/>
        <v>0</v>
      </c>
      <c r="C25">
        <f t="shared" si="4"/>
        <v>0</v>
      </c>
      <c r="D25">
        <f t="shared" si="5"/>
        <v>0</v>
      </c>
      <c r="E25">
        <f t="shared" si="6"/>
        <v>0</v>
      </c>
      <c r="H25" s="77" t="s">
        <v>848</v>
      </c>
      <c r="I25">
        <f>'Calculations - Dual'!O329</f>
        <v>47628.000000000007</v>
      </c>
      <c r="J25" s="3">
        <f t="shared" si="8"/>
        <v>47500</v>
      </c>
      <c r="K25" s="17"/>
    </row>
    <row r="26" spans="1:11" x14ac:dyDescent="0.2">
      <c r="A26">
        <v>22</v>
      </c>
      <c r="B26">
        <f t="shared" si="3"/>
        <v>0</v>
      </c>
      <c r="C26">
        <f t="shared" si="4"/>
        <v>0</v>
      </c>
      <c r="D26">
        <f t="shared" si="5"/>
        <v>0</v>
      </c>
      <c r="E26">
        <f t="shared" si="6"/>
        <v>0</v>
      </c>
    </row>
    <row r="27" spans="1:11" x14ac:dyDescent="0.2">
      <c r="A27">
        <v>27</v>
      </c>
      <c r="B27">
        <f t="shared" si="3"/>
        <v>0</v>
      </c>
      <c r="C27">
        <f t="shared" si="4"/>
        <v>0</v>
      </c>
      <c r="D27">
        <f t="shared" si="5"/>
        <v>0</v>
      </c>
      <c r="E27">
        <f t="shared" si="6"/>
        <v>0</v>
      </c>
    </row>
    <row r="28" spans="1:11" x14ac:dyDescent="0.2">
      <c r="A28">
        <v>33</v>
      </c>
      <c r="B28">
        <f t="shared" si="3"/>
        <v>0</v>
      </c>
      <c r="C28">
        <f t="shared" si="4"/>
        <v>0</v>
      </c>
      <c r="D28">
        <f t="shared" si="5"/>
        <v>0</v>
      </c>
      <c r="E28">
        <f t="shared" si="6"/>
        <v>0</v>
      </c>
      <c r="H28" s="4"/>
      <c r="K28" s="17"/>
    </row>
    <row r="29" spans="1:11" x14ac:dyDescent="0.2">
      <c r="A29">
        <v>39</v>
      </c>
      <c r="B29">
        <f t="shared" si="3"/>
        <v>0</v>
      </c>
      <c r="C29">
        <f t="shared" si="4"/>
        <v>0</v>
      </c>
      <c r="D29">
        <f t="shared" si="5"/>
        <v>0</v>
      </c>
      <c r="E29">
        <f t="shared" si="6"/>
        <v>0</v>
      </c>
      <c r="H29" s="4"/>
      <c r="K29" s="77"/>
    </row>
    <row r="30" spans="1:11" x14ac:dyDescent="0.2">
      <c r="A30">
        <v>47</v>
      </c>
      <c r="B30">
        <f t="shared" si="3"/>
        <v>0</v>
      </c>
      <c r="C30">
        <f t="shared" si="4"/>
        <v>0</v>
      </c>
      <c r="D30">
        <f t="shared" si="5"/>
        <v>0</v>
      </c>
      <c r="E30">
        <f t="shared" si="6"/>
        <v>0</v>
      </c>
      <c r="H30" s="4"/>
      <c r="K30" s="77"/>
    </row>
    <row r="31" spans="1:11" x14ac:dyDescent="0.2">
      <c r="A31">
        <v>56</v>
      </c>
      <c r="B31">
        <f t="shared" si="3"/>
        <v>0</v>
      </c>
      <c r="C31">
        <f t="shared" si="4"/>
        <v>0</v>
      </c>
      <c r="D31">
        <f t="shared" si="5"/>
        <v>0</v>
      </c>
      <c r="E31">
        <f t="shared" si="6"/>
        <v>0</v>
      </c>
      <c r="H31" s="4"/>
      <c r="K31" s="17"/>
    </row>
    <row r="32" spans="1:11" x14ac:dyDescent="0.2">
      <c r="A32">
        <v>68</v>
      </c>
      <c r="B32">
        <f t="shared" si="3"/>
        <v>0</v>
      </c>
      <c r="C32">
        <f t="shared" si="4"/>
        <v>0</v>
      </c>
      <c r="D32">
        <f t="shared" si="5"/>
        <v>0</v>
      </c>
      <c r="E32">
        <f t="shared" si="6"/>
        <v>0</v>
      </c>
      <c r="H32" s="4"/>
      <c r="K32" s="77"/>
    </row>
    <row r="33" spans="1:8" x14ac:dyDescent="0.2">
      <c r="A33">
        <v>82</v>
      </c>
      <c r="B33">
        <f t="shared" si="3"/>
        <v>0</v>
      </c>
      <c r="C33">
        <f t="shared" si="4"/>
        <v>0</v>
      </c>
      <c r="D33">
        <f t="shared" si="5"/>
        <v>0</v>
      </c>
      <c r="E33">
        <f t="shared" si="6"/>
        <v>0</v>
      </c>
    </row>
    <row r="34" spans="1:8" x14ac:dyDescent="0.2">
      <c r="A34">
        <f>A22*10</f>
        <v>100</v>
      </c>
      <c r="B34">
        <f t="shared" si="3"/>
        <v>0</v>
      </c>
      <c r="C34">
        <f t="shared" si="4"/>
        <v>0</v>
      </c>
      <c r="D34">
        <f t="shared" si="5"/>
        <v>0</v>
      </c>
      <c r="E34">
        <f t="shared" si="6"/>
        <v>0</v>
      </c>
      <c r="H34" s="77"/>
    </row>
    <row r="35" spans="1:8" x14ac:dyDescent="0.2">
      <c r="A35">
        <f t="shared" ref="A35:A98" si="9">A23*10</f>
        <v>120</v>
      </c>
      <c r="B35">
        <f t="shared" si="3"/>
        <v>0</v>
      </c>
      <c r="C35">
        <f t="shared" si="4"/>
        <v>0</v>
      </c>
      <c r="D35">
        <f t="shared" si="5"/>
        <v>0</v>
      </c>
      <c r="E35">
        <f t="shared" si="6"/>
        <v>0</v>
      </c>
      <c r="H35" s="77"/>
    </row>
    <row r="36" spans="1:8" x14ac:dyDescent="0.2">
      <c r="A36">
        <f t="shared" si="9"/>
        <v>150</v>
      </c>
      <c r="B36">
        <f t="shared" si="3"/>
        <v>0</v>
      </c>
      <c r="C36">
        <f t="shared" si="4"/>
        <v>0</v>
      </c>
      <c r="D36">
        <f t="shared" si="5"/>
        <v>0</v>
      </c>
      <c r="E36">
        <f t="shared" si="6"/>
        <v>0</v>
      </c>
    </row>
    <row r="37" spans="1:8" x14ac:dyDescent="0.2">
      <c r="A37">
        <f t="shared" si="9"/>
        <v>180</v>
      </c>
      <c r="B37">
        <f t="shared" si="3"/>
        <v>0</v>
      </c>
      <c r="C37">
        <f t="shared" si="4"/>
        <v>0</v>
      </c>
      <c r="D37">
        <f t="shared" si="5"/>
        <v>0</v>
      </c>
      <c r="E37">
        <f t="shared" si="6"/>
        <v>0</v>
      </c>
    </row>
    <row r="38" spans="1:8" x14ac:dyDescent="0.2">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
      <c r="A39">
        <f t="shared" si="9"/>
        <v>270</v>
      </c>
      <c r="B39">
        <f t="shared" si="3"/>
        <v>0</v>
      </c>
      <c r="C39">
        <f t="shared" si="4"/>
        <v>0</v>
      </c>
      <c r="D39">
        <f t="shared" si="5"/>
        <v>0</v>
      </c>
      <c r="E39">
        <f t="shared" si="10"/>
        <v>0</v>
      </c>
    </row>
    <row r="40" spans="1:8" x14ac:dyDescent="0.2">
      <c r="A40">
        <f t="shared" si="9"/>
        <v>330</v>
      </c>
      <c r="B40">
        <f t="shared" si="3"/>
        <v>0</v>
      </c>
      <c r="C40">
        <f t="shared" si="4"/>
        <v>0</v>
      </c>
      <c r="D40">
        <f t="shared" si="5"/>
        <v>0</v>
      </c>
      <c r="E40">
        <f t="shared" si="10"/>
        <v>0</v>
      </c>
    </row>
    <row r="41" spans="1:8" x14ac:dyDescent="0.2">
      <c r="A41">
        <f t="shared" si="9"/>
        <v>390</v>
      </c>
      <c r="B41">
        <f t="shared" si="3"/>
        <v>0</v>
      </c>
      <c r="C41">
        <f t="shared" si="4"/>
        <v>0</v>
      </c>
      <c r="D41">
        <f t="shared" si="5"/>
        <v>0</v>
      </c>
      <c r="E41">
        <f t="shared" si="10"/>
        <v>0</v>
      </c>
    </row>
    <row r="42" spans="1:8" x14ac:dyDescent="0.2">
      <c r="A42">
        <f t="shared" si="9"/>
        <v>470</v>
      </c>
      <c r="B42">
        <f t="shared" si="3"/>
        <v>0</v>
      </c>
      <c r="C42">
        <f t="shared" si="4"/>
        <v>0</v>
      </c>
      <c r="D42">
        <f t="shared" si="5"/>
        <v>0</v>
      </c>
      <c r="E42">
        <f t="shared" si="10"/>
        <v>0</v>
      </c>
    </row>
    <row r="43" spans="1:8" x14ac:dyDescent="0.2">
      <c r="A43">
        <f t="shared" si="9"/>
        <v>560</v>
      </c>
      <c r="B43">
        <f t="shared" si="3"/>
        <v>0</v>
      </c>
      <c r="C43">
        <f t="shared" si="4"/>
        <v>0</v>
      </c>
      <c r="D43">
        <f t="shared" si="5"/>
        <v>0</v>
      </c>
      <c r="E43">
        <f t="shared" si="10"/>
        <v>0</v>
      </c>
    </row>
    <row r="44" spans="1:8" x14ac:dyDescent="0.2">
      <c r="A44">
        <f t="shared" si="9"/>
        <v>680</v>
      </c>
      <c r="B44">
        <f t="shared" si="3"/>
        <v>0</v>
      </c>
      <c r="C44">
        <f t="shared" si="4"/>
        <v>0</v>
      </c>
      <c r="D44">
        <f t="shared" si="5"/>
        <v>0</v>
      </c>
      <c r="E44">
        <f t="shared" si="10"/>
        <v>0</v>
      </c>
    </row>
    <row r="45" spans="1:8" x14ac:dyDescent="0.2">
      <c r="A45">
        <f>A33*10</f>
        <v>820</v>
      </c>
      <c r="B45">
        <f t="shared" si="3"/>
        <v>0</v>
      </c>
      <c r="C45">
        <f t="shared" si="4"/>
        <v>0</v>
      </c>
      <c r="D45">
        <f t="shared" si="5"/>
        <v>0</v>
      </c>
      <c r="E45">
        <f t="shared" si="10"/>
        <v>0</v>
      </c>
    </row>
    <row r="46" spans="1:8" x14ac:dyDescent="0.2">
      <c r="A46">
        <f t="shared" si="9"/>
        <v>1000</v>
      </c>
      <c r="B46">
        <f t="shared" si="3"/>
        <v>0</v>
      </c>
      <c r="C46">
        <f t="shared" si="4"/>
        <v>0</v>
      </c>
      <c r="D46">
        <f t="shared" si="5"/>
        <v>0</v>
      </c>
      <c r="E46">
        <f t="shared" si="10"/>
        <v>0</v>
      </c>
    </row>
    <row r="47" spans="1:8" x14ac:dyDescent="0.2">
      <c r="A47">
        <f t="shared" si="9"/>
        <v>1200</v>
      </c>
      <c r="B47">
        <f t="shared" si="3"/>
        <v>0</v>
      </c>
      <c r="C47">
        <f t="shared" si="4"/>
        <v>0</v>
      </c>
      <c r="D47">
        <f t="shared" si="5"/>
        <v>0</v>
      </c>
      <c r="E47">
        <f t="shared" si="10"/>
        <v>0</v>
      </c>
    </row>
    <row r="48" spans="1:8" x14ac:dyDescent="0.2">
      <c r="A48">
        <f t="shared" si="9"/>
        <v>1500</v>
      </c>
      <c r="B48">
        <f t="shared" si="3"/>
        <v>0</v>
      </c>
      <c r="C48">
        <f t="shared" si="4"/>
        <v>0</v>
      </c>
      <c r="D48">
        <f t="shared" si="5"/>
        <v>0</v>
      </c>
      <c r="E48">
        <f t="shared" si="10"/>
        <v>0</v>
      </c>
    </row>
    <row r="49" spans="1:5" x14ac:dyDescent="0.2">
      <c r="A49">
        <f t="shared" si="9"/>
        <v>1800</v>
      </c>
      <c r="B49">
        <f t="shared" si="3"/>
        <v>0</v>
      </c>
      <c r="C49">
        <f t="shared" si="4"/>
        <v>0</v>
      </c>
      <c r="D49">
        <f t="shared" si="5"/>
        <v>0</v>
      </c>
      <c r="E49">
        <f t="shared" si="10"/>
        <v>0</v>
      </c>
    </row>
    <row r="50" spans="1:5" x14ac:dyDescent="0.2">
      <c r="A50">
        <f t="shared" si="9"/>
        <v>2200</v>
      </c>
      <c r="B50">
        <f t="shared" si="3"/>
        <v>0</v>
      </c>
      <c r="C50">
        <f t="shared" si="4"/>
        <v>0</v>
      </c>
      <c r="D50">
        <f t="shared" si="5"/>
        <v>0</v>
      </c>
      <c r="E50">
        <f t="shared" si="10"/>
        <v>0</v>
      </c>
    </row>
    <row r="51" spans="1:5" x14ac:dyDescent="0.2">
      <c r="A51">
        <f t="shared" si="9"/>
        <v>2700</v>
      </c>
      <c r="B51">
        <f t="shared" si="3"/>
        <v>0</v>
      </c>
      <c r="C51">
        <f t="shared" si="4"/>
        <v>0</v>
      </c>
      <c r="D51">
        <f t="shared" si="5"/>
        <v>0</v>
      </c>
      <c r="E51">
        <f t="shared" si="10"/>
        <v>0</v>
      </c>
    </row>
    <row r="52" spans="1:5" x14ac:dyDescent="0.2">
      <c r="A52">
        <f t="shared" si="9"/>
        <v>3300</v>
      </c>
      <c r="B52">
        <f t="shared" si="3"/>
        <v>0</v>
      </c>
      <c r="C52">
        <f t="shared" si="4"/>
        <v>0</v>
      </c>
      <c r="D52">
        <f t="shared" si="5"/>
        <v>0</v>
      </c>
      <c r="E52">
        <f t="shared" si="10"/>
        <v>0</v>
      </c>
    </row>
    <row r="53" spans="1:5" x14ac:dyDescent="0.2">
      <c r="A53">
        <f t="shared" si="9"/>
        <v>3900</v>
      </c>
      <c r="B53">
        <f t="shared" si="3"/>
        <v>0</v>
      </c>
      <c r="C53">
        <f t="shared" si="4"/>
        <v>0</v>
      </c>
      <c r="D53">
        <f t="shared" si="5"/>
        <v>0</v>
      </c>
      <c r="E53">
        <f t="shared" si="10"/>
        <v>0</v>
      </c>
    </row>
    <row r="54" spans="1:5" x14ac:dyDescent="0.2">
      <c r="A54">
        <f t="shared" si="9"/>
        <v>4700</v>
      </c>
      <c r="B54">
        <f t="shared" si="3"/>
        <v>0</v>
      </c>
      <c r="C54">
        <f t="shared" si="4"/>
        <v>0</v>
      </c>
      <c r="D54">
        <f t="shared" si="5"/>
        <v>0</v>
      </c>
      <c r="E54">
        <f t="shared" si="10"/>
        <v>0</v>
      </c>
    </row>
    <row r="55" spans="1:5" x14ac:dyDescent="0.2">
      <c r="A55">
        <f t="shared" si="9"/>
        <v>5600</v>
      </c>
      <c r="B55">
        <f t="shared" si="3"/>
        <v>0</v>
      </c>
      <c r="C55">
        <f t="shared" si="4"/>
        <v>0</v>
      </c>
      <c r="D55">
        <f t="shared" si="5"/>
        <v>0</v>
      </c>
      <c r="E55">
        <f t="shared" si="10"/>
        <v>0</v>
      </c>
    </row>
    <row r="56" spans="1:5" x14ac:dyDescent="0.2">
      <c r="A56">
        <f t="shared" si="9"/>
        <v>6800</v>
      </c>
      <c r="B56">
        <f t="shared" si="3"/>
        <v>0</v>
      </c>
      <c r="C56">
        <f t="shared" si="4"/>
        <v>0</v>
      </c>
      <c r="D56">
        <f t="shared" si="5"/>
        <v>0</v>
      </c>
      <c r="E56">
        <f t="shared" si="10"/>
        <v>0</v>
      </c>
    </row>
    <row r="57" spans="1:5" x14ac:dyDescent="0.2">
      <c r="A57">
        <f t="shared" si="9"/>
        <v>8200</v>
      </c>
      <c r="B57">
        <f t="shared" si="3"/>
        <v>0</v>
      </c>
      <c r="C57">
        <f t="shared" si="4"/>
        <v>0</v>
      </c>
      <c r="D57">
        <f t="shared" si="5"/>
        <v>0</v>
      </c>
      <c r="E57">
        <f t="shared" si="10"/>
        <v>0</v>
      </c>
    </row>
    <row r="58" spans="1:5" x14ac:dyDescent="0.2">
      <c r="A58">
        <f t="shared" si="9"/>
        <v>10000</v>
      </c>
      <c r="B58">
        <f t="shared" si="3"/>
        <v>0</v>
      </c>
      <c r="C58">
        <f t="shared" si="4"/>
        <v>0</v>
      </c>
      <c r="D58">
        <f t="shared" si="5"/>
        <v>0</v>
      </c>
      <c r="E58">
        <f t="shared" si="10"/>
        <v>0</v>
      </c>
    </row>
    <row r="59" spans="1:5" x14ac:dyDescent="0.2">
      <c r="A59">
        <f t="shared" si="9"/>
        <v>12000</v>
      </c>
      <c r="B59">
        <f t="shared" si="3"/>
        <v>0</v>
      </c>
      <c r="C59">
        <f t="shared" si="4"/>
        <v>0</v>
      </c>
      <c r="D59">
        <f t="shared" si="5"/>
        <v>0</v>
      </c>
      <c r="E59">
        <f t="shared" si="10"/>
        <v>0</v>
      </c>
    </row>
    <row r="60" spans="1:5" x14ac:dyDescent="0.2">
      <c r="A60">
        <f t="shared" si="9"/>
        <v>15000</v>
      </c>
      <c r="B60">
        <f t="shared" si="3"/>
        <v>0</v>
      </c>
      <c r="C60">
        <f t="shared" si="4"/>
        <v>0</v>
      </c>
      <c r="D60">
        <f t="shared" si="5"/>
        <v>0</v>
      </c>
      <c r="E60">
        <f t="shared" si="10"/>
        <v>0</v>
      </c>
    </row>
    <row r="61" spans="1:5" x14ac:dyDescent="0.2">
      <c r="A61">
        <f t="shared" si="9"/>
        <v>18000</v>
      </c>
      <c r="B61">
        <f t="shared" si="3"/>
        <v>0</v>
      </c>
      <c r="C61">
        <f t="shared" si="4"/>
        <v>0</v>
      </c>
      <c r="D61">
        <f t="shared" si="5"/>
        <v>0</v>
      </c>
      <c r="E61">
        <f t="shared" si="10"/>
        <v>0</v>
      </c>
    </row>
    <row r="62" spans="1:5" x14ac:dyDescent="0.2">
      <c r="A62">
        <f t="shared" si="9"/>
        <v>22000</v>
      </c>
      <c r="B62">
        <f t="shared" si="3"/>
        <v>0</v>
      </c>
      <c r="C62">
        <f t="shared" si="4"/>
        <v>0</v>
      </c>
      <c r="D62">
        <f t="shared" si="5"/>
        <v>0</v>
      </c>
      <c r="E62">
        <f t="shared" si="10"/>
        <v>0</v>
      </c>
    </row>
    <row r="63" spans="1:5" x14ac:dyDescent="0.2">
      <c r="A63">
        <f t="shared" si="9"/>
        <v>27000</v>
      </c>
      <c r="B63">
        <f t="shared" si="3"/>
        <v>33000</v>
      </c>
      <c r="C63">
        <f t="shared" si="4"/>
        <v>0</v>
      </c>
      <c r="D63">
        <f t="shared" si="5"/>
        <v>0</v>
      </c>
      <c r="E63">
        <f t="shared" si="10"/>
        <v>0</v>
      </c>
    </row>
    <row r="64" spans="1:5" x14ac:dyDescent="0.2">
      <c r="A64">
        <f t="shared" si="9"/>
        <v>33000</v>
      </c>
      <c r="B64">
        <f t="shared" si="3"/>
        <v>0</v>
      </c>
      <c r="C64">
        <f t="shared" si="4"/>
        <v>0</v>
      </c>
      <c r="D64">
        <f t="shared" si="5"/>
        <v>0</v>
      </c>
      <c r="E64">
        <f t="shared" si="10"/>
        <v>0</v>
      </c>
    </row>
    <row r="65" spans="1:5" x14ac:dyDescent="0.2">
      <c r="A65">
        <f t="shared" si="9"/>
        <v>39000</v>
      </c>
      <c r="B65">
        <f t="shared" si="3"/>
        <v>0</v>
      </c>
      <c r="C65">
        <f t="shared" si="4"/>
        <v>0</v>
      </c>
      <c r="D65">
        <f t="shared" si="5"/>
        <v>0</v>
      </c>
      <c r="E65">
        <f t="shared" si="10"/>
        <v>0</v>
      </c>
    </row>
    <row r="66" spans="1:5" x14ac:dyDescent="0.2">
      <c r="A66">
        <f t="shared" si="9"/>
        <v>47000</v>
      </c>
      <c r="B66">
        <f t="shared" si="3"/>
        <v>0</v>
      </c>
      <c r="C66">
        <f t="shared" si="4"/>
        <v>0</v>
      </c>
      <c r="D66">
        <f t="shared" si="5"/>
        <v>0</v>
      </c>
      <c r="E66">
        <f t="shared" si="10"/>
        <v>0</v>
      </c>
    </row>
    <row r="67" spans="1:5" x14ac:dyDescent="0.2">
      <c r="A67">
        <f t="shared" si="9"/>
        <v>56000</v>
      </c>
      <c r="B67">
        <f t="shared" si="3"/>
        <v>0</v>
      </c>
      <c r="C67">
        <f t="shared" si="4"/>
        <v>0</v>
      </c>
      <c r="D67">
        <f t="shared" si="5"/>
        <v>0</v>
      </c>
      <c r="E67">
        <f t="shared" si="10"/>
        <v>0</v>
      </c>
    </row>
    <row r="68" spans="1:5" x14ac:dyDescent="0.2">
      <c r="A68">
        <f t="shared" si="9"/>
        <v>68000</v>
      </c>
      <c r="B68">
        <f t="shared" si="3"/>
        <v>0</v>
      </c>
      <c r="C68">
        <f t="shared" si="4"/>
        <v>0</v>
      </c>
      <c r="D68">
        <f t="shared" si="5"/>
        <v>0</v>
      </c>
      <c r="E68">
        <f t="shared" si="10"/>
        <v>0</v>
      </c>
    </row>
    <row r="69" spans="1:5" x14ac:dyDescent="0.2">
      <c r="A69">
        <f t="shared" si="9"/>
        <v>82000</v>
      </c>
      <c r="B69">
        <f t="shared" si="3"/>
        <v>0</v>
      </c>
      <c r="C69">
        <f t="shared" si="4"/>
        <v>0</v>
      </c>
      <c r="D69">
        <f t="shared" si="5"/>
        <v>0</v>
      </c>
      <c r="E69">
        <f t="shared" si="10"/>
        <v>0</v>
      </c>
    </row>
    <row r="70" spans="1:5" x14ac:dyDescent="0.2">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
      <c r="A72">
        <f t="shared" si="9"/>
        <v>150000</v>
      </c>
      <c r="B72">
        <f t="shared" si="13"/>
        <v>0</v>
      </c>
      <c r="C72">
        <f t="shared" si="14"/>
        <v>0</v>
      </c>
      <c r="D72">
        <f t="shared" si="15"/>
        <v>0</v>
      </c>
      <c r="E72">
        <f t="shared" si="12"/>
        <v>0</v>
      </c>
    </row>
    <row r="73" spans="1:5" x14ac:dyDescent="0.2">
      <c r="A73">
        <f t="shared" si="9"/>
        <v>180000</v>
      </c>
      <c r="B73">
        <f t="shared" si="13"/>
        <v>0</v>
      </c>
      <c r="C73">
        <f t="shared" si="14"/>
        <v>0</v>
      </c>
      <c r="D73">
        <f t="shared" si="15"/>
        <v>0</v>
      </c>
      <c r="E73">
        <f t="shared" si="12"/>
        <v>0</v>
      </c>
    </row>
    <row r="74" spans="1:5" x14ac:dyDescent="0.2">
      <c r="A74">
        <f t="shared" si="9"/>
        <v>220000</v>
      </c>
      <c r="B74">
        <f t="shared" si="13"/>
        <v>0</v>
      </c>
      <c r="C74">
        <f t="shared" si="14"/>
        <v>0</v>
      </c>
      <c r="D74">
        <f t="shared" si="15"/>
        <v>0</v>
      </c>
      <c r="E74">
        <f t="shared" si="12"/>
        <v>0</v>
      </c>
    </row>
    <row r="75" spans="1:5" x14ac:dyDescent="0.2">
      <c r="A75">
        <f t="shared" si="9"/>
        <v>270000</v>
      </c>
      <c r="B75">
        <f t="shared" si="13"/>
        <v>0</v>
      </c>
      <c r="C75">
        <f t="shared" si="14"/>
        <v>0</v>
      </c>
      <c r="D75">
        <f t="shared" si="15"/>
        <v>0</v>
      </c>
      <c r="E75">
        <f t="shared" si="12"/>
        <v>0</v>
      </c>
    </row>
    <row r="76" spans="1:5" x14ac:dyDescent="0.2">
      <c r="A76">
        <f t="shared" si="9"/>
        <v>330000</v>
      </c>
      <c r="B76">
        <f t="shared" si="13"/>
        <v>0</v>
      </c>
      <c r="C76">
        <f t="shared" si="14"/>
        <v>0</v>
      </c>
      <c r="D76">
        <f t="shared" si="15"/>
        <v>0</v>
      </c>
      <c r="E76">
        <f t="shared" si="12"/>
        <v>0</v>
      </c>
    </row>
    <row r="77" spans="1:5" x14ac:dyDescent="0.2">
      <c r="A77">
        <f t="shared" si="9"/>
        <v>390000</v>
      </c>
      <c r="B77">
        <f t="shared" si="13"/>
        <v>0</v>
      </c>
      <c r="C77">
        <f t="shared" si="14"/>
        <v>0</v>
      </c>
      <c r="D77">
        <f t="shared" si="15"/>
        <v>0</v>
      </c>
      <c r="E77">
        <f t="shared" si="12"/>
        <v>0</v>
      </c>
    </row>
    <row r="78" spans="1:5" x14ac:dyDescent="0.2">
      <c r="A78">
        <f t="shared" si="9"/>
        <v>470000</v>
      </c>
      <c r="B78">
        <f t="shared" si="13"/>
        <v>0</v>
      </c>
      <c r="C78">
        <f t="shared" si="14"/>
        <v>0</v>
      </c>
      <c r="D78">
        <f t="shared" si="15"/>
        <v>0</v>
      </c>
      <c r="E78">
        <f t="shared" si="12"/>
        <v>0</v>
      </c>
    </row>
    <row r="79" spans="1:5" x14ac:dyDescent="0.2">
      <c r="A79">
        <f t="shared" si="9"/>
        <v>560000</v>
      </c>
      <c r="B79">
        <f t="shared" si="13"/>
        <v>0</v>
      </c>
      <c r="C79">
        <f t="shared" si="14"/>
        <v>0</v>
      </c>
      <c r="D79">
        <f t="shared" si="15"/>
        <v>0</v>
      </c>
      <c r="E79">
        <f t="shared" si="12"/>
        <v>0</v>
      </c>
    </row>
    <row r="80" spans="1:5" x14ac:dyDescent="0.2">
      <c r="A80">
        <f t="shared" si="9"/>
        <v>680000</v>
      </c>
      <c r="B80">
        <f t="shared" si="13"/>
        <v>0</v>
      </c>
      <c r="C80">
        <f t="shared" si="14"/>
        <v>0</v>
      </c>
      <c r="D80">
        <f t="shared" si="15"/>
        <v>0</v>
      </c>
      <c r="E80">
        <f t="shared" si="12"/>
        <v>0</v>
      </c>
    </row>
    <row r="81" spans="1:5" x14ac:dyDescent="0.2">
      <c r="A81">
        <f t="shared" si="9"/>
        <v>820000</v>
      </c>
      <c r="B81">
        <f t="shared" si="13"/>
        <v>0</v>
      </c>
      <c r="C81">
        <f t="shared" si="14"/>
        <v>0</v>
      </c>
      <c r="D81">
        <f t="shared" si="15"/>
        <v>0</v>
      </c>
      <c r="E81">
        <f t="shared" si="12"/>
        <v>0</v>
      </c>
    </row>
    <row r="82" spans="1:5" x14ac:dyDescent="0.2">
      <c r="A82">
        <f t="shared" si="9"/>
        <v>1000000</v>
      </c>
      <c r="B82">
        <f t="shared" si="13"/>
        <v>0</v>
      </c>
      <c r="C82">
        <f t="shared" si="14"/>
        <v>0</v>
      </c>
      <c r="D82">
        <f t="shared" si="15"/>
        <v>0</v>
      </c>
      <c r="E82">
        <f t="shared" si="12"/>
        <v>0</v>
      </c>
    </row>
    <row r="83" spans="1:5" x14ac:dyDescent="0.2">
      <c r="A83">
        <f t="shared" si="9"/>
        <v>1200000</v>
      </c>
      <c r="B83">
        <f t="shared" si="13"/>
        <v>0</v>
      </c>
      <c r="C83">
        <f t="shared" si="14"/>
        <v>0</v>
      </c>
      <c r="D83">
        <f t="shared" si="15"/>
        <v>0</v>
      </c>
      <c r="E83">
        <f t="shared" si="12"/>
        <v>0</v>
      </c>
    </row>
    <row r="84" spans="1:5" x14ac:dyDescent="0.2">
      <c r="A84">
        <f t="shared" si="9"/>
        <v>1500000</v>
      </c>
      <c r="B84">
        <f t="shared" si="13"/>
        <v>0</v>
      </c>
      <c r="C84">
        <f t="shared" si="14"/>
        <v>0</v>
      </c>
      <c r="D84">
        <f t="shared" si="15"/>
        <v>0</v>
      </c>
      <c r="E84">
        <f t="shared" si="12"/>
        <v>0</v>
      </c>
    </row>
    <row r="85" spans="1:5" x14ac:dyDescent="0.2">
      <c r="A85">
        <f t="shared" si="9"/>
        <v>1800000</v>
      </c>
      <c r="B85">
        <f t="shared" si="13"/>
        <v>0</v>
      </c>
      <c r="C85">
        <f t="shared" si="14"/>
        <v>0</v>
      </c>
      <c r="D85">
        <f t="shared" si="15"/>
        <v>0</v>
      </c>
      <c r="E85">
        <f t="shared" si="12"/>
        <v>0</v>
      </c>
    </row>
    <row r="86" spans="1:5" x14ac:dyDescent="0.2">
      <c r="A86">
        <f t="shared" si="9"/>
        <v>2200000</v>
      </c>
      <c r="B86">
        <f t="shared" si="13"/>
        <v>0</v>
      </c>
      <c r="C86">
        <f t="shared" si="14"/>
        <v>0</v>
      </c>
      <c r="D86">
        <f t="shared" si="15"/>
        <v>0</v>
      </c>
      <c r="E86">
        <f t="shared" si="12"/>
        <v>0</v>
      </c>
    </row>
    <row r="87" spans="1:5" x14ac:dyDescent="0.2">
      <c r="A87">
        <f t="shared" si="9"/>
        <v>2700000</v>
      </c>
      <c r="B87">
        <f t="shared" si="13"/>
        <v>0</v>
      </c>
      <c r="C87">
        <f t="shared" si="14"/>
        <v>0</v>
      </c>
      <c r="D87">
        <f t="shared" si="15"/>
        <v>0</v>
      </c>
      <c r="E87">
        <f t="shared" si="12"/>
        <v>0</v>
      </c>
    </row>
    <row r="88" spans="1:5" x14ac:dyDescent="0.2">
      <c r="A88">
        <f t="shared" si="9"/>
        <v>3300000</v>
      </c>
      <c r="B88">
        <f t="shared" si="13"/>
        <v>0</v>
      </c>
      <c r="C88">
        <f t="shared" si="14"/>
        <v>0</v>
      </c>
      <c r="D88">
        <f t="shared" si="15"/>
        <v>0</v>
      </c>
      <c r="E88">
        <f t="shared" si="12"/>
        <v>0</v>
      </c>
    </row>
    <row r="89" spans="1:5" x14ac:dyDescent="0.2">
      <c r="A89">
        <f t="shared" si="9"/>
        <v>3900000</v>
      </c>
      <c r="B89">
        <f t="shared" si="13"/>
        <v>0</v>
      </c>
      <c r="C89">
        <f t="shared" si="14"/>
        <v>0</v>
      </c>
      <c r="D89">
        <f t="shared" si="15"/>
        <v>0</v>
      </c>
      <c r="E89">
        <f t="shared" si="12"/>
        <v>0</v>
      </c>
    </row>
    <row r="90" spans="1:5" x14ac:dyDescent="0.2">
      <c r="A90">
        <f t="shared" si="9"/>
        <v>4700000</v>
      </c>
      <c r="B90">
        <f t="shared" si="13"/>
        <v>0</v>
      </c>
      <c r="C90">
        <f t="shared" si="14"/>
        <v>0</v>
      </c>
      <c r="D90">
        <f t="shared" si="15"/>
        <v>0</v>
      </c>
      <c r="E90">
        <f t="shared" si="12"/>
        <v>0</v>
      </c>
    </row>
    <row r="91" spans="1:5" x14ac:dyDescent="0.2">
      <c r="A91">
        <f t="shared" si="9"/>
        <v>5600000</v>
      </c>
      <c r="B91">
        <f t="shared" si="13"/>
        <v>0</v>
      </c>
      <c r="C91">
        <f t="shared" si="14"/>
        <v>0</v>
      </c>
      <c r="D91">
        <f t="shared" si="15"/>
        <v>0</v>
      </c>
      <c r="E91">
        <f t="shared" si="12"/>
        <v>0</v>
      </c>
    </row>
    <row r="92" spans="1:5" x14ac:dyDescent="0.2">
      <c r="A92">
        <f t="shared" si="9"/>
        <v>6800000</v>
      </c>
      <c r="B92">
        <f t="shared" si="13"/>
        <v>0</v>
      </c>
      <c r="C92">
        <f t="shared" si="14"/>
        <v>0</v>
      </c>
      <c r="D92">
        <f t="shared" si="15"/>
        <v>0</v>
      </c>
      <c r="E92">
        <f t="shared" si="12"/>
        <v>0</v>
      </c>
    </row>
    <row r="93" spans="1:5" x14ac:dyDescent="0.2">
      <c r="A93">
        <f t="shared" si="9"/>
        <v>8200000</v>
      </c>
      <c r="B93">
        <f t="shared" si="13"/>
        <v>0</v>
      </c>
      <c r="C93">
        <f t="shared" si="14"/>
        <v>0</v>
      </c>
      <c r="D93">
        <f t="shared" si="15"/>
        <v>0</v>
      </c>
      <c r="E93">
        <f t="shared" si="12"/>
        <v>0</v>
      </c>
    </row>
    <row r="94" spans="1:5" x14ac:dyDescent="0.2">
      <c r="A94">
        <f t="shared" si="9"/>
        <v>10000000</v>
      </c>
      <c r="B94">
        <f t="shared" si="13"/>
        <v>0</v>
      </c>
      <c r="C94">
        <f t="shared" si="14"/>
        <v>0</v>
      </c>
      <c r="D94">
        <f t="shared" si="15"/>
        <v>0</v>
      </c>
      <c r="E94">
        <f t="shared" si="12"/>
        <v>0</v>
      </c>
    </row>
    <row r="95" spans="1:5" x14ac:dyDescent="0.2">
      <c r="A95">
        <f t="shared" si="9"/>
        <v>12000000</v>
      </c>
      <c r="B95">
        <f t="shared" si="13"/>
        <v>0</v>
      </c>
      <c r="C95">
        <f t="shared" si="14"/>
        <v>0</v>
      </c>
      <c r="D95">
        <f t="shared" si="15"/>
        <v>0</v>
      </c>
      <c r="E95">
        <f t="shared" si="12"/>
        <v>0</v>
      </c>
    </row>
    <row r="96" spans="1:5" x14ac:dyDescent="0.2">
      <c r="A96">
        <f t="shared" si="9"/>
        <v>15000000</v>
      </c>
      <c r="B96">
        <f t="shared" si="13"/>
        <v>0</v>
      </c>
      <c r="C96">
        <f t="shared" si="14"/>
        <v>0</v>
      </c>
      <c r="D96">
        <f t="shared" si="15"/>
        <v>0</v>
      </c>
      <c r="E96">
        <f t="shared" si="12"/>
        <v>0</v>
      </c>
    </row>
    <row r="97" spans="1:5" x14ac:dyDescent="0.2">
      <c r="A97">
        <f t="shared" si="9"/>
        <v>18000000</v>
      </c>
      <c r="B97">
        <f t="shared" si="13"/>
        <v>0</v>
      </c>
      <c r="C97">
        <f t="shared" si="14"/>
        <v>0</v>
      </c>
      <c r="D97">
        <f t="shared" si="15"/>
        <v>0</v>
      </c>
      <c r="E97">
        <f t="shared" si="12"/>
        <v>0</v>
      </c>
    </row>
    <row r="98" spans="1:5" x14ac:dyDescent="0.2">
      <c r="A98">
        <f t="shared" si="9"/>
        <v>22000000</v>
      </c>
      <c r="B98">
        <f t="shared" si="13"/>
        <v>0</v>
      </c>
      <c r="C98">
        <f t="shared" si="14"/>
        <v>0</v>
      </c>
      <c r="D98">
        <f t="shared" si="15"/>
        <v>0</v>
      </c>
      <c r="E98">
        <f t="shared" si="12"/>
        <v>0</v>
      </c>
    </row>
    <row r="99" spans="1:5" x14ac:dyDescent="0.2">
      <c r="A99">
        <f t="shared" ref="A99:A159" si="16">A87*10</f>
        <v>27000000</v>
      </c>
      <c r="B99">
        <f t="shared" si="13"/>
        <v>0</v>
      </c>
      <c r="C99">
        <f t="shared" si="14"/>
        <v>0</v>
      </c>
      <c r="D99">
        <f t="shared" si="15"/>
        <v>0</v>
      </c>
      <c r="E99">
        <f t="shared" si="12"/>
        <v>0</v>
      </c>
    </row>
    <row r="100" spans="1:5" x14ac:dyDescent="0.2">
      <c r="A100">
        <f t="shared" si="16"/>
        <v>33000000</v>
      </c>
      <c r="B100">
        <f t="shared" si="13"/>
        <v>0</v>
      </c>
      <c r="C100">
        <f t="shared" si="14"/>
        <v>0</v>
      </c>
      <c r="D100">
        <f t="shared" si="15"/>
        <v>0</v>
      </c>
      <c r="E100">
        <f t="shared" si="12"/>
        <v>0</v>
      </c>
    </row>
    <row r="101" spans="1:5" x14ac:dyDescent="0.2">
      <c r="A101">
        <f t="shared" si="16"/>
        <v>39000000</v>
      </c>
      <c r="B101">
        <f t="shared" si="13"/>
        <v>0</v>
      </c>
      <c r="C101">
        <f t="shared" si="14"/>
        <v>0</v>
      </c>
      <c r="D101">
        <f t="shared" si="15"/>
        <v>0</v>
      </c>
      <c r="E101">
        <f t="shared" si="12"/>
        <v>0</v>
      </c>
    </row>
    <row r="102" spans="1:5" x14ac:dyDescent="0.2">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
      <c r="A104">
        <f t="shared" si="16"/>
        <v>68000000</v>
      </c>
      <c r="B104">
        <f t="shared" si="13"/>
        <v>0</v>
      </c>
      <c r="C104">
        <f t="shared" si="14"/>
        <v>0</v>
      </c>
      <c r="D104">
        <f t="shared" si="18"/>
        <v>0</v>
      </c>
      <c r="E104">
        <f t="shared" si="17"/>
        <v>0</v>
      </c>
    </row>
    <row r="105" spans="1:5" x14ac:dyDescent="0.2">
      <c r="A105">
        <f t="shared" si="16"/>
        <v>82000000</v>
      </c>
      <c r="B105">
        <f t="shared" si="13"/>
        <v>0</v>
      </c>
      <c r="C105">
        <f t="shared" si="14"/>
        <v>0</v>
      </c>
      <c r="D105">
        <f t="shared" si="18"/>
        <v>0</v>
      </c>
      <c r="E105">
        <f t="shared" si="17"/>
        <v>0</v>
      </c>
    </row>
    <row r="106" spans="1:5" x14ac:dyDescent="0.2">
      <c r="A106">
        <f t="shared" si="16"/>
        <v>100000000</v>
      </c>
      <c r="B106">
        <f t="shared" si="13"/>
        <v>0</v>
      </c>
      <c r="C106">
        <f t="shared" si="14"/>
        <v>0</v>
      </c>
      <c r="D106">
        <f t="shared" si="18"/>
        <v>0</v>
      </c>
      <c r="E106">
        <f t="shared" si="17"/>
        <v>0</v>
      </c>
    </row>
    <row r="107" spans="1:5" x14ac:dyDescent="0.2">
      <c r="A107">
        <f t="shared" si="16"/>
        <v>120000000</v>
      </c>
      <c r="B107">
        <f t="shared" si="13"/>
        <v>0</v>
      </c>
      <c r="C107">
        <f t="shared" si="14"/>
        <v>0</v>
      </c>
      <c r="D107">
        <f t="shared" si="18"/>
        <v>0</v>
      </c>
      <c r="E107">
        <f t="shared" si="17"/>
        <v>0</v>
      </c>
    </row>
    <row r="108" spans="1:5" x14ac:dyDescent="0.2">
      <c r="A108">
        <f t="shared" si="16"/>
        <v>150000000</v>
      </c>
      <c r="B108">
        <f t="shared" si="13"/>
        <v>0</v>
      </c>
      <c r="C108">
        <f t="shared" si="14"/>
        <v>0</v>
      </c>
      <c r="D108">
        <f t="shared" si="18"/>
        <v>0</v>
      </c>
      <c r="E108">
        <f t="shared" si="17"/>
        <v>0</v>
      </c>
    </row>
    <row r="109" spans="1:5" x14ac:dyDescent="0.2">
      <c r="A109">
        <f t="shared" si="16"/>
        <v>180000000</v>
      </c>
      <c r="B109">
        <f t="shared" si="13"/>
        <v>0</v>
      </c>
      <c r="C109">
        <f t="shared" si="14"/>
        <v>0</v>
      </c>
      <c r="D109">
        <f t="shared" si="18"/>
        <v>0</v>
      </c>
      <c r="E109">
        <f t="shared" si="17"/>
        <v>0</v>
      </c>
    </row>
    <row r="110" spans="1:5" x14ac:dyDescent="0.2">
      <c r="A110">
        <f t="shared" si="16"/>
        <v>220000000</v>
      </c>
      <c r="B110">
        <f t="shared" si="13"/>
        <v>0</v>
      </c>
      <c r="C110">
        <f t="shared" si="14"/>
        <v>0</v>
      </c>
      <c r="D110">
        <f t="shared" si="18"/>
        <v>0</v>
      </c>
      <c r="E110">
        <f t="shared" si="17"/>
        <v>0</v>
      </c>
    </row>
    <row r="111" spans="1:5" x14ac:dyDescent="0.2">
      <c r="A111">
        <f t="shared" si="16"/>
        <v>270000000</v>
      </c>
      <c r="B111">
        <f t="shared" si="13"/>
        <v>0</v>
      </c>
      <c r="C111">
        <f t="shared" si="14"/>
        <v>0</v>
      </c>
      <c r="D111">
        <f t="shared" si="18"/>
        <v>0</v>
      </c>
      <c r="E111">
        <f t="shared" si="17"/>
        <v>0</v>
      </c>
    </row>
    <row r="112" spans="1:5" x14ac:dyDescent="0.2">
      <c r="A112">
        <f t="shared" si="16"/>
        <v>330000000</v>
      </c>
      <c r="B112">
        <f t="shared" si="13"/>
        <v>0</v>
      </c>
      <c r="C112">
        <f t="shared" si="14"/>
        <v>0</v>
      </c>
      <c r="D112">
        <f t="shared" si="18"/>
        <v>0</v>
      </c>
      <c r="E112">
        <f t="shared" si="17"/>
        <v>0</v>
      </c>
    </row>
    <row r="113" spans="1:5" x14ac:dyDescent="0.2">
      <c r="A113">
        <f t="shared" si="16"/>
        <v>390000000</v>
      </c>
      <c r="B113">
        <f t="shared" si="13"/>
        <v>0</v>
      </c>
      <c r="C113">
        <f t="shared" si="14"/>
        <v>0</v>
      </c>
      <c r="D113">
        <f t="shared" si="18"/>
        <v>0</v>
      </c>
      <c r="E113">
        <f t="shared" si="17"/>
        <v>0</v>
      </c>
    </row>
    <row r="114" spans="1:5" x14ac:dyDescent="0.2">
      <c r="A114">
        <f t="shared" si="16"/>
        <v>470000000</v>
      </c>
      <c r="B114">
        <f t="shared" si="13"/>
        <v>0</v>
      </c>
      <c r="C114">
        <f t="shared" si="14"/>
        <v>0</v>
      </c>
      <c r="D114">
        <f t="shared" si="18"/>
        <v>0</v>
      </c>
      <c r="E114">
        <f t="shared" si="17"/>
        <v>0</v>
      </c>
    </row>
    <row r="115" spans="1:5" x14ac:dyDescent="0.2">
      <c r="A115">
        <f t="shared" si="16"/>
        <v>560000000</v>
      </c>
      <c r="B115">
        <f t="shared" si="13"/>
        <v>0</v>
      </c>
      <c r="C115">
        <f t="shared" si="14"/>
        <v>0</v>
      </c>
      <c r="D115">
        <f t="shared" si="18"/>
        <v>0</v>
      </c>
      <c r="E115">
        <f t="shared" si="17"/>
        <v>0</v>
      </c>
    </row>
    <row r="116" spans="1:5" x14ac:dyDescent="0.2">
      <c r="A116">
        <f t="shared" si="16"/>
        <v>680000000</v>
      </c>
      <c r="B116">
        <f t="shared" si="13"/>
        <v>0</v>
      </c>
      <c r="C116">
        <f t="shared" si="14"/>
        <v>0</v>
      </c>
      <c r="D116">
        <f t="shared" si="18"/>
        <v>0</v>
      </c>
      <c r="E116">
        <f t="shared" si="17"/>
        <v>0</v>
      </c>
    </row>
    <row r="117" spans="1:5" x14ac:dyDescent="0.2">
      <c r="A117">
        <f t="shared" si="16"/>
        <v>820000000</v>
      </c>
      <c r="B117">
        <f t="shared" si="13"/>
        <v>0</v>
      </c>
      <c r="C117">
        <f t="shared" si="14"/>
        <v>0</v>
      </c>
      <c r="D117">
        <f t="shared" si="18"/>
        <v>0</v>
      </c>
      <c r="E117">
        <f t="shared" si="17"/>
        <v>0</v>
      </c>
    </row>
    <row r="118" spans="1:5" x14ac:dyDescent="0.2">
      <c r="A118">
        <f t="shared" si="16"/>
        <v>1000000000</v>
      </c>
      <c r="B118">
        <f t="shared" si="13"/>
        <v>0</v>
      </c>
      <c r="C118">
        <f t="shared" si="14"/>
        <v>0</v>
      </c>
      <c r="D118">
        <f t="shared" si="18"/>
        <v>0</v>
      </c>
      <c r="E118">
        <f t="shared" si="17"/>
        <v>0</v>
      </c>
    </row>
    <row r="119" spans="1:5" x14ac:dyDescent="0.2">
      <c r="A119">
        <f t="shared" si="16"/>
        <v>1200000000</v>
      </c>
      <c r="B119">
        <f t="shared" si="13"/>
        <v>0</v>
      </c>
      <c r="C119">
        <f t="shared" si="14"/>
        <v>0</v>
      </c>
      <c r="D119">
        <f t="shared" si="18"/>
        <v>0</v>
      </c>
      <c r="E119">
        <f t="shared" si="17"/>
        <v>0</v>
      </c>
    </row>
    <row r="120" spans="1:5" x14ac:dyDescent="0.2">
      <c r="A120">
        <f t="shared" si="16"/>
        <v>1500000000</v>
      </c>
      <c r="B120">
        <f t="shared" si="13"/>
        <v>0</v>
      </c>
      <c r="C120">
        <f t="shared" si="14"/>
        <v>0</v>
      </c>
      <c r="D120">
        <f t="shared" si="18"/>
        <v>0</v>
      </c>
      <c r="E120">
        <f t="shared" si="17"/>
        <v>0</v>
      </c>
    </row>
    <row r="121" spans="1:5" x14ac:dyDescent="0.2">
      <c r="A121">
        <f t="shared" si="16"/>
        <v>1800000000</v>
      </c>
      <c r="B121">
        <f t="shared" si="13"/>
        <v>0</v>
      </c>
      <c r="C121">
        <f t="shared" si="14"/>
        <v>0</v>
      </c>
      <c r="D121">
        <f t="shared" si="18"/>
        <v>0</v>
      </c>
      <c r="E121">
        <f t="shared" si="17"/>
        <v>0</v>
      </c>
    </row>
    <row r="122" spans="1:5" x14ac:dyDescent="0.2">
      <c r="A122">
        <f t="shared" si="16"/>
        <v>2200000000</v>
      </c>
      <c r="B122">
        <f t="shared" si="13"/>
        <v>0</v>
      </c>
      <c r="C122">
        <f t="shared" si="14"/>
        <v>0</v>
      </c>
      <c r="D122">
        <f t="shared" si="18"/>
        <v>0</v>
      </c>
      <c r="E122">
        <f t="shared" si="17"/>
        <v>0</v>
      </c>
    </row>
    <row r="123" spans="1:5" x14ac:dyDescent="0.2">
      <c r="A123">
        <f t="shared" si="16"/>
        <v>2700000000</v>
      </c>
      <c r="B123">
        <f t="shared" si="13"/>
        <v>0</v>
      </c>
      <c r="C123">
        <f t="shared" si="14"/>
        <v>0</v>
      </c>
      <c r="D123">
        <f t="shared" si="18"/>
        <v>0</v>
      </c>
      <c r="E123">
        <f t="shared" si="17"/>
        <v>0</v>
      </c>
    </row>
    <row r="124" spans="1:5" x14ac:dyDescent="0.2">
      <c r="A124">
        <f t="shared" si="16"/>
        <v>3300000000</v>
      </c>
      <c r="B124">
        <f t="shared" si="13"/>
        <v>0</v>
      </c>
      <c r="C124">
        <f t="shared" si="14"/>
        <v>0</v>
      </c>
      <c r="D124">
        <f t="shared" si="18"/>
        <v>0</v>
      </c>
      <c r="E124">
        <f t="shared" si="17"/>
        <v>0</v>
      </c>
    </row>
    <row r="125" spans="1:5" x14ac:dyDescent="0.2">
      <c r="A125">
        <f t="shared" si="16"/>
        <v>3900000000</v>
      </c>
      <c r="B125">
        <f t="shared" si="13"/>
        <v>0</v>
      </c>
      <c r="C125">
        <f t="shared" si="14"/>
        <v>0</v>
      </c>
      <c r="D125">
        <f t="shared" si="18"/>
        <v>0</v>
      </c>
      <c r="E125">
        <f t="shared" si="17"/>
        <v>0</v>
      </c>
    </row>
    <row r="126" spans="1:5" x14ac:dyDescent="0.2">
      <c r="A126">
        <f t="shared" si="16"/>
        <v>4700000000</v>
      </c>
      <c r="B126">
        <f t="shared" si="13"/>
        <v>0</v>
      </c>
      <c r="C126">
        <f t="shared" si="14"/>
        <v>0</v>
      </c>
      <c r="D126">
        <f t="shared" si="18"/>
        <v>0</v>
      </c>
      <c r="E126">
        <f t="shared" si="17"/>
        <v>0</v>
      </c>
    </row>
    <row r="127" spans="1:5" x14ac:dyDescent="0.2">
      <c r="A127">
        <f t="shared" si="16"/>
        <v>5600000000</v>
      </c>
      <c r="B127">
        <f t="shared" si="13"/>
        <v>0</v>
      </c>
      <c r="C127">
        <f t="shared" si="14"/>
        <v>0</v>
      </c>
      <c r="D127">
        <f t="shared" si="18"/>
        <v>0</v>
      </c>
      <c r="E127">
        <f t="shared" si="17"/>
        <v>0</v>
      </c>
    </row>
    <row r="128" spans="1:5" x14ac:dyDescent="0.2">
      <c r="A128">
        <f t="shared" si="16"/>
        <v>6800000000</v>
      </c>
      <c r="B128">
        <f t="shared" si="13"/>
        <v>0</v>
      </c>
      <c r="C128">
        <f t="shared" si="14"/>
        <v>0</v>
      </c>
      <c r="D128">
        <f t="shared" si="18"/>
        <v>0</v>
      </c>
      <c r="E128">
        <f t="shared" si="17"/>
        <v>0</v>
      </c>
    </row>
    <row r="129" spans="1:5" x14ac:dyDescent="0.2">
      <c r="A129">
        <f t="shared" si="16"/>
        <v>8200000000</v>
      </c>
      <c r="B129">
        <f t="shared" si="13"/>
        <v>0</v>
      </c>
      <c r="C129">
        <f t="shared" si="14"/>
        <v>0</v>
      </c>
      <c r="D129">
        <f t="shared" si="18"/>
        <v>0</v>
      </c>
      <c r="E129">
        <f t="shared" si="17"/>
        <v>0</v>
      </c>
    </row>
    <row r="130" spans="1:5" x14ac:dyDescent="0.2">
      <c r="A130">
        <f t="shared" si="16"/>
        <v>10000000000</v>
      </c>
      <c r="B130">
        <f t="shared" si="13"/>
        <v>0</v>
      </c>
      <c r="C130">
        <f t="shared" si="14"/>
        <v>0</v>
      </c>
      <c r="D130">
        <f t="shared" si="18"/>
        <v>0</v>
      </c>
      <c r="E130">
        <f t="shared" si="17"/>
        <v>0</v>
      </c>
    </row>
    <row r="131" spans="1:5" x14ac:dyDescent="0.2">
      <c r="A131">
        <f t="shared" si="16"/>
        <v>12000000000</v>
      </c>
      <c r="B131">
        <f t="shared" si="13"/>
        <v>0</v>
      </c>
      <c r="C131">
        <f t="shared" si="14"/>
        <v>0</v>
      </c>
      <c r="D131">
        <f t="shared" si="18"/>
        <v>0</v>
      </c>
      <c r="E131">
        <f t="shared" si="17"/>
        <v>0</v>
      </c>
    </row>
    <row r="132" spans="1:5" x14ac:dyDescent="0.2">
      <c r="A132">
        <f t="shared" si="16"/>
        <v>15000000000</v>
      </c>
      <c r="B132">
        <f t="shared" si="13"/>
        <v>0</v>
      </c>
      <c r="C132">
        <f t="shared" si="14"/>
        <v>0</v>
      </c>
      <c r="D132">
        <f t="shared" si="18"/>
        <v>0</v>
      </c>
      <c r="E132">
        <f t="shared" si="17"/>
        <v>0</v>
      </c>
    </row>
    <row r="133" spans="1:5" x14ac:dyDescent="0.2">
      <c r="A133">
        <f t="shared" si="16"/>
        <v>18000000000</v>
      </c>
      <c r="B133">
        <f t="shared" si="13"/>
        <v>0</v>
      </c>
      <c r="C133">
        <f t="shared" si="14"/>
        <v>0</v>
      </c>
      <c r="D133">
        <f t="shared" si="18"/>
        <v>0</v>
      </c>
      <c r="E133">
        <f t="shared" si="17"/>
        <v>0</v>
      </c>
    </row>
    <row r="134" spans="1:5" x14ac:dyDescent="0.2">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
      <c r="A136">
        <f t="shared" si="16"/>
        <v>33000000000</v>
      </c>
      <c r="B136">
        <f t="shared" si="21"/>
        <v>0</v>
      </c>
      <c r="C136">
        <f t="shared" si="19"/>
        <v>0</v>
      </c>
      <c r="D136">
        <f t="shared" si="19"/>
        <v>0</v>
      </c>
      <c r="E136">
        <f t="shared" si="20"/>
        <v>0</v>
      </c>
    </row>
    <row r="137" spans="1:5" x14ac:dyDescent="0.2">
      <c r="A137">
        <f t="shared" si="16"/>
        <v>39000000000</v>
      </c>
      <c r="B137">
        <f t="shared" si="21"/>
        <v>0</v>
      </c>
      <c r="C137">
        <f t="shared" si="19"/>
        <v>0</v>
      </c>
      <c r="D137">
        <f t="shared" si="19"/>
        <v>0</v>
      </c>
      <c r="E137">
        <f t="shared" si="20"/>
        <v>0</v>
      </c>
    </row>
    <row r="138" spans="1:5" x14ac:dyDescent="0.2">
      <c r="A138">
        <f t="shared" si="16"/>
        <v>47000000000</v>
      </c>
      <c r="B138">
        <f t="shared" si="21"/>
        <v>0</v>
      </c>
      <c r="C138">
        <f t="shared" si="19"/>
        <v>0</v>
      </c>
      <c r="D138">
        <f t="shared" si="19"/>
        <v>0</v>
      </c>
      <c r="E138">
        <f t="shared" si="20"/>
        <v>0</v>
      </c>
    </row>
    <row r="139" spans="1:5" x14ac:dyDescent="0.2">
      <c r="A139">
        <f t="shared" si="16"/>
        <v>56000000000</v>
      </c>
      <c r="B139">
        <f t="shared" si="21"/>
        <v>0</v>
      </c>
      <c r="C139">
        <f t="shared" si="19"/>
        <v>0</v>
      </c>
      <c r="D139">
        <f t="shared" si="19"/>
        <v>0</v>
      </c>
      <c r="E139">
        <f t="shared" si="20"/>
        <v>0</v>
      </c>
    </row>
    <row r="140" spans="1:5" x14ac:dyDescent="0.2">
      <c r="A140">
        <f t="shared" si="16"/>
        <v>68000000000</v>
      </c>
      <c r="B140">
        <f t="shared" si="21"/>
        <v>0</v>
      </c>
      <c r="C140">
        <f t="shared" si="19"/>
        <v>0</v>
      </c>
      <c r="D140">
        <f t="shared" si="19"/>
        <v>0</v>
      </c>
      <c r="E140">
        <f t="shared" si="20"/>
        <v>0</v>
      </c>
    </row>
    <row r="141" spans="1:5" x14ac:dyDescent="0.2">
      <c r="A141">
        <f t="shared" si="16"/>
        <v>82000000000</v>
      </c>
      <c r="B141">
        <f t="shared" si="21"/>
        <v>0</v>
      </c>
      <c r="C141">
        <f t="shared" si="19"/>
        <v>0</v>
      </c>
      <c r="D141">
        <f t="shared" si="19"/>
        <v>0</v>
      </c>
      <c r="E141">
        <f t="shared" si="20"/>
        <v>0</v>
      </c>
    </row>
    <row r="142" spans="1:5" x14ac:dyDescent="0.2">
      <c r="A142">
        <f t="shared" si="16"/>
        <v>100000000000</v>
      </c>
      <c r="B142">
        <f t="shared" si="21"/>
        <v>0</v>
      </c>
      <c r="C142">
        <f t="shared" si="19"/>
        <v>0</v>
      </c>
      <c r="D142">
        <f t="shared" si="19"/>
        <v>0</v>
      </c>
      <c r="E142">
        <f t="shared" si="20"/>
        <v>0</v>
      </c>
    </row>
    <row r="143" spans="1:5" x14ac:dyDescent="0.2">
      <c r="A143">
        <f t="shared" si="16"/>
        <v>120000000000</v>
      </c>
      <c r="B143">
        <f t="shared" si="21"/>
        <v>0</v>
      </c>
      <c r="C143">
        <f t="shared" si="19"/>
        <v>0</v>
      </c>
      <c r="D143">
        <f t="shared" si="19"/>
        <v>0</v>
      </c>
      <c r="E143">
        <f t="shared" si="20"/>
        <v>0</v>
      </c>
    </row>
    <row r="144" spans="1:5" x14ac:dyDescent="0.2">
      <c r="A144">
        <f t="shared" si="16"/>
        <v>150000000000</v>
      </c>
      <c r="B144">
        <f t="shared" si="21"/>
        <v>0</v>
      </c>
      <c r="C144">
        <f t="shared" si="19"/>
        <v>0</v>
      </c>
      <c r="D144">
        <f t="shared" si="19"/>
        <v>0</v>
      </c>
      <c r="E144">
        <f t="shared" si="20"/>
        <v>0</v>
      </c>
    </row>
    <row r="145" spans="1:5" x14ac:dyDescent="0.2">
      <c r="A145">
        <f t="shared" si="16"/>
        <v>180000000000</v>
      </c>
      <c r="B145">
        <f t="shared" si="21"/>
        <v>0</v>
      </c>
      <c r="C145">
        <f t="shared" si="19"/>
        <v>0</v>
      </c>
      <c r="D145">
        <f t="shared" si="19"/>
        <v>0</v>
      </c>
      <c r="E145">
        <f t="shared" si="20"/>
        <v>0</v>
      </c>
    </row>
    <row r="146" spans="1:5" x14ac:dyDescent="0.2">
      <c r="A146">
        <f t="shared" si="16"/>
        <v>220000000000</v>
      </c>
      <c r="B146">
        <f t="shared" si="21"/>
        <v>0</v>
      </c>
      <c r="C146">
        <f t="shared" si="19"/>
        <v>0</v>
      </c>
      <c r="D146">
        <f t="shared" si="19"/>
        <v>0</v>
      </c>
      <c r="E146">
        <f t="shared" si="20"/>
        <v>0</v>
      </c>
    </row>
    <row r="147" spans="1:5" x14ac:dyDescent="0.2">
      <c r="A147">
        <f t="shared" si="16"/>
        <v>270000000000</v>
      </c>
      <c r="B147">
        <f t="shared" si="21"/>
        <v>0</v>
      </c>
      <c r="C147">
        <f t="shared" si="19"/>
        <v>0</v>
      </c>
      <c r="D147">
        <f t="shared" si="19"/>
        <v>0</v>
      </c>
      <c r="E147">
        <f t="shared" si="20"/>
        <v>0</v>
      </c>
    </row>
    <row r="148" spans="1:5" x14ac:dyDescent="0.2">
      <c r="A148">
        <f t="shared" si="16"/>
        <v>330000000000</v>
      </c>
      <c r="B148">
        <f t="shared" si="21"/>
        <v>0</v>
      </c>
      <c r="C148">
        <f t="shared" si="19"/>
        <v>0</v>
      </c>
      <c r="D148">
        <f t="shared" si="19"/>
        <v>0</v>
      </c>
      <c r="E148">
        <f t="shared" si="20"/>
        <v>0</v>
      </c>
    </row>
    <row r="149" spans="1:5" x14ac:dyDescent="0.2">
      <c r="A149">
        <f t="shared" si="16"/>
        <v>390000000000</v>
      </c>
      <c r="B149">
        <f t="shared" si="21"/>
        <v>0</v>
      </c>
      <c r="C149">
        <f t="shared" si="19"/>
        <v>0</v>
      </c>
      <c r="D149">
        <f t="shared" si="19"/>
        <v>0</v>
      </c>
      <c r="E149">
        <f t="shared" si="20"/>
        <v>0</v>
      </c>
    </row>
    <row r="150" spans="1:5" x14ac:dyDescent="0.2">
      <c r="A150">
        <f t="shared" si="16"/>
        <v>470000000000</v>
      </c>
      <c r="B150">
        <f t="shared" si="21"/>
        <v>0</v>
      </c>
      <c r="C150">
        <f t="shared" si="19"/>
        <v>0</v>
      </c>
      <c r="D150">
        <f t="shared" si="19"/>
        <v>0</v>
      </c>
      <c r="E150">
        <f t="shared" si="20"/>
        <v>0</v>
      </c>
    </row>
    <row r="151" spans="1:5" x14ac:dyDescent="0.2">
      <c r="A151">
        <f t="shared" si="16"/>
        <v>560000000000</v>
      </c>
      <c r="B151">
        <f t="shared" si="21"/>
        <v>0</v>
      </c>
      <c r="C151">
        <f t="shared" si="19"/>
        <v>0</v>
      </c>
      <c r="D151">
        <f t="shared" si="19"/>
        <v>0</v>
      </c>
      <c r="E151">
        <f t="shared" si="20"/>
        <v>0</v>
      </c>
    </row>
    <row r="152" spans="1:5" x14ac:dyDescent="0.2">
      <c r="A152">
        <f t="shared" si="16"/>
        <v>680000000000</v>
      </c>
      <c r="B152">
        <f t="shared" si="21"/>
        <v>0</v>
      </c>
      <c r="C152">
        <f t="shared" si="19"/>
        <v>0</v>
      </c>
      <c r="D152">
        <f t="shared" si="19"/>
        <v>0</v>
      </c>
      <c r="E152">
        <f t="shared" si="20"/>
        <v>0</v>
      </c>
    </row>
    <row r="153" spans="1:5" x14ac:dyDescent="0.2">
      <c r="A153">
        <f t="shared" si="16"/>
        <v>820000000000</v>
      </c>
      <c r="B153">
        <f t="shared" si="21"/>
        <v>0</v>
      </c>
      <c r="C153">
        <f t="shared" si="19"/>
        <v>0</v>
      </c>
      <c r="D153">
        <f t="shared" si="19"/>
        <v>0</v>
      </c>
      <c r="E153">
        <f t="shared" si="20"/>
        <v>0</v>
      </c>
    </row>
    <row r="154" spans="1:5" x14ac:dyDescent="0.2">
      <c r="A154">
        <f t="shared" si="16"/>
        <v>1000000000000</v>
      </c>
      <c r="B154">
        <f t="shared" si="21"/>
        <v>0</v>
      </c>
      <c r="C154">
        <f t="shared" si="19"/>
        <v>0</v>
      </c>
      <c r="D154">
        <f t="shared" si="19"/>
        <v>0</v>
      </c>
      <c r="E154">
        <f t="shared" si="20"/>
        <v>0</v>
      </c>
    </row>
    <row r="155" spans="1:5" x14ac:dyDescent="0.2">
      <c r="A155">
        <f t="shared" si="16"/>
        <v>1200000000000</v>
      </c>
      <c r="B155">
        <f t="shared" si="21"/>
        <v>0</v>
      </c>
      <c r="C155">
        <f t="shared" si="19"/>
        <v>0</v>
      </c>
      <c r="D155">
        <f t="shared" si="19"/>
        <v>0</v>
      </c>
      <c r="E155">
        <f t="shared" si="20"/>
        <v>0</v>
      </c>
    </row>
    <row r="156" spans="1:5" x14ac:dyDescent="0.2">
      <c r="A156">
        <f t="shared" si="16"/>
        <v>1500000000000</v>
      </c>
      <c r="B156">
        <f t="shared" si="21"/>
        <v>0</v>
      </c>
      <c r="C156">
        <f t="shared" si="19"/>
        <v>0</v>
      </c>
      <c r="D156">
        <f t="shared" si="19"/>
        <v>0</v>
      </c>
      <c r="E156">
        <f t="shared" si="20"/>
        <v>0</v>
      </c>
    </row>
    <row r="157" spans="1:5" x14ac:dyDescent="0.2">
      <c r="A157">
        <f t="shared" si="16"/>
        <v>1800000000000</v>
      </c>
      <c r="B157">
        <f t="shared" si="21"/>
        <v>0</v>
      </c>
      <c r="C157">
        <f t="shared" si="19"/>
        <v>0</v>
      </c>
      <c r="D157">
        <f t="shared" si="19"/>
        <v>0</v>
      </c>
      <c r="E157">
        <f t="shared" si="20"/>
        <v>0</v>
      </c>
    </row>
    <row r="158" spans="1:5" x14ac:dyDescent="0.2">
      <c r="A158">
        <f t="shared" si="16"/>
        <v>2200000000000</v>
      </c>
      <c r="B158">
        <f t="shared" si="21"/>
        <v>0</v>
      </c>
      <c r="C158">
        <f t="shared" si="19"/>
        <v>0</v>
      </c>
      <c r="D158">
        <f t="shared" si="19"/>
        <v>0</v>
      </c>
      <c r="E158">
        <f t="shared" si="20"/>
        <v>0</v>
      </c>
    </row>
    <row r="159" spans="1:5" x14ac:dyDescent="0.2">
      <c r="A159" s="15">
        <f t="shared" si="16"/>
        <v>2700000000000</v>
      </c>
      <c r="B159">
        <f t="shared" si="21"/>
        <v>2700000000000</v>
      </c>
      <c r="C159">
        <f t="shared" si="19"/>
        <v>0</v>
      </c>
      <c r="D159">
        <f t="shared" si="19"/>
        <v>0</v>
      </c>
      <c r="E159">
        <f t="shared" si="20"/>
        <v>2700000000000</v>
      </c>
    </row>
  </sheetData>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U55"/>
  <sheetViews>
    <sheetView topLeftCell="A4" zoomScale="115" zoomScaleNormal="115" workbookViewId="0">
      <selection activeCell="O47" sqref="O47"/>
    </sheetView>
  </sheetViews>
  <sheetFormatPr defaultRowHeight="12.75" x14ac:dyDescent="0.2"/>
  <cols>
    <col min="1" max="1" width="9.5703125" style="115" customWidth="1"/>
    <col min="2" max="2" width="11.42578125" style="115" customWidth="1"/>
    <col min="3" max="3" width="13.42578125" style="115" customWidth="1"/>
    <col min="4" max="4" width="20.28515625" style="115" customWidth="1"/>
    <col min="5" max="5" width="17.28515625" style="115" customWidth="1"/>
    <col min="6" max="6" width="13.5703125" style="115" customWidth="1"/>
    <col min="7" max="7" width="16.28515625" style="115" customWidth="1"/>
    <col min="8" max="8" width="18.28515625" style="115" customWidth="1"/>
    <col min="9" max="9" width="10.7109375" style="115" customWidth="1"/>
    <col min="10" max="10" width="15.7109375" style="115" customWidth="1"/>
    <col min="11" max="11" width="11.7109375" style="471" customWidth="1"/>
    <col min="12" max="12" width="7.7109375" style="470" customWidth="1"/>
    <col min="13" max="13" width="11.7109375" style="115" customWidth="1"/>
    <col min="14" max="254" width="9.28515625" style="115"/>
    <col min="255" max="255" width="8.7109375" style="115" bestFit="1" customWidth="1"/>
    <col min="256" max="256" width="13.28515625" style="115" customWidth="1"/>
    <col min="257" max="257" width="16.28515625" style="115" bestFit="1" customWidth="1"/>
    <col min="258" max="258" width="23.5703125" style="115" customWidth="1"/>
    <col min="259" max="259" width="17.28515625" style="115" customWidth="1"/>
    <col min="260" max="260" width="20.5703125" style="115" bestFit="1" customWidth="1"/>
    <col min="261" max="261" width="17.28515625" style="115" customWidth="1"/>
    <col min="262" max="262" width="21.7109375" style="115" bestFit="1" customWidth="1"/>
    <col min="263" max="263" width="17.28515625" style="115" bestFit="1" customWidth="1"/>
    <col min="264" max="264" width="18.28515625" style="115" bestFit="1" customWidth="1"/>
    <col min="265" max="265" width="26.42578125" style="115" customWidth="1"/>
    <col min="266" max="510" width="9.28515625" style="115"/>
    <col min="511" max="511" width="8.7109375" style="115" bestFit="1" customWidth="1"/>
    <col min="512" max="512" width="13.28515625" style="115" customWidth="1"/>
    <col min="513" max="513" width="16.28515625" style="115" bestFit="1" customWidth="1"/>
    <col min="514" max="514" width="23.5703125" style="115" customWidth="1"/>
    <col min="515" max="515" width="17.28515625" style="115" customWidth="1"/>
    <col min="516" max="516" width="20.5703125" style="115" bestFit="1" customWidth="1"/>
    <col min="517" max="517" width="17.28515625" style="115" customWidth="1"/>
    <col min="518" max="518" width="21.7109375" style="115" bestFit="1" customWidth="1"/>
    <col min="519" max="519" width="17.28515625" style="115" bestFit="1" customWidth="1"/>
    <col min="520" max="520" width="18.28515625" style="115" bestFit="1" customWidth="1"/>
    <col min="521" max="521" width="26.42578125" style="115" customWidth="1"/>
    <col min="522" max="766" width="9.28515625" style="115"/>
    <col min="767" max="767" width="8.7109375" style="115" bestFit="1" customWidth="1"/>
    <col min="768" max="768" width="13.28515625" style="115" customWidth="1"/>
    <col min="769" max="769" width="16.28515625" style="115" bestFit="1" customWidth="1"/>
    <col min="770" max="770" width="23.5703125" style="115" customWidth="1"/>
    <col min="771" max="771" width="17.28515625" style="115" customWidth="1"/>
    <col min="772" max="772" width="20.5703125" style="115" bestFit="1" customWidth="1"/>
    <col min="773" max="773" width="17.28515625" style="115" customWidth="1"/>
    <col min="774" max="774" width="21.7109375" style="115" bestFit="1" customWidth="1"/>
    <col min="775" max="775" width="17.28515625" style="115" bestFit="1" customWidth="1"/>
    <col min="776" max="776" width="18.28515625" style="115" bestFit="1" customWidth="1"/>
    <col min="777" max="777" width="26.42578125" style="115" customWidth="1"/>
    <col min="778" max="1022" width="9.28515625" style="115"/>
    <col min="1023" max="1023" width="8.7109375" style="115" bestFit="1" customWidth="1"/>
    <col min="1024" max="1024" width="13.28515625" style="115" customWidth="1"/>
    <col min="1025" max="1025" width="16.28515625" style="115" bestFit="1" customWidth="1"/>
    <col min="1026" max="1026" width="23.5703125" style="115" customWidth="1"/>
    <col min="1027" max="1027" width="17.28515625" style="115" customWidth="1"/>
    <col min="1028" max="1028" width="20.5703125" style="115" bestFit="1" customWidth="1"/>
    <col min="1029" max="1029" width="17.28515625" style="115" customWidth="1"/>
    <col min="1030" max="1030" width="21.7109375" style="115" bestFit="1" customWidth="1"/>
    <col min="1031" max="1031" width="17.28515625" style="115" bestFit="1" customWidth="1"/>
    <col min="1032" max="1032" width="18.28515625" style="115" bestFit="1" customWidth="1"/>
    <col min="1033" max="1033" width="26.42578125" style="115" customWidth="1"/>
    <col min="1034" max="1278" width="9.28515625" style="115"/>
    <col min="1279" max="1279" width="8.7109375" style="115" bestFit="1" customWidth="1"/>
    <col min="1280" max="1280" width="13.28515625" style="115" customWidth="1"/>
    <col min="1281" max="1281" width="16.28515625" style="115" bestFit="1" customWidth="1"/>
    <col min="1282" max="1282" width="23.5703125" style="115" customWidth="1"/>
    <col min="1283" max="1283" width="17.28515625" style="115" customWidth="1"/>
    <col min="1284" max="1284" width="20.5703125" style="115" bestFit="1" customWidth="1"/>
    <col min="1285" max="1285" width="17.28515625" style="115" customWidth="1"/>
    <col min="1286" max="1286" width="21.7109375" style="115" bestFit="1" customWidth="1"/>
    <col min="1287" max="1287" width="17.28515625" style="115" bestFit="1" customWidth="1"/>
    <col min="1288" max="1288" width="18.28515625" style="115" bestFit="1" customWidth="1"/>
    <col min="1289" max="1289" width="26.42578125" style="115" customWidth="1"/>
    <col min="1290" max="1534" width="9.28515625" style="115"/>
    <col min="1535" max="1535" width="8.7109375" style="115" bestFit="1" customWidth="1"/>
    <col min="1536" max="1536" width="13.28515625" style="115" customWidth="1"/>
    <col min="1537" max="1537" width="16.28515625" style="115" bestFit="1" customWidth="1"/>
    <col min="1538" max="1538" width="23.5703125" style="115" customWidth="1"/>
    <col min="1539" max="1539" width="17.28515625" style="115" customWidth="1"/>
    <col min="1540" max="1540" width="20.5703125" style="115" bestFit="1" customWidth="1"/>
    <col min="1541" max="1541" width="17.28515625" style="115" customWidth="1"/>
    <col min="1542" max="1542" width="21.7109375" style="115" bestFit="1" customWidth="1"/>
    <col min="1543" max="1543" width="17.28515625" style="115" bestFit="1" customWidth="1"/>
    <col min="1544" max="1544" width="18.28515625" style="115" bestFit="1" customWidth="1"/>
    <col min="1545" max="1545" width="26.42578125" style="115" customWidth="1"/>
    <col min="1546" max="1790" width="9.28515625" style="115"/>
    <col min="1791" max="1791" width="8.7109375" style="115" bestFit="1" customWidth="1"/>
    <col min="1792" max="1792" width="13.28515625" style="115" customWidth="1"/>
    <col min="1793" max="1793" width="16.28515625" style="115" bestFit="1" customWidth="1"/>
    <col min="1794" max="1794" width="23.5703125" style="115" customWidth="1"/>
    <col min="1795" max="1795" width="17.28515625" style="115" customWidth="1"/>
    <col min="1796" max="1796" width="20.5703125" style="115" bestFit="1" customWidth="1"/>
    <col min="1797" max="1797" width="17.28515625" style="115" customWidth="1"/>
    <col min="1798" max="1798" width="21.7109375" style="115" bestFit="1" customWidth="1"/>
    <col min="1799" max="1799" width="17.28515625" style="115" bestFit="1" customWidth="1"/>
    <col min="1800" max="1800" width="18.28515625" style="115" bestFit="1" customWidth="1"/>
    <col min="1801" max="1801" width="26.42578125" style="115" customWidth="1"/>
    <col min="1802" max="2046" width="9.28515625" style="115"/>
    <col min="2047" max="2047" width="8.7109375" style="115" bestFit="1" customWidth="1"/>
    <col min="2048" max="2048" width="13.28515625" style="115" customWidth="1"/>
    <col min="2049" max="2049" width="16.28515625" style="115" bestFit="1" customWidth="1"/>
    <col min="2050" max="2050" width="23.5703125" style="115" customWidth="1"/>
    <col min="2051" max="2051" width="17.28515625" style="115" customWidth="1"/>
    <col min="2052" max="2052" width="20.5703125" style="115" bestFit="1" customWidth="1"/>
    <col min="2053" max="2053" width="17.28515625" style="115" customWidth="1"/>
    <col min="2054" max="2054" width="21.7109375" style="115" bestFit="1" customWidth="1"/>
    <col min="2055" max="2055" width="17.28515625" style="115" bestFit="1" customWidth="1"/>
    <col min="2056" max="2056" width="18.28515625" style="115" bestFit="1" customWidth="1"/>
    <col min="2057" max="2057" width="26.42578125" style="115" customWidth="1"/>
    <col min="2058" max="2302" width="9.28515625" style="115"/>
    <col min="2303" max="2303" width="8.7109375" style="115" bestFit="1" customWidth="1"/>
    <col min="2304" max="2304" width="13.28515625" style="115" customWidth="1"/>
    <col min="2305" max="2305" width="16.28515625" style="115" bestFit="1" customWidth="1"/>
    <col min="2306" max="2306" width="23.5703125" style="115" customWidth="1"/>
    <col min="2307" max="2307" width="17.28515625" style="115" customWidth="1"/>
    <col min="2308" max="2308" width="20.5703125" style="115" bestFit="1" customWidth="1"/>
    <col min="2309" max="2309" width="17.28515625" style="115" customWidth="1"/>
    <col min="2310" max="2310" width="21.7109375" style="115" bestFit="1" customWidth="1"/>
    <col min="2311" max="2311" width="17.28515625" style="115" bestFit="1" customWidth="1"/>
    <col min="2312" max="2312" width="18.28515625" style="115" bestFit="1" customWidth="1"/>
    <col min="2313" max="2313" width="26.42578125" style="115" customWidth="1"/>
    <col min="2314" max="2558" width="9.28515625" style="115"/>
    <col min="2559" max="2559" width="8.7109375" style="115" bestFit="1" customWidth="1"/>
    <col min="2560" max="2560" width="13.28515625" style="115" customWidth="1"/>
    <col min="2561" max="2561" width="16.28515625" style="115" bestFit="1" customWidth="1"/>
    <col min="2562" max="2562" width="23.5703125" style="115" customWidth="1"/>
    <col min="2563" max="2563" width="17.28515625" style="115" customWidth="1"/>
    <col min="2564" max="2564" width="20.5703125" style="115" bestFit="1" customWidth="1"/>
    <col min="2565" max="2565" width="17.28515625" style="115" customWidth="1"/>
    <col min="2566" max="2566" width="21.7109375" style="115" bestFit="1" customWidth="1"/>
    <col min="2567" max="2567" width="17.28515625" style="115" bestFit="1" customWidth="1"/>
    <col min="2568" max="2568" width="18.28515625" style="115" bestFit="1" customWidth="1"/>
    <col min="2569" max="2569" width="26.42578125" style="115" customWidth="1"/>
    <col min="2570" max="2814" width="9.28515625" style="115"/>
    <col min="2815" max="2815" width="8.7109375" style="115" bestFit="1" customWidth="1"/>
    <col min="2816" max="2816" width="13.28515625" style="115" customWidth="1"/>
    <col min="2817" max="2817" width="16.28515625" style="115" bestFit="1" customWidth="1"/>
    <col min="2818" max="2818" width="23.5703125" style="115" customWidth="1"/>
    <col min="2819" max="2819" width="17.28515625" style="115" customWidth="1"/>
    <col min="2820" max="2820" width="20.5703125" style="115" bestFit="1" customWidth="1"/>
    <col min="2821" max="2821" width="17.28515625" style="115" customWidth="1"/>
    <col min="2822" max="2822" width="21.7109375" style="115" bestFit="1" customWidth="1"/>
    <col min="2823" max="2823" width="17.28515625" style="115" bestFit="1" customWidth="1"/>
    <col min="2824" max="2824" width="18.28515625" style="115" bestFit="1" customWidth="1"/>
    <col min="2825" max="2825" width="26.42578125" style="115" customWidth="1"/>
    <col min="2826" max="3070" width="9.28515625" style="115"/>
    <col min="3071" max="3071" width="8.7109375" style="115" bestFit="1" customWidth="1"/>
    <col min="3072" max="3072" width="13.28515625" style="115" customWidth="1"/>
    <col min="3073" max="3073" width="16.28515625" style="115" bestFit="1" customWidth="1"/>
    <col min="3074" max="3074" width="23.5703125" style="115" customWidth="1"/>
    <col min="3075" max="3075" width="17.28515625" style="115" customWidth="1"/>
    <col min="3076" max="3076" width="20.5703125" style="115" bestFit="1" customWidth="1"/>
    <col min="3077" max="3077" width="17.28515625" style="115" customWidth="1"/>
    <col min="3078" max="3078" width="21.7109375" style="115" bestFit="1" customWidth="1"/>
    <col min="3079" max="3079" width="17.28515625" style="115" bestFit="1" customWidth="1"/>
    <col min="3080" max="3080" width="18.28515625" style="115" bestFit="1" customWidth="1"/>
    <col min="3081" max="3081" width="26.42578125" style="115" customWidth="1"/>
    <col min="3082" max="3326" width="9.28515625" style="115"/>
    <col min="3327" max="3327" width="8.7109375" style="115" bestFit="1" customWidth="1"/>
    <col min="3328" max="3328" width="13.28515625" style="115" customWidth="1"/>
    <col min="3329" max="3329" width="16.28515625" style="115" bestFit="1" customWidth="1"/>
    <col min="3330" max="3330" width="23.5703125" style="115" customWidth="1"/>
    <col min="3331" max="3331" width="17.28515625" style="115" customWidth="1"/>
    <col min="3332" max="3332" width="20.5703125" style="115" bestFit="1" customWidth="1"/>
    <col min="3333" max="3333" width="17.28515625" style="115" customWidth="1"/>
    <col min="3334" max="3334" width="21.7109375" style="115" bestFit="1" customWidth="1"/>
    <col min="3335" max="3335" width="17.28515625" style="115" bestFit="1" customWidth="1"/>
    <col min="3336" max="3336" width="18.28515625" style="115" bestFit="1" customWidth="1"/>
    <col min="3337" max="3337" width="26.42578125" style="115" customWidth="1"/>
    <col min="3338" max="3582" width="9.28515625" style="115"/>
    <col min="3583" max="3583" width="8.7109375" style="115" bestFit="1" customWidth="1"/>
    <col min="3584" max="3584" width="13.28515625" style="115" customWidth="1"/>
    <col min="3585" max="3585" width="16.28515625" style="115" bestFit="1" customWidth="1"/>
    <col min="3586" max="3586" width="23.5703125" style="115" customWidth="1"/>
    <col min="3587" max="3587" width="17.28515625" style="115" customWidth="1"/>
    <col min="3588" max="3588" width="20.5703125" style="115" bestFit="1" customWidth="1"/>
    <col min="3589" max="3589" width="17.28515625" style="115" customWidth="1"/>
    <col min="3590" max="3590" width="21.7109375" style="115" bestFit="1" customWidth="1"/>
    <col min="3591" max="3591" width="17.28515625" style="115" bestFit="1" customWidth="1"/>
    <col min="3592" max="3592" width="18.28515625" style="115" bestFit="1" customWidth="1"/>
    <col min="3593" max="3593" width="26.42578125" style="115" customWidth="1"/>
    <col min="3594" max="3838" width="9.28515625" style="115"/>
    <col min="3839" max="3839" width="8.7109375" style="115" bestFit="1" customWidth="1"/>
    <col min="3840" max="3840" width="13.28515625" style="115" customWidth="1"/>
    <col min="3841" max="3841" width="16.28515625" style="115" bestFit="1" customWidth="1"/>
    <col min="3842" max="3842" width="23.5703125" style="115" customWidth="1"/>
    <col min="3843" max="3843" width="17.28515625" style="115" customWidth="1"/>
    <col min="3844" max="3844" width="20.5703125" style="115" bestFit="1" customWidth="1"/>
    <col min="3845" max="3845" width="17.28515625" style="115" customWidth="1"/>
    <col min="3846" max="3846" width="21.7109375" style="115" bestFit="1" customWidth="1"/>
    <col min="3847" max="3847" width="17.28515625" style="115" bestFit="1" customWidth="1"/>
    <col min="3848" max="3848" width="18.28515625" style="115" bestFit="1" customWidth="1"/>
    <col min="3849" max="3849" width="26.42578125" style="115" customWidth="1"/>
    <col min="3850" max="4094" width="9.28515625" style="115"/>
    <col min="4095" max="4095" width="8.7109375" style="115" bestFit="1" customWidth="1"/>
    <col min="4096" max="4096" width="13.28515625" style="115" customWidth="1"/>
    <col min="4097" max="4097" width="16.28515625" style="115" bestFit="1" customWidth="1"/>
    <col min="4098" max="4098" width="23.5703125" style="115" customWidth="1"/>
    <col min="4099" max="4099" width="17.28515625" style="115" customWidth="1"/>
    <col min="4100" max="4100" width="20.5703125" style="115" bestFit="1" customWidth="1"/>
    <col min="4101" max="4101" width="17.28515625" style="115" customWidth="1"/>
    <col min="4102" max="4102" width="21.7109375" style="115" bestFit="1" customWidth="1"/>
    <col min="4103" max="4103" width="17.28515625" style="115" bestFit="1" customWidth="1"/>
    <col min="4104" max="4104" width="18.28515625" style="115" bestFit="1" customWidth="1"/>
    <col min="4105" max="4105" width="26.42578125" style="115" customWidth="1"/>
    <col min="4106" max="4350" width="9.28515625" style="115"/>
    <col min="4351" max="4351" width="8.7109375" style="115" bestFit="1" customWidth="1"/>
    <col min="4352" max="4352" width="13.28515625" style="115" customWidth="1"/>
    <col min="4353" max="4353" width="16.28515625" style="115" bestFit="1" customWidth="1"/>
    <col min="4354" max="4354" width="23.5703125" style="115" customWidth="1"/>
    <col min="4355" max="4355" width="17.28515625" style="115" customWidth="1"/>
    <col min="4356" max="4356" width="20.5703125" style="115" bestFit="1" customWidth="1"/>
    <col min="4357" max="4357" width="17.28515625" style="115" customWidth="1"/>
    <col min="4358" max="4358" width="21.7109375" style="115" bestFit="1" customWidth="1"/>
    <col min="4359" max="4359" width="17.28515625" style="115" bestFit="1" customWidth="1"/>
    <col min="4360" max="4360" width="18.28515625" style="115" bestFit="1" customWidth="1"/>
    <col min="4361" max="4361" width="26.42578125" style="115" customWidth="1"/>
    <col min="4362" max="4606" width="9.28515625" style="115"/>
    <col min="4607" max="4607" width="8.7109375" style="115" bestFit="1" customWidth="1"/>
    <col min="4608" max="4608" width="13.28515625" style="115" customWidth="1"/>
    <col min="4609" max="4609" width="16.28515625" style="115" bestFit="1" customWidth="1"/>
    <col min="4610" max="4610" width="23.5703125" style="115" customWidth="1"/>
    <col min="4611" max="4611" width="17.28515625" style="115" customWidth="1"/>
    <col min="4612" max="4612" width="20.5703125" style="115" bestFit="1" customWidth="1"/>
    <col min="4613" max="4613" width="17.28515625" style="115" customWidth="1"/>
    <col min="4614" max="4614" width="21.7109375" style="115" bestFit="1" customWidth="1"/>
    <col min="4615" max="4615" width="17.28515625" style="115" bestFit="1" customWidth="1"/>
    <col min="4616" max="4616" width="18.28515625" style="115" bestFit="1" customWidth="1"/>
    <col min="4617" max="4617" width="26.42578125" style="115" customWidth="1"/>
    <col min="4618" max="4862" width="9.28515625" style="115"/>
    <col min="4863" max="4863" width="8.7109375" style="115" bestFit="1" customWidth="1"/>
    <col min="4864" max="4864" width="13.28515625" style="115" customWidth="1"/>
    <col min="4865" max="4865" width="16.28515625" style="115" bestFit="1" customWidth="1"/>
    <col min="4866" max="4866" width="23.5703125" style="115" customWidth="1"/>
    <col min="4867" max="4867" width="17.28515625" style="115" customWidth="1"/>
    <col min="4868" max="4868" width="20.5703125" style="115" bestFit="1" customWidth="1"/>
    <col min="4869" max="4869" width="17.28515625" style="115" customWidth="1"/>
    <col min="4870" max="4870" width="21.7109375" style="115" bestFit="1" customWidth="1"/>
    <col min="4871" max="4871" width="17.28515625" style="115" bestFit="1" customWidth="1"/>
    <col min="4872" max="4872" width="18.28515625" style="115" bestFit="1" customWidth="1"/>
    <col min="4873" max="4873" width="26.42578125" style="115" customWidth="1"/>
    <col min="4874" max="5118" width="9.28515625" style="115"/>
    <col min="5119" max="5119" width="8.7109375" style="115" bestFit="1" customWidth="1"/>
    <col min="5120" max="5120" width="13.28515625" style="115" customWidth="1"/>
    <col min="5121" max="5121" width="16.28515625" style="115" bestFit="1" customWidth="1"/>
    <col min="5122" max="5122" width="23.5703125" style="115" customWidth="1"/>
    <col min="5123" max="5123" width="17.28515625" style="115" customWidth="1"/>
    <col min="5124" max="5124" width="20.5703125" style="115" bestFit="1" customWidth="1"/>
    <col min="5125" max="5125" width="17.28515625" style="115" customWidth="1"/>
    <col min="5126" max="5126" width="21.7109375" style="115" bestFit="1" customWidth="1"/>
    <col min="5127" max="5127" width="17.28515625" style="115" bestFit="1" customWidth="1"/>
    <col min="5128" max="5128" width="18.28515625" style="115" bestFit="1" customWidth="1"/>
    <col min="5129" max="5129" width="26.42578125" style="115" customWidth="1"/>
    <col min="5130" max="5374" width="9.28515625" style="115"/>
    <col min="5375" max="5375" width="8.7109375" style="115" bestFit="1" customWidth="1"/>
    <col min="5376" max="5376" width="13.28515625" style="115" customWidth="1"/>
    <col min="5377" max="5377" width="16.28515625" style="115" bestFit="1" customWidth="1"/>
    <col min="5378" max="5378" width="23.5703125" style="115" customWidth="1"/>
    <col min="5379" max="5379" width="17.28515625" style="115" customWidth="1"/>
    <col min="5380" max="5380" width="20.5703125" style="115" bestFit="1" customWidth="1"/>
    <col min="5381" max="5381" width="17.28515625" style="115" customWidth="1"/>
    <col min="5382" max="5382" width="21.7109375" style="115" bestFit="1" customWidth="1"/>
    <col min="5383" max="5383" width="17.28515625" style="115" bestFit="1" customWidth="1"/>
    <col min="5384" max="5384" width="18.28515625" style="115" bestFit="1" customWidth="1"/>
    <col min="5385" max="5385" width="26.42578125" style="115" customWidth="1"/>
    <col min="5386" max="5630" width="9.28515625" style="115"/>
    <col min="5631" max="5631" width="8.7109375" style="115" bestFit="1" customWidth="1"/>
    <col min="5632" max="5632" width="13.28515625" style="115" customWidth="1"/>
    <col min="5633" max="5633" width="16.28515625" style="115" bestFit="1" customWidth="1"/>
    <col min="5634" max="5634" width="23.5703125" style="115" customWidth="1"/>
    <col min="5635" max="5635" width="17.28515625" style="115" customWidth="1"/>
    <col min="5636" max="5636" width="20.5703125" style="115" bestFit="1" customWidth="1"/>
    <col min="5637" max="5637" width="17.28515625" style="115" customWidth="1"/>
    <col min="5638" max="5638" width="21.7109375" style="115" bestFit="1" customWidth="1"/>
    <col min="5639" max="5639" width="17.28515625" style="115" bestFit="1" customWidth="1"/>
    <col min="5640" max="5640" width="18.28515625" style="115" bestFit="1" customWidth="1"/>
    <col min="5641" max="5641" width="26.42578125" style="115" customWidth="1"/>
    <col min="5642" max="5886" width="9.28515625" style="115"/>
    <col min="5887" max="5887" width="8.7109375" style="115" bestFit="1" customWidth="1"/>
    <col min="5888" max="5888" width="13.28515625" style="115" customWidth="1"/>
    <col min="5889" max="5889" width="16.28515625" style="115" bestFit="1" customWidth="1"/>
    <col min="5890" max="5890" width="23.5703125" style="115" customWidth="1"/>
    <col min="5891" max="5891" width="17.28515625" style="115" customWidth="1"/>
    <col min="5892" max="5892" width="20.5703125" style="115" bestFit="1" customWidth="1"/>
    <col min="5893" max="5893" width="17.28515625" style="115" customWidth="1"/>
    <col min="5894" max="5894" width="21.7109375" style="115" bestFit="1" customWidth="1"/>
    <col min="5895" max="5895" width="17.28515625" style="115" bestFit="1" customWidth="1"/>
    <col min="5896" max="5896" width="18.28515625" style="115" bestFit="1" customWidth="1"/>
    <col min="5897" max="5897" width="26.42578125" style="115" customWidth="1"/>
    <col min="5898" max="6142" width="9.28515625" style="115"/>
    <col min="6143" max="6143" width="8.7109375" style="115" bestFit="1" customWidth="1"/>
    <col min="6144" max="6144" width="13.28515625" style="115" customWidth="1"/>
    <col min="6145" max="6145" width="16.28515625" style="115" bestFit="1" customWidth="1"/>
    <col min="6146" max="6146" width="23.5703125" style="115" customWidth="1"/>
    <col min="6147" max="6147" width="17.28515625" style="115" customWidth="1"/>
    <col min="6148" max="6148" width="20.5703125" style="115" bestFit="1" customWidth="1"/>
    <col min="6149" max="6149" width="17.28515625" style="115" customWidth="1"/>
    <col min="6150" max="6150" width="21.7109375" style="115" bestFit="1" customWidth="1"/>
    <col min="6151" max="6151" width="17.28515625" style="115" bestFit="1" customWidth="1"/>
    <col min="6152" max="6152" width="18.28515625" style="115" bestFit="1" customWidth="1"/>
    <col min="6153" max="6153" width="26.42578125" style="115" customWidth="1"/>
    <col min="6154" max="6398" width="9.28515625" style="115"/>
    <col min="6399" max="6399" width="8.7109375" style="115" bestFit="1" customWidth="1"/>
    <col min="6400" max="6400" width="13.28515625" style="115" customWidth="1"/>
    <col min="6401" max="6401" width="16.28515625" style="115" bestFit="1" customWidth="1"/>
    <col min="6402" max="6402" width="23.5703125" style="115" customWidth="1"/>
    <col min="6403" max="6403" width="17.28515625" style="115" customWidth="1"/>
    <col min="6404" max="6404" width="20.5703125" style="115" bestFit="1" customWidth="1"/>
    <col min="6405" max="6405" width="17.28515625" style="115" customWidth="1"/>
    <col min="6406" max="6406" width="21.7109375" style="115" bestFit="1" customWidth="1"/>
    <col min="6407" max="6407" width="17.28515625" style="115" bestFit="1" customWidth="1"/>
    <col min="6408" max="6408" width="18.28515625" style="115" bestFit="1" customWidth="1"/>
    <col min="6409" max="6409" width="26.42578125" style="115" customWidth="1"/>
    <col min="6410" max="6654" width="9.28515625" style="115"/>
    <col min="6655" max="6655" width="8.7109375" style="115" bestFit="1" customWidth="1"/>
    <col min="6656" max="6656" width="13.28515625" style="115" customWidth="1"/>
    <col min="6657" max="6657" width="16.28515625" style="115" bestFit="1" customWidth="1"/>
    <col min="6658" max="6658" width="23.5703125" style="115" customWidth="1"/>
    <col min="6659" max="6659" width="17.28515625" style="115" customWidth="1"/>
    <col min="6660" max="6660" width="20.5703125" style="115" bestFit="1" customWidth="1"/>
    <col min="6661" max="6661" width="17.28515625" style="115" customWidth="1"/>
    <col min="6662" max="6662" width="21.7109375" style="115" bestFit="1" customWidth="1"/>
    <col min="6663" max="6663" width="17.28515625" style="115" bestFit="1" customWidth="1"/>
    <col min="6664" max="6664" width="18.28515625" style="115" bestFit="1" customWidth="1"/>
    <col min="6665" max="6665" width="26.42578125" style="115" customWidth="1"/>
    <col min="6666" max="6910" width="9.28515625" style="115"/>
    <col min="6911" max="6911" width="8.7109375" style="115" bestFit="1" customWidth="1"/>
    <col min="6912" max="6912" width="13.28515625" style="115" customWidth="1"/>
    <col min="6913" max="6913" width="16.28515625" style="115" bestFit="1" customWidth="1"/>
    <col min="6914" max="6914" width="23.5703125" style="115" customWidth="1"/>
    <col min="6915" max="6915" width="17.28515625" style="115" customWidth="1"/>
    <col min="6916" max="6916" width="20.5703125" style="115" bestFit="1" customWidth="1"/>
    <col min="6917" max="6917" width="17.28515625" style="115" customWidth="1"/>
    <col min="6918" max="6918" width="21.7109375" style="115" bestFit="1" customWidth="1"/>
    <col min="6919" max="6919" width="17.28515625" style="115" bestFit="1" customWidth="1"/>
    <col min="6920" max="6920" width="18.28515625" style="115" bestFit="1" customWidth="1"/>
    <col min="6921" max="6921" width="26.42578125" style="115" customWidth="1"/>
    <col min="6922" max="7166" width="9.28515625" style="115"/>
    <col min="7167" max="7167" width="8.7109375" style="115" bestFit="1" customWidth="1"/>
    <col min="7168" max="7168" width="13.28515625" style="115" customWidth="1"/>
    <col min="7169" max="7169" width="16.28515625" style="115" bestFit="1" customWidth="1"/>
    <col min="7170" max="7170" width="23.5703125" style="115" customWidth="1"/>
    <col min="7171" max="7171" width="17.28515625" style="115" customWidth="1"/>
    <col min="7172" max="7172" width="20.5703125" style="115" bestFit="1" customWidth="1"/>
    <col min="7173" max="7173" width="17.28515625" style="115" customWidth="1"/>
    <col min="7174" max="7174" width="21.7109375" style="115" bestFit="1" customWidth="1"/>
    <col min="7175" max="7175" width="17.28515625" style="115" bestFit="1" customWidth="1"/>
    <col min="7176" max="7176" width="18.28515625" style="115" bestFit="1" customWidth="1"/>
    <col min="7177" max="7177" width="26.42578125" style="115" customWidth="1"/>
    <col min="7178" max="7422" width="9.28515625" style="115"/>
    <col min="7423" max="7423" width="8.7109375" style="115" bestFit="1" customWidth="1"/>
    <col min="7424" max="7424" width="13.28515625" style="115" customWidth="1"/>
    <col min="7425" max="7425" width="16.28515625" style="115" bestFit="1" customWidth="1"/>
    <col min="7426" max="7426" width="23.5703125" style="115" customWidth="1"/>
    <col min="7427" max="7427" width="17.28515625" style="115" customWidth="1"/>
    <col min="7428" max="7428" width="20.5703125" style="115" bestFit="1" customWidth="1"/>
    <col min="7429" max="7429" width="17.28515625" style="115" customWidth="1"/>
    <col min="7430" max="7430" width="21.7109375" style="115" bestFit="1" customWidth="1"/>
    <col min="7431" max="7431" width="17.28515625" style="115" bestFit="1" customWidth="1"/>
    <col min="7432" max="7432" width="18.28515625" style="115" bestFit="1" customWidth="1"/>
    <col min="7433" max="7433" width="26.42578125" style="115" customWidth="1"/>
    <col min="7434" max="7678" width="9.28515625" style="115"/>
    <col min="7679" max="7679" width="8.7109375" style="115" bestFit="1" customWidth="1"/>
    <col min="7680" max="7680" width="13.28515625" style="115" customWidth="1"/>
    <col min="7681" max="7681" width="16.28515625" style="115" bestFit="1" customWidth="1"/>
    <col min="7682" max="7682" width="23.5703125" style="115" customWidth="1"/>
    <col min="7683" max="7683" width="17.28515625" style="115" customWidth="1"/>
    <col min="7684" max="7684" width="20.5703125" style="115" bestFit="1" customWidth="1"/>
    <col min="7685" max="7685" width="17.28515625" style="115" customWidth="1"/>
    <col min="7686" max="7686" width="21.7109375" style="115" bestFit="1" customWidth="1"/>
    <col min="7687" max="7687" width="17.28515625" style="115" bestFit="1" customWidth="1"/>
    <col min="7688" max="7688" width="18.28515625" style="115" bestFit="1" customWidth="1"/>
    <col min="7689" max="7689" width="26.42578125" style="115" customWidth="1"/>
    <col min="7690" max="7934" width="9.28515625" style="115"/>
    <col min="7935" max="7935" width="8.7109375" style="115" bestFit="1" customWidth="1"/>
    <col min="7936" max="7936" width="13.28515625" style="115" customWidth="1"/>
    <col min="7937" max="7937" width="16.28515625" style="115" bestFit="1" customWidth="1"/>
    <col min="7938" max="7938" width="23.5703125" style="115" customWidth="1"/>
    <col min="7939" max="7939" width="17.28515625" style="115" customWidth="1"/>
    <col min="7940" max="7940" width="20.5703125" style="115" bestFit="1" customWidth="1"/>
    <col min="7941" max="7941" width="17.28515625" style="115" customWidth="1"/>
    <col min="7942" max="7942" width="21.7109375" style="115" bestFit="1" customWidth="1"/>
    <col min="7943" max="7943" width="17.28515625" style="115" bestFit="1" customWidth="1"/>
    <col min="7944" max="7944" width="18.28515625" style="115" bestFit="1" customWidth="1"/>
    <col min="7945" max="7945" width="26.42578125" style="115" customWidth="1"/>
    <col min="7946" max="8190" width="9.28515625" style="115"/>
    <col min="8191" max="8191" width="8.7109375" style="115" bestFit="1" customWidth="1"/>
    <col min="8192" max="8192" width="13.28515625" style="115" customWidth="1"/>
    <col min="8193" max="8193" width="16.28515625" style="115" bestFit="1" customWidth="1"/>
    <col min="8194" max="8194" width="23.5703125" style="115" customWidth="1"/>
    <col min="8195" max="8195" width="17.28515625" style="115" customWidth="1"/>
    <col min="8196" max="8196" width="20.5703125" style="115" bestFit="1" customWidth="1"/>
    <col min="8197" max="8197" width="17.28515625" style="115" customWidth="1"/>
    <col min="8198" max="8198" width="21.7109375" style="115" bestFit="1" customWidth="1"/>
    <col min="8199" max="8199" width="17.28515625" style="115" bestFit="1" customWidth="1"/>
    <col min="8200" max="8200" width="18.28515625" style="115" bestFit="1" customWidth="1"/>
    <col min="8201" max="8201" width="26.42578125" style="115" customWidth="1"/>
    <col min="8202" max="8446" width="9.28515625" style="115"/>
    <col min="8447" max="8447" width="8.7109375" style="115" bestFit="1" customWidth="1"/>
    <col min="8448" max="8448" width="13.28515625" style="115" customWidth="1"/>
    <col min="8449" max="8449" width="16.28515625" style="115" bestFit="1" customWidth="1"/>
    <col min="8450" max="8450" width="23.5703125" style="115" customWidth="1"/>
    <col min="8451" max="8451" width="17.28515625" style="115" customWidth="1"/>
    <col min="8452" max="8452" width="20.5703125" style="115" bestFit="1" customWidth="1"/>
    <col min="8453" max="8453" width="17.28515625" style="115" customWidth="1"/>
    <col min="8454" max="8454" width="21.7109375" style="115" bestFit="1" customWidth="1"/>
    <col min="8455" max="8455" width="17.28515625" style="115" bestFit="1" customWidth="1"/>
    <col min="8456" max="8456" width="18.28515625" style="115" bestFit="1" customWidth="1"/>
    <col min="8457" max="8457" width="26.42578125" style="115" customWidth="1"/>
    <col min="8458" max="8702" width="9.28515625" style="115"/>
    <col min="8703" max="8703" width="8.7109375" style="115" bestFit="1" customWidth="1"/>
    <col min="8704" max="8704" width="13.28515625" style="115" customWidth="1"/>
    <col min="8705" max="8705" width="16.28515625" style="115" bestFit="1" customWidth="1"/>
    <col min="8706" max="8706" width="23.5703125" style="115" customWidth="1"/>
    <col min="8707" max="8707" width="17.28515625" style="115" customWidth="1"/>
    <col min="8708" max="8708" width="20.5703125" style="115" bestFit="1" customWidth="1"/>
    <col min="8709" max="8709" width="17.28515625" style="115" customWidth="1"/>
    <col min="8710" max="8710" width="21.7109375" style="115" bestFit="1" customWidth="1"/>
    <col min="8711" max="8711" width="17.28515625" style="115" bestFit="1" customWidth="1"/>
    <col min="8712" max="8712" width="18.28515625" style="115" bestFit="1" customWidth="1"/>
    <col min="8713" max="8713" width="26.42578125" style="115" customWidth="1"/>
    <col min="8714" max="8958" width="9.28515625" style="115"/>
    <col min="8959" max="8959" width="8.7109375" style="115" bestFit="1" customWidth="1"/>
    <col min="8960" max="8960" width="13.28515625" style="115" customWidth="1"/>
    <col min="8961" max="8961" width="16.28515625" style="115" bestFit="1" customWidth="1"/>
    <col min="8962" max="8962" width="23.5703125" style="115" customWidth="1"/>
    <col min="8963" max="8963" width="17.28515625" style="115" customWidth="1"/>
    <col min="8964" max="8964" width="20.5703125" style="115" bestFit="1" customWidth="1"/>
    <col min="8965" max="8965" width="17.28515625" style="115" customWidth="1"/>
    <col min="8966" max="8966" width="21.7109375" style="115" bestFit="1" customWidth="1"/>
    <col min="8967" max="8967" width="17.28515625" style="115" bestFit="1" customWidth="1"/>
    <col min="8968" max="8968" width="18.28515625" style="115" bestFit="1" customWidth="1"/>
    <col min="8969" max="8969" width="26.42578125" style="115" customWidth="1"/>
    <col min="8970" max="9214" width="9.28515625" style="115"/>
    <col min="9215" max="9215" width="8.7109375" style="115" bestFit="1" customWidth="1"/>
    <col min="9216" max="9216" width="13.28515625" style="115" customWidth="1"/>
    <col min="9217" max="9217" width="16.28515625" style="115" bestFit="1" customWidth="1"/>
    <col min="9218" max="9218" width="23.5703125" style="115" customWidth="1"/>
    <col min="9219" max="9219" width="17.28515625" style="115" customWidth="1"/>
    <col min="9220" max="9220" width="20.5703125" style="115" bestFit="1" customWidth="1"/>
    <col min="9221" max="9221" width="17.28515625" style="115" customWidth="1"/>
    <col min="9222" max="9222" width="21.7109375" style="115" bestFit="1" customWidth="1"/>
    <col min="9223" max="9223" width="17.28515625" style="115" bestFit="1" customWidth="1"/>
    <col min="9224" max="9224" width="18.28515625" style="115" bestFit="1" customWidth="1"/>
    <col min="9225" max="9225" width="26.42578125" style="115" customWidth="1"/>
    <col min="9226" max="9470" width="9.28515625" style="115"/>
    <col min="9471" max="9471" width="8.7109375" style="115" bestFit="1" customWidth="1"/>
    <col min="9472" max="9472" width="13.28515625" style="115" customWidth="1"/>
    <col min="9473" max="9473" width="16.28515625" style="115" bestFit="1" customWidth="1"/>
    <col min="9474" max="9474" width="23.5703125" style="115" customWidth="1"/>
    <col min="9475" max="9475" width="17.28515625" style="115" customWidth="1"/>
    <col min="9476" max="9476" width="20.5703125" style="115" bestFit="1" customWidth="1"/>
    <col min="9477" max="9477" width="17.28515625" style="115" customWidth="1"/>
    <col min="9478" max="9478" width="21.7109375" style="115" bestFit="1" customWidth="1"/>
    <col min="9479" max="9479" width="17.28515625" style="115" bestFit="1" customWidth="1"/>
    <col min="9480" max="9480" width="18.28515625" style="115" bestFit="1" customWidth="1"/>
    <col min="9481" max="9481" width="26.42578125" style="115" customWidth="1"/>
    <col min="9482" max="9726" width="9.28515625" style="115"/>
    <col min="9727" max="9727" width="8.7109375" style="115" bestFit="1" customWidth="1"/>
    <col min="9728" max="9728" width="13.28515625" style="115" customWidth="1"/>
    <col min="9729" max="9729" width="16.28515625" style="115" bestFit="1" customWidth="1"/>
    <col min="9730" max="9730" width="23.5703125" style="115" customWidth="1"/>
    <col min="9731" max="9731" width="17.28515625" style="115" customWidth="1"/>
    <col min="9732" max="9732" width="20.5703125" style="115" bestFit="1" customWidth="1"/>
    <col min="9733" max="9733" width="17.28515625" style="115" customWidth="1"/>
    <col min="9734" max="9734" width="21.7109375" style="115" bestFit="1" customWidth="1"/>
    <col min="9735" max="9735" width="17.28515625" style="115" bestFit="1" customWidth="1"/>
    <col min="9736" max="9736" width="18.28515625" style="115" bestFit="1" customWidth="1"/>
    <col min="9737" max="9737" width="26.42578125" style="115" customWidth="1"/>
    <col min="9738" max="9982" width="9.28515625" style="115"/>
    <col min="9983" max="9983" width="8.7109375" style="115" bestFit="1" customWidth="1"/>
    <col min="9984" max="9984" width="13.28515625" style="115" customWidth="1"/>
    <col min="9985" max="9985" width="16.28515625" style="115" bestFit="1" customWidth="1"/>
    <col min="9986" max="9986" width="23.5703125" style="115" customWidth="1"/>
    <col min="9987" max="9987" width="17.28515625" style="115" customWidth="1"/>
    <col min="9988" max="9988" width="20.5703125" style="115" bestFit="1" customWidth="1"/>
    <col min="9989" max="9989" width="17.28515625" style="115" customWidth="1"/>
    <col min="9990" max="9990" width="21.7109375" style="115" bestFit="1" customWidth="1"/>
    <col min="9991" max="9991" width="17.28515625" style="115" bestFit="1" customWidth="1"/>
    <col min="9992" max="9992" width="18.28515625" style="115" bestFit="1" customWidth="1"/>
    <col min="9993" max="9993" width="26.42578125" style="115" customWidth="1"/>
    <col min="9994" max="10238" width="9.28515625" style="115"/>
    <col min="10239" max="10239" width="8.7109375" style="115" bestFit="1" customWidth="1"/>
    <col min="10240" max="10240" width="13.28515625" style="115" customWidth="1"/>
    <col min="10241" max="10241" width="16.28515625" style="115" bestFit="1" customWidth="1"/>
    <col min="10242" max="10242" width="23.5703125" style="115" customWidth="1"/>
    <col min="10243" max="10243" width="17.28515625" style="115" customWidth="1"/>
    <col min="10244" max="10244" width="20.5703125" style="115" bestFit="1" customWidth="1"/>
    <col min="10245" max="10245" width="17.28515625" style="115" customWidth="1"/>
    <col min="10246" max="10246" width="21.7109375" style="115" bestFit="1" customWidth="1"/>
    <col min="10247" max="10247" width="17.28515625" style="115" bestFit="1" customWidth="1"/>
    <col min="10248" max="10248" width="18.28515625" style="115" bestFit="1" customWidth="1"/>
    <col min="10249" max="10249" width="26.42578125" style="115" customWidth="1"/>
    <col min="10250" max="10494" width="9.28515625" style="115"/>
    <col min="10495" max="10495" width="8.7109375" style="115" bestFit="1" customWidth="1"/>
    <col min="10496" max="10496" width="13.28515625" style="115" customWidth="1"/>
    <col min="10497" max="10497" width="16.28515625" style="115" bestFit="1" customWidth="1"/>
    <col min="10498" max="10498" width="23.5703125" style="115" customWidth="1"/>
    <col min="10499" max="10499" width="17.28515625" style="115" customWidth="1"/>
    <col min="10500" max="10500" width="20.5703125" style="115" bestFit="1" customWidth="1"/>
    <col min="10501" max="10501" width="17.28515625" style="115" customWidth="1"/>
    <col min="10502" max="10502" width="21.7109375" style="115" bestFit="1" customWidth="1"/>
    <col min="10503" max="10503" width="17.28515625" style="115" bestFit="1" customWidth="1"/>
    <col min="10504" max="10504" width="18.28515625" style="115" bestFit="1" customWidth="1"/>
    <col min="10505" max="10505" width="26.42578125" style="115" customWidth="1"/>
    <col min="10506" max="10750" width="9.28515625" style="115"/>
    <col min="10751" max="10751" width="8.7109375" style="115" bestFit="1" customWidth="1"/>
    <col min="10752" max="10752" width="13.28515625" style="115" customWidth="1"/>
    <col min="10753" max="10753" width="16.28515625" style="115" bestFit="1" customWidth="1"/>
    <col min="10754" max="10754" width="23.5703125" style="115" customWidth="1"/>
    <col min="10755" max="10755" width="17.28515625" style="115" customWidth="1"/>
    <col min="10756" max="10756" width="20.5703125" style="115" bestFit="1" customWidth="1"/>
    <col min="10757" max="10757" width="17.28515625" style="115" customWidth="1"/>
    <col min="10758" max="10758" width="21.7109375" style="115" bestFit="1" customWidth="1"/>
    <col min="10759" max="10759" width="17.28515625" style="115" bestFit="1" customWidth="1"/>
    <col min="10760" max="10760" width="18.28515625" style="115" bestFit="1" customWidth="1"/>
    <col min="10761" max="10761" width="26.42578125" style="115" customWidth="1"/>
    <col min="10762" max="11006" width="9.28515625" style="115"/>
    <col min="11007" max="11007" width="8.7109375" style="115" bestFit="1" customWidth="1"/>
    <col min="11008" max="11008" width="13.28515625" style="115" customWidth="1"/>
    <col min="11009" max="11009" width="16.28515625" style="115" bestFit="1" customWidth="1"/>
    <col min="11010" max="11010" width="23.5703125" style="115" customWidth="1"/>
    <col min="11011" max="11011" width="17.28515625" style="115" customWidth="1"/>
    <col min="11012" max="11012" width="20.5703125" style="115" bestFit="1" customWidth="1"/>
    <col min="11013" max="11013" width="17.28515625" style="115" customWidth="1"/>
    <col min="11014" max="11014" width="21.7109375" style="115" bestFit="1" customWidth="1"/>
    <col min="11015" max="11015" width="17.28515625" style="115" bestFit="1" customWidth="1"/>
    <col min="11016" max="11016" width="18.28515625" style="115" bestFit="1" customWidth="1"/>
    <col min="11017" max="11017" width="26.42578125" style="115" customWidth="1"/>
    <col min="11018" max="11262" width="9.28515625" style="115"/>
    <col min="11263" max="11263" width="8.7109375" style="115" bestFit="1" customWidth="1"/>
    <col min="11264" max="11264" width="13.28515625" style="115" customWidth="1"/>
    <col min="11265" max="11265" width="16.28515625" style="115" bestFit="1" customWidth="1"/>
    <col min="11266" max="11266" width="23.5703125" style="115" customWidth="1"/>
    <col min="11267" max="11267" width="17.28515625" style="115" customWidth="1"/>
    <col min="11268" max="11268" width="20.5703125" style="115" bestFit="1" customWidth="1"/>
    <col min="11269" max="11269" width="17.28515625" style="115" customWidth="1"/>
    <col min="11270" max="11270" width="21.7109375" style="115" bestFit="1" customWidth="1"/>
    <col min="11271" max="11271" width="17.28515625" style="115" bestFit="1" customWidth="1"/>
    <col min="11272" max="11272" width="18.28515625" style="115" bestFit="1" customWidth="1"/>
    <col min="11273" max="11273" width="26.42578125" style="115" customWidth="1"/>
    <col min="11274" max="11518" width="9.28515625" style="115"/>
    <col min="11519" max="11519" width="8.7109375" style="115" bestFit="1" customWidth="1"/>
    <col min="11520" max="11520" width="13.28515625" style="115" customWidth="1"/>
    <col min="11521" max="11521" width="16.28515625" style="115" bestFit="1" customWidth="1"/>
    <col min="11522" max="11522" width="23.5703125" style="115" customWidth="1"/>
    <col min="11523" max="11523" width="17.28515625" style="115" customWidth="1"/>
    <col min="11524" max="11524" width="20.5703125" style="115" bestFit="1" customWidth="1"/>
    <col min="11525" max="11525" width="17.28515625" style="115" customWidth="1"/>
    <col min="11526" max="11526" width="21.7109375" style="115" bestFit="1" customWidth="1"/>
    <col min="11527" max="11527" width="17.28515625" style="115" bestFit="1" customWidth="1"/>
    <col min="11528" max="11528" width="18.28515625" style="115" bestFit="1" customWidth="1"/>
    <col min="11529" max="11529" width="26.42578125" style="115" customWidth="1"/>
    <col min="11530" max="11774" width="9.28515625" style="115"/>
    <col min="11775" max="11775" width="8.7109375" style="115" bestFit="1" customWidth="1"/>
    <col min="11776" max="11776" width="13.28515625" style="115" customWidth="1"/>
    <col min="11777" max="11777" width="16.28515625" style="115" bestFit="1" customWidth="1"/>
    <col min="11778" max="11778" width="23.5703125" style="115" customWidth="1"/>
    <col min="11779" max="11779" width="17.28515625" style="115" customWidth="1"/>
    <col min="11780" max="11780" width="20.5703125" style="115" bestFit="1" customWidth="1"/>
    <col min="11781" max="11781" width="17.28515625" style="115" customWidth="1"/>
    <col min="11782" max="11782" width="21.7109375" style="115" bestFit="1" customWidth="1"/>
    <col min="11783" max="11783" width="17.28515625" style="115" bestFit="1" customWidth="1"/>
    <col min="11784" max="11784" width="18.28515625" style="115" bestFit="1" customWidth="1"/>
    <col min="11785" max="11785" width="26.42578125" style="115" customWidth="1"/>
    <col min="11786" max="12030" width="9.28515625" style="115"/>
    <col min="12031" max="12031" width="8.7109375" style="115" bestFit="1" customWidth="1"/>
    <col min="12032" max="12032" width="13.28515625" style="115" customWidth="1"/>
    <col min="12033" max="12033" width="16.28515625" style="115" bestFit="1" customWidth="1"/>
    <col min="12034" max="12034" width="23.5703125" style="115" customWidth="1"/>
    <col min="12035" max="12035" width="17.28515625" style="115" customWidth="1"/>
    <col min="12036" max="12036" width="20.5703125" style="115" bestFit="1" customWidth="1"/>
    <col min="12037" max="12037" width="17.28515625" style="115" customWidth="1"/>
    <col min="12038" max="12038" width="21.7109375" style="115" bestFit="1" customWidth="1"/>
    <col min="12039" max="12039" width="17.28515625" style="115" bestFit="1" customWidth="1"/>
    <col min="12040" max="12040" width="18.28515625" style="115" bestFit="1" customWidth="1"/>
    <col min="12041" max="12041" width="26.42578125" style="115" customWidth="1"/>
    <col min="12042" max="12286" width="9.28515625" style="115"/>
    <col min="12287" max="12287" width="8.7109375" style="115" bestFit="1" customWidth="1"/>
    <col min="12288" max="12288" width="13.28515625" style="115" customWidth="1"/>
    <col min="12289" max="12289" width="16.28515625" style="115" bestFit="1" customWidth="1"/>
    <col min="12290" max="12290" width="23.5703125" style="115" customWidth="1"/>
    <col min="12291" max="12291" width="17.28515625" style="115" customWidth="1"/>
    <col min="12292" max="12292" width="20.5703125" style="115" bestFit="1" customWidth="1"/>
    <col min="12293" max="12293" width="17.28515625" style="115" customWidth="1"/>
    <col min="12294" max="12294" width="21.7109375" style="115" bestFit="1" customWidth="1"/>
    <col min="12295" max="12295" width="17.28515625" style="115" bestFit="1" customWidth="1"/>
    <col min="12296" max="12296" width="18.28515625" style="115" bestFit="1" customWidth="1"/>
    <col min="12297" max="12297" width="26.42578125" style="115" customWidth="1"/>
    <col min="12298" max="12542" width="9.28515625" style="115"/>
    <col min="12543" max="12543" width="8.7109375" style="115" bestFit="1" customWidth="1"/>
    <col min="12544" max="12544" width="13.28515625" style="115" customWidth="1"/>
    <col min="12545" max="12545" width="16.28515625" style="115" bestFit="1" customWidth="1"/>
    <col min="12546" max="12546" width="23.5703125" style="115" customWidth="1"/>
    <col min="12547" max="12547" width="17.28515625" style="115" customWidth="1"/>
    <col min="12548" max="12548" width="20.5703125" style="115" bestFit="1" customWidth="1"/>
    <col min="12549" max="12549" width="17.28515625" style="115" customWidth="1"/>
    <col min="12550" max="12550" width="21.7109375" style="115" bestFit="1" customWidth="1"/>
    <col min="12551" max="12551" width="17.28515625" style="115" bestFit="1" customWidth="1"/>
    <col min="12552" max="12552" width="18.28515625" style="115" bestFit="1" customWidth="1"/>
    <col min="12553" max="12553" width="26.42578125" style="115" customWidth="1"/>
    <col min="12554" max="12798" width="9.28515625" style="115"/>
    <col min="12799" max="12799" width="8.7109375" style="115" bestFit="1" customWidth="1"/>
    <col min="12800" max="12800" width="13.28515625" style="115" customWidth="1"/>
    <col min="12801" max="12801" width="16.28515625" style="115" bestFit="1" customWidth="1"/>
    <col min="12802" max="12802" width="23.5703125" style="115" customWidth="1"/>
    <col min="12803" max="12803" width="17.28515625" style="115" customWidth="1"/>
    <col min="12804" max="12804" width="20.5703125" style="115" bestFit="1" customWidth="1"/>
    <col min="12805" max="12805" width="17.28515625" style="115" customWidth="1"/>
    <col min="12806" max="12806" width="21.7109375" style="115" bestFit="1" customWidth="1"/>
    <col min="12807" max="12807" width="17.28515625" style="115" bestFit="1" customWidth="1"/>
    <col min="12808" max="12808" width="18.28515625" style="115" bestFit="1" customWidth="1"/>
    <col min="12809" max="12809" width="26.42578125" style="115" customWidth="1"/>
    <col min="12810" max="13054" width="9.28515625" style="115"/>
    <col min="13055" max="13055" width="8.7109375" style="115" bestFit="1" customWidth="1"/>
    <col min="13056" max="13056" width="13.28515625" style="115" customWidth="1"/>
    <col min="13057" max="13057" width="16.28515625" style="115" bestFit="1" customWidth="1"/>
    <col min="13058" max="13058" width="23.5703125" style="115" customWidth="1"/>
    <col min="13059" max="13059" width="17.28515625" style="115" customWidth="1"/>
    <col min="13060" max="13060" width="20.5703125" style="115" bestFit="1" customWidth="1"/>
    <col min="13061" max="13061" width="17.28515625" style="115" customWidth="1"/>
    <col min="13062" max="13062" width="21.7109375" style="115" bestFit="1" customWidth="1"/>
    <col min="13063" max="13063" width="17.28515625" style="115" bestFit="1" customWidth="1"/>
    <col min="13064" max="13064" width="18.28515625" style="115" bestFit="1" customWidth="1"/>
    <col min="13065" max="13065" width="26.42578125" style="115" customWidth="1"/>
    <col min="13066" max="13310" width="9.28515625" style="115"/>
    <col min="13311" max="13311" width="8.7109375" style="115" bestFit="1" customWidth="1"/>
    <col min="13312" max="13312" width="13.28515625" style="115" customWidth="1"/>
    <col min="13313" max="13313" width="16.28515625" style="115" bestFit="1" customWidth="1"/>
    <col min="13314" max="13314" width="23.5703125" style="115" customWidth="1"/>
    <col min="13315" max="13315" width="17.28515625" style="115" customWidth="1"/>
    <col min="13316" max="13316" width="20.5703125" style="115" bestFit="1" customWidth="1"/>
    <col min="13317" max="13317" width="17.28515625" style="115" customWidth="1"/>
    <col min="13318" max="13318" width="21.7109375" style="115" bestFit="1" customWidth="1"/>
    <col min="13319" max="13319" width="17.28515625" style="115" bestFit="1" customWidth="1"/>
    <col min="13320" max="13320" width="18.28515625" style="115" bestFit="1" customWidth="1"/>
    <col min="13321" max="13321" width="26.42578125" style="115" customWidth="1"/>
    <col min="13322" max="13566" width="9.28515625" style="115"/>
    <col min="13567" max="13567" width="8.7109375" style="115" bestFit="1" customWidth="1"/>
    <col min="13568" max="13568" width="13.28515625" style="115" customWidth="1"/>
    <col min="13569" max="13569" width="16.28515625" style="115" bestFit="1" customWidth="1"/>
    <col min="13570" max="13570" width="23.5703125" style="115" customWidth="1"/>
    <col min="13571" max="13571" width="17.28515625" style="115" customWidth="1"/>
    <col min="13572" max="13572" width="20.5703125" style="115" bestFit="1" customWidth="1"/>
    <col min="13573" max="13573" width="17.28515625" style="115" customWidth="1"/>
    <col min="13574" max="13574" width="21.7109375" style="115" bestFit="1" customWidth="1"/>
    <col min="13575" max="13575" width="17.28515625" style="115" bestFit="1" customWidth="1"/>
    <col min="13576" max="13576" width="18.28515625" style="115" bestFit="1" customWidth="1"/>
    <col min="13577" max="13577" width="26.42578125" style="115" customWidth="1"/>
    <col min="13578" max="13822" width="9.28515625" style="115"/>
    <col min="13823" max="13823" width="8.7109375" style="115" bestFit="1" customWidth="1"/>
    <col min="13824" max="13824" width="13.28515625" style="115" customWidth="1"/>
    <col min="13825" max="13825" width="16.28515625" style="115" bestFit="1" customWidth="1"/>
    <col min="13826" max="13826" width="23.5703125" style="115" customWidth="1"/>
    <col min="13827" max="13827" width="17.28515625" style="115" customWidth="1"/>
    <col min="13828" max="13828" width="20.5703125" style="115" bestFit="1" customWidth="1"/>
    <col min="13829" max="13829" width="17.28515625" style="115" customWidth="1"/>
    <col min="13830" max="13830" width="21.7109375" style="115" bestFit="1" customWidth="1"/>
    <col min="13831" max="13831" width="17.28515625" style="115" bestFit="1" customWidth="1"/>
    <col min="13832" max="13832" width="18.28515625" style="115" bestFit="1" customWidth="1"/>
    <col min="13833" max="13833" width="26.42578125" style="115" customWidth="1"/>
    <col min="13834" max="14078" width="9.28515625" style="115"/>
    <col min="14079" max="14079" width="8.7109375" style="115" bestFit="1" customWidth="1"/>
    <col min="14080" max="14080" width="13.28515625" style="115" customWidth="1"/>
    <col min="14081" max="14081" width="16.28515625" style="115" bestFit="1" customWidth="1"/>
    <col min="14082" max="14082" width="23.5703125" style="115" customWidth="1"/>
    <col min="14083" max="14083" width="17.28515625" style="115" customWidth="1"/>
    <col min="14084" max="14084" width="20.5703125" style="115" bestFit="1" customWidth="1"/>
    <col min="14085" max="14085" width="17.28515625" style="115" customWidth="1"/>
    <col min="14086" max="14086" width="21.7109375" style="115" bestFit="1" customWidth="1"/>
    <col min="14087" max="14087" width="17.28515625" style="115" bestFit="1" customWidth="1"/>
    <col min="14088" max="14088" width="18.28515625" style="115" bestFit="1" customWidth="1"/>
    <col min="14089" max="14089" width="26.42578125" style="115" customWidth="1"/>
    <col min="14090" max="14334" width="9.28515625" style="115"/>
    <col min="14335" max="14335" width="8.7109375" style="115" bestFit="1" customWidth="1"/>
    <col min="14336" max="14336" width="13.28515625" style="115" customWidth="1"/>
    <col min="14337" max="14337" width="16.28515625" style="115" bestFit="1" customWidth="1"/>
    <col min="14338" max="14338" width="23.5703125" style="115" customWidth="1"/>
    <col min="14339" max="14339" width="17.28515625" style="115" customWidth="1"/>
    <col min="14340" max="14340" width="20.5703125" style="115" bestFit="1" customWidth="1"/>
    <col min="14341" max="14341" width="17.28515625" style="115" customWidth="1"/>
    <col min="14342" max="14342" width="21.7109375" style="115" bestFit="1" customWidth="1"/>
    <col min="14343" max="14343" width="17.28515625" style="115" bestFit="1" customWidth="1"/>
    <col min="14344" max="14344" width="18.28515625" style="115" bestFit="1" customWidth="1"/>
    <col min="14345" max="14345" width="26.42578125" style="115" customWidth="1"/>
    <col min="14346" max="14590" width="9.28515625" style="115"/>
    <col min="14591" max="14591" width="8.7109375" style="115" bestFit="1" customWidth="1"/>
    <col min="14592" max="14592" width="13.28515625" style="115" customWidth="1"/>
    <col min="14593" max="14593" width="16.28515625" style="115" bestFit="1" customWidth="1"/>
    <col min="14594" max="14594" width="23.5703125" style="115" customWidth="1"/>
    <col min="14595" max="14595" width="17.28515625" style="115" customWidth="1"/>
    <col min="14596" max="14596" width="20.5703125" style="115" bestFit="1" customWidth="1"/>
    <col min="14597" max="14597" width="17.28515625" style="115" customWidth="1"/>
    <col min="14598" max="14598" width="21.7109375" style="115" bestFit="1" customWidth="1"/>
    <col min="14599" max="14599" width="17.28515625" style="115" bestFit="1" customWidth="1"/>
    <col min="14600" max="14600" width="18.28515625" style="115" bestFit="1" customWidth="1"/>
    <col min="14601" max="14601" width="26.42578125" style="115" customWidth="1"/>
    <col min="14602" max="14846" width="9.28515625" style="115"/>
    <col min="14847" max="14847" width="8.7109375" style="115" bestFit="1" customWidth="1"/>
    <col min="14848" max="14848" width="13.28515625" style="115" customWidth="1"/>
    <col min="14849" max="14849" width="16.28515625" style="115" bestFit="1" customWidth="1"/>
    <col min="14850" max="14850" width="23.5703125" style="115" customWidth="1"/>
    <col min="14851" max="14851" width="17.28515625" style="115" customWidth="1"/>
    <col min="14852" max="14852" width="20.5703125" style="115" bestFit="1" customWidth="1"/>
    <col min="14853" max="14853" width="17.28515625" style="115" customWidth="1"/>
    <col min="14854" max="14854" width="21.7109375" style="115" bestFit="1" customWidth="1"/>
    <col min="14855" max="14855" width="17.28515625" style="115" bestFit="1" customWidth="1"/>
    <col min="14856" max="14856" width="18.28515625" style="115" bestFit="1" customWidth="1"/>
    <col min="14857" max="14857" width="26.42578125" style="115" customWidth="1"/>
    <col min="14858" max="15102" width="9.28515625" style="115"/>
    <col min="15103" max="15103" width="8.7109375" style="115" bestFit="1" customWidth="1"/>
    <col min="15104" max="15104" width="13.28515625" style="115" customWidth="1"/>
    <col min="15105" max="15105" width="16.28515625" style="115" bestFit="1" customWidth="1"/>
    <col min="15106" max="15106" width="23.5703125" style="115" customWidth="1"/>
    <col min="15107" max="15107" width="17.28515625" style="115" customWidth="1"/>
    <col min="15108" max="15108" width="20.5703125" style="115" bestFit="1" customWidth="1"/>
    <col min="15109" max="15109" width="17.28515625" style="115" customWidth="1"/>
    <col min="15110" max="15110" width="21.7109375" style="115" bestFit="1" customWidth="1"/>
    <col min="15111" max="15111" width="17.28515625" style="115" bestFit="1" customWidth="1"/>
    <col min="15112" max="15112" width="18.28515625" style="115" bestFit="1" customWidth="1"/>
    <col min="15113" max="15113" width="26.42578125" style="115" customWidth="1"/>
    <col min="15114" max="15358" width="9.28515625" style="115"/>
    <col min="15359" max="15359" width="8.7109375" style="115" bestFit="1" customWidth="1"/>
    <col min="15360" max="15360" width="13.28515625" style="115" customWidth="1"/>
    <col min="15361" max="15361" width="16.28515625" style="115" bestFit="1" customWidth="1"/>
    <col min="15362" max="15362" width="23.5703125" style="115" customWidth="1"/>
    <col min="15363" max="15363" width="17.28515625" style="115" customWidth="1"/>
    <col min="15364" max="15364" width="20.5703125" style="115" bestFit="1" customWidth="1"/>
    <col min="15365" max="15365" width="17.28515625" style="115" customWidth="1"/>
    <col min="15366" max="15366" width="21.7109375" style="115" bestFit="1" customWidth="1"/>
    <col min="15367" max="15367" width="17.28515625" style="115" bestFit="1" customWidth="1"/>
    <col min="15368" max="15368" width="18.28515625" style="115" bestFit="1" customWidth="1"/>
    <col min="15369" max="15369" width="26.42578125" style="115" customWidth="1"/>
    <col min="15370" max="15614" width="9.28515625" style="115"/>
    <col min="15615" max="15615" width="8.7109375" style="115" bestFit="1" customWidth="1"/>
    <col min="15616" max="15616" width="13.28515625" style="115" customWidth="1"/>
    <col min="15617" max="15617" width="16.28515625" style="115" bestFit="1" customWidth="1"/>
    <col min="15618" max="15618" width="23.5703125" style="115" customWidth="1"/>
    <col min="15619" max="15619" width="17.28515625" style="115" customWidth="1"/>
    <col min="15620" max="15620" width="20.5703125" style="115" bestFit="1" customWidth="1"/>
    <col min="15621" max="15621" width="17.28515625" style="115" customWidth="1"/>
    <col min="15622" max="15622" width="21.7109375" style="115" bestFit="1" customWidth="1"/>
    <col min="15623" max="15623" width="17.28515625" style="115" bestFit="1" customWidth="1"/>
    <col min="15624" max="15624" width="18.28515625" style="115" bestFit="1" customWidth="1"/>
    <col min="15625" max="15625" width="26.42578125" style="115" customWidth="1"/>
    <col min="15626" max="15870" width="9.28515625" style="115"/>
    <col min="15871" max="15871" width="8.7109375" style="115" bestFit="1" customWidth="1"/>
    <col min="15872" max="15872" width="13.28515625" style="115" customWidth="1"/>
    <col min="15873" max="15873" width="16.28515625" style="115" bestFit="1" customWidth="1"/>
    <col min="15874" max="15874" width="23.5703125" style="115" customWidth="1"/>
    <col min="15875" max="15875" width="17.28515625" style="115" customWidth="1"/>
    <col min="15876" max="15876" width="20.5703125" style="115" bestFit="1" customWidth="1"/>
    <col min="15877" max="15877" width="17.28515625" style="115" customWidth="1"/>
    <col min="15878" max="15878" width="21.7109375" style="115" bestFit="1" customWidth="1"/>
    <col min="15879" max="15879" width="17.28515625" style="115" bestFit="1" customWidth="1"/>
    <col min="15880" max="15880" width="18.28515625" style="115" bestFit="1" customWidth="1"/>
    <col min="15881" max="15881" width="26.42578125" style="115" customWidth="1"/>
    <col min="15882" max="16126" width="9.28515625" style="115"/>
    <col min="16127" max="16127" width="8.7109375" style="115" bestFit="1" customWidth="1"/>
    <col min="16128" max="16128" width="13.28515625" style="115" customWidth="1"/>
    <col min="16129" max="16129" width="16.28515625" style="115" bestFit="1" customWidth="1"/>
    <col min="16130" max="16130" width="23.5703125" style="115" customWidth="1"/>
    <col min="16131" max="16131" width="17.28515625" style="115" customWidth="1"/>
    <col min="16132" max="16132" width="20.5703125" style="115" bestFit="1" customWidth="1"/>
    <col min="16133" max="16133" width="17.28515625" style="115" customWidth="1"/>
    <col min="16134" max="16134" width="21.7109375" style="115" bestFit="1" customWidth="1"/>
    <col min="16135" max="16135" width="17.28515625" style="115" bestFit="1" customWidth="1"/>
    <col min="16136" max="16136" width="18.28515625" style="115" bestFit="1" customWidth="1"/>
    <col min="16137" max="16137" width="26.42578125" style="115" customWidth="1"/>
    <col min="16138" max="16384" width="9.28515625" style="115"/>
  </cols>
  <sheetData>
    <row r="1" spans="11:12" s="133" customFormat="1" x14ac:dyDescent="0.2">
      <c r="K1" s="479"/>
      <c r="L1" s="478"/>
    </row>
    <row r="2" spans="11:12" s="133" customFormat="1" x14ac:dyDescent="0.2">
      <c r="K2" s="479"/>
      <c r="L2" s="478"/>
    </row>
    <row r="3" spans="11:12" s="133" customFormat="1" x14ac:dyDescent="0.2">
      <c r="K3" s="479"/>
      <c r="L3" s="478"/>
    </row>
    <row r="4" spans="11:12" s="133" customFormat="1" x14ac:dyDescent="0.2">
      <c r="K4" s="479"/>
      <c r="L4" s="478"/>
    </row>
    <row r="5" spans="11:12" s="133" customFormat="1" x14ac:dyDescent="0.2">
      <c r="K5" s="479"/>
      <c r="L5" s="478"/>
    </row>
    <row r="6" spans="11:12" s="133" customFormat="1" x14ac:dyDescent="0.2">
      <c r="K6" s="479"/>
      <c r="L6" s="478"/>
    </row>
    <row r="7" spans="11:12" s="133" customFormat="1" x14ac:dyDescent="0.2">
      <c r="K7" s="479"/>
      <c r="L7" s="478"/>
    </row>
    <row r="8" spans="11:12" s="133" customFormat="1" x14ac:dyDescent="0.2">
      <c r="K8" s="479"/>
      <c r="L8" s="478"/>
    </row>
    <row r="9" spans="11:12" s="133" customFormat="1" x14ac:dyDescent="0.2">
      <c r="K9" s="479"/>
      <c r="L9" s="478"/>
    </row>
    <row r="10" spans="11:12" s="133" customFormat="1" x14ac:dyDescent="0.2">
      <c r="K10" s="479"/>
      <c r="L10" s="478"/>
    </row>
    <row r="11" spans="11:12" s="133" customFormat="1" x14ac:dyDescent="0.2">
      <c r="K11" s="479"/>
      <c r="L11" s="478"/>
    </row>
    <row r="12" spans="11:12" s="133" customFormat="1" x14ac:dyDescent="0.2">
      <c r="K12" s="479"/>
      <c r="L12" s="478"/>
    </row>
    <row r="13" spans="11:12" s="133" customFormat="1" x14ac:dyDescent="0.2">
      <c r="K13" s="479"/>
      <c r="L13" s="478"/>
    </row>
    <row r="14" spans="11:12" s="133" customFormat="1" x14ac:dyDescent="0.2">
      <c r="K14" s="479"/>
      <c r="L14" s="478"/>
    </row>
    <row r="15" spans="11:12" s="133" customFormat="1" x14ac:dyDescent="0.2">
      <c r="K15" s="479"/>
      <c r="L15" s="478"/>
    </row>
    <row r="16" spans="11:12" s="133" customFormat="1" x14ac:dyDescent="0.2">
      <c r="K16" s="479"/>
      <c r="L16" s="478"/>
    </row>
    <row r="17" spans="1:21" s="133" customFormat="1" x14ac:dyDescent="0.2">
      <c r="K17" s="479"/>
      <c r="L17" s="478"/>
    </row>
    <row r="18" spans="1:21" s="133" customFormat="1" x14ac:dyDescent="0.2">
      <c r="K18" s="479"/>
      <c r="L18" s="478"/>
    </row>
    <row r="19" spans="1:21" s="133" customFormat="1" x14ac:dyDescent="0.2">
      <c r="K19" s="479"/>
      <c r="L19" s="478"/>
    </row>
    <row r="20" spans="1:21" s="133" customFormat="1" x14ac:dyDescent="0.2">
      <c r="K20" s="479"/>
      <c r="L20" s="478"/>
    </row>
    <row r="21" spans="1:21" s="133" customFormat="1" x14ac:dyDescent="0.2">
      <c r="K21" s="479"/>
      <c r="L21" s="478"/>
    </row>
    <row r="22" spans="1:21" s="133" customFormat="1" x14ac:dyDescent="0.2">
      <c r="K22" s="479"/>
      <c r="L22" s="478"/>
    </row>
    <row r="23" spans="1:21" s="133" customFormat="1" x14ac:dyDescent="0.2">
      <c r="K23" s="479"/>
      <c r="L23" s="478"/>
    </row>
    <row r="24" spans="1:21" s="133" customFormat="1" x14ac:dyDescent="0.2">
      <c r="K24" s="479"/>
      <c r="L24" s="478"/>
    </row>
    <row r="25" spans="1:21" s="133" customFormat="1" x14ac:dyDescent="0.2">
      <c r="K25" s="479"/>
      <c r="L25" s="478"/>
      <c r="O25" s="756"/>
      <c r="P25" s="756"/>
      <c r="Q25" s="756"/>
      <c r="R25" s="756"/>
      <c r="S25" s="756"/>
      <c r="T25" s="756"/>
      <c r="U25" s="756"/>
    </row>
    <row r="26" spans="1:21" s="133" customFormat="1" x14ac:dyDescent="0.2">
      <c r="K26" s="479"/>
      <c r="L26" s="478"/>
      <c r="O26" s="756"/>
      <c r="P26" s="756"/>
      <c r="Q26" s="756"/>
      <c r="R26" s="756"/>
      <c r="S26" s="756"/>
      <c r="T26" s="756"/>
      <c r="U26" s="756"/>
    </row>
    <row r="27" spans="1:21" s="133" customFormat="1" x14ac:dyDescent="0.2">
      <c r="K27" s="479"/>
      <c r="L27" s="478"/>
      <c r="O27" s="756"/>
      <c r="P27" s="756"/>
      <c r="Q27" s="756"/>
      <c r="R27" s="756"/>
      <c r="S27" s="756"/>
      <c r="T27" s="756"/>
      <c r="U27" s="756"/>
    </row>
    <row r="28" spans="1:21" s="133" customFormat="1" ht="24.75" customHeight="1" x14ac:dyDescent="0.25">
      <c r="A28" s="502" t="str">
        <f>CHOOSE(MODE, 'Variable Mgmt'!K7,'Variable Mgmt'!K8)</f>
        <v>SINGLE Output PSR Flyback Converter, VIN = 12 V, VOUT = 15.5 V, IOUT = 0.42 A</v>
      </c>
      <c r="K28" s="478"/>
      <c r="L28" s="478"/>
      <c r="O28" s="756"/>
      <c r="P28" s="756"/>
      <c r="Q28" s="756"/>
      <c r="R28" s="756"/>
      <c r="S28" s="756"/>
      <c r="T28" s="756"/>
      <c r="U28" s="756"/>
    </row>
    <row r="29" spans="1:21" ht="24.75" customHeight="1" thickBot="1" x14ac:dyDescent="0.25">
      <c r="A29" s="116" t="str">
        <f>CHOOSE(VARIANT,"LM5180 High Efficiency PSR Flyback Converter BOM","LM5181 High Efficiency PSR Flyback Converter BOM","LM25180 High Efficiency PSR Flyback Converter BOM","LM25183 High Efficiency PSR Flyback Converter BOM","LM25184 High Efficiency PSR Flyback Converter BOM")</f>
        <v>LM25184 High Efficiency PSR Flyback Converter BOM</v>
      </c>
      <c r="O29" s="757"/>
      <c r="P29" s="757"/>
      <c r="Q29" s="757"/>
      <c r="R29" s="757"/>
      <c r="S29" s="757"/>
      <c r="T29" s="757"/>
      <c r="U29" s="757"/>
    </row>
    <row r="30" spans="1:21" ht="18" customHeight="1" x14ac:dyDescent="0.2">
      <c r="A30" s="206" t="s">
        <v>123</v>
      </c>
      <c r="B30" s="207" t="s">
        <v>122</v>
      </c>
      <c r="C30" s="207" t="s">
        <v>6</v>
      </c>
      <c r="D30" s="803" t="s">
        <v>41</v>
      </c>
      <c r="E30" s="804"/>
      <c r="F30" s="805"/>
      <c r="G30" s="207" t="s">
        <v>116</v>
      </c>
      <c r="H30" s="207" t="s">
        <v>67</v>
      </c>
      <c r="I30" s="497" t="s">
        <v>117</v>
      </c>
      <c r="J30" s="498" t="s">
        <v>347</v>
      </c>
      <c r="K30" s="499" t="s">
        <v>356</v>
      </c>
      <c r="L30" s="472"/>
      <c r="N30" s="118"/>
      <c r="O30" s="757"/>
      <c r="P30" s="757"/>
      <c r="Q30" s="758"/>
      <c r="R30" s="757"/>
      <c r="S30" s="757"/>
      <c r="T30" s="757"/>
      <c r="U30" s="757"/>
    </row>
    <row r="31" spans="1:21" s="118" customFormat="1" ht="17.100000000000001" customHeight="1" x14ac:dyDescent="0.2">
      <c r="A31" s="117">
        <f>ROUNDUP('LM(2)518x PSR flyback converter'!E18/10,0)</f>
        <v>1</v>
      </c>
      <c r="B31" s="129" t="s">
        <v>120</v>
      </c>
      <c r="C31" s="132">
        <f>Cin</f>
        <v>10</v>
      </c>
      <c r="D31" s="801" t="str">
        <f>IF(VIN_max&gt;35, "Capacitor, Ceramic, "&amp;'Variable Mgmt'!B224&amp;", 100V, X7R, 10%", "Capacitor, Ceramic, "&amp;'Variable Mgmt'!B224&amp;", 50V, X7R, 10%")</f>
        <v>Capacitor, Ceramic, 10µF, 50V, X7R, 10%</v>
      </c>
      <c r="E31" s="802"/>
      <c r="F31" s="802"/>
      <c r="G31" s="130"/>
      <c r="H31" s="131" t="s">
        <v>118</v>
      </c>
      <c r="I31" s="484" t="s">
        <v>118</v>
      </c>
      <c r="J31" s="493" t="str">
        <f>CHOOSE(Q31,'Variable Mgmt'!T62,'Variable Mgmt'!T63,'Variable Mgmt'!T64,'Variable Mgmt'!T65,'Variable Mgmt'!T66)</f>
        <v>3.2 x 2.5</v>
      </c>
      <c r="K31" s="491">
        <f>CHOOSE(Q31,'Variable Mgmt'!U62,'Variable Mgmt'!U63,'Variable Mgmt'!U64,'Variable Mgmt'!U65,'Variable Mgmt'!U66)</f>
        <v>8</v>
      </c>
      <c r="L31" s="496"/>
      <c r="O31" s="759"/>
      <c r="P31" s="762"/>
      <c r="Q31" s="763">
        <v>5</v>
      </c>
      <c r="R31" s="759"/>
      <c r="S31" s="759"/>
      <c r="T31" s="759"/>
      <c r="U31" s="759"/>
    </row>
    <row r="32" spans="1:21" s="118" customFormat="1" ht="17.100000000000001" customHeight="1" x14ac:dyDescent="0.2">
      <c r="A32" s="117">
        <v>1</v>
      </c>
      <c r="B32" s="129" t="s">
        <v>121</v>
      </c>
      <c r="C32" s="132">
        <f>Cout</f>
        <v>22</v>
      </c>
      <c r="D32" s="817" t="str">
        <f>CHOOSE(Cout_Voltage_Rating, "Capacitor, Ceramic, "&amp;'Variable Mgmt'!B219&amp;", 6.3V, X7R, 10%", "Capacitor, Ceramic, "&amp;'Variable Mgmt'!B219&amp;", 10V, X7R, 10%", "Capacitor, Ceramic, "&amp;'Variable Mgmt'!B219&amp;", 16V, X7R, 10%", "Capacitor, Ceramic, "&amp;'Variable Mgmt'!B219&amp;", 25V, X7R, 10%",  "Capacitor, Ceramic, "&amp;'Variable Mgmt'!B219&amp;", 50V, X7R, 10%")</f>
        <v>Capacitor, Ceramic, 22µF, 25V, X7R, 10%</v>
      </c>
      <c r="E32" s="818"/>
      <c r="F32" s="818"/>
      <c r="G32" s="130"/>
      <c r="H32" s="131" t="s">
        <v>118</v>
      </c>
      <c r="I32" s="484" t="s">
        <v>118</v>
      </c>
      <c r="J32" s="493" t="str">
        <f>CHOOSE(Q32,'Variable Mgmt'!T62,'Variable Mgmt'!T63,'Variable Mgmt'!T64,'Variable Mgmt'!T65,'Variable Mgmt'!T66)</f>
        <v>3.2 x 2.5</v>
      </c>
      <c r="K32" s="491">
        <f>CHOOSE(Q32,'Variable Mgmt'!U62,'Variable Mgmt'!U63,'Variable Mgmt'!U64,'Variable Mgmt'!U65,'Variable Mgmt'!U66)</f>
        <v>8</v>
      </c>
      <c r="L32" s="496"/>
      <c r="O32" s="759"/>
      <c r="P32" s="762"/>
      <c r="Q32" s="764">
        <v>5</v>
      </c>
      <c r="R32" s="759"/>
      <c r="S32" s="759"/>
      <c r="T32" s="759"/>
      <c r="U32" s="759"/>
    </row>
    <row r="33" spans="1:21" s="118" customFormat="1" ht="17.100000000000001" customHeight="1" x14ac:dyDescent="0.2">
      <c r="A33" s="117" t="str">
        <f>CHOOSE(MODE, "-", "1")</f>
        <v>-</v>
      </c>
      <c r="B33" s="129" t="s">
        <v>637</v>
      </c>
      <c r="C33" s="132" t="str">
        <f>CHOOSE(MODE, "-", Cout2)</f>
        <v>-</v>
      </c>
      <c r="D33" s="609" t="str">
        <f>CHOOSE(MODE, "-", CHOOSE(Cout_Voltage_Rating, "Capacitor, Ceramic, "&amp;'Variable Mgmt'!F219&amp;", 6.3V, X7R, 10%", "Capacitor, Ceramic, "&amp;'Variable Mgmt'!F219&amp;", 10V, X7R, 10%", "Capacitor, Ceramic, "&amp;'Variable Mgmt'!F219&amp;", 16V, X7R, 10%", "Capacitor, Ceramic, "&amp;'Variable Mgmt'!F219&amp;", 25V, X7R, 10%",  "Capacitor, Ceramic, "&amp;'Variable Mgmt'!F219&amp;", 50V, X7R, 10%"))</f>
        <v>-</v>
      </c>
      <c r="E33" s="610"/>
      <c r="F33" s="610"/>
      <c r="G33" s="130"/>
      <c r="H33" s="131" t="str">
        <f>CHOOSE(MODE, "-", "Std")</f>
        <v>-</v>
      </c>
      <c r="I33" s="484" t="str">
        <f>CHOOSE(MODE, "-", "Std")</f>
        <v>-</v>
      </c>
      <c r="J33" s="493" t="str">
        <f>CHOOSE(MODE, "-", CHOOSE(Q33,'Variable Mgmt'!T62,'Variable Mgmt'!T63,'Variable Mgmt'!T64,'Variable Mgmt'!T65,'Variable Mgmt'!T66))</f>
        <v>-</v>
      </c>
      <c r="K33" s="491" t="str">
        <f>CHOOSE(MODE, "-", CHOOSE(Q33,'Variable Mgmt'!U62,'Variable Mgmt'!U63,'Variable Mgmt'!U64,'Variable Mgmt'!U65,'Variable Mgmt'!U66))</f>
        <v>-</v>
      </c>
      <c r="L33" s="496"/>
      <c r="O33" s="759"/>
      <c r="P33" s="762"/>
      <c r="Q33" s="764">
        <v>5</v>
      </c>
      <c r="R33" s="759"/>
      <c r="S33" s="759"/>
      <c r="T33" s="759"/>
      <c r="U33" s="759"/>
    </row>
    <row r="34" spans="1:21" s="118" customFormat="1" ht="17.100000000000001" customHeight="1" x14ac:dyDescent="0.2">
      <c r="A34" s="119" t="str">
        <f>CHOOSE(MODE_SS, "1", "-", "1")</f>
        <v>-</v>
      </c>
      <c r="B34" s="120" t="str">
        <f>CHOOSE(MODE_SS, "Css", "-")</f>
        <v>-</v>
      </c>
      <c r="C34" s="634" t="str">
        <f>CHOOSE(MODE_SS, 'Standard Value Calculator'!B4*1000000000&amp;"nF", "-", "100k")</f>
        <v>-</v>
      </c>
      <c r="D34" s="819" t="str">
        <f>CHOOSE(MODE_SS, "Capacitor, Ceramic, "&amp;'Standard Value Calculator'!B4*1000000000&amp;"nF"&amp;", 16V, X7R, 10%", "-")</f>
        <v>-</v>
      </c>
      <c r="E34" s="820"/>
      <c r="F34" s="820"/>
      <c r="G34" s="122" t="s">
        <v>119</v>
      </c>
      <c r="H34" s="123" t="str">
        <f>CHOOSE(MODE_SS, "Std", "-")</f>
        <v>-</v>
      </c>
      <c r="I34" s="485" t="str">
        <f>CHOOSE(MODE_SS, "Std", "-")</f>
        <v>-</v>
      </c>
      <c r="J34" s="493" t="str">
        <f>CHOOSE(MODE_SS,CHOOSE(Q34,'Variable Mgmt'!T62,'Variable Mgmt'!T63,'Variable Mgmt'!T64),"-",CHOOSE(Q34,'Variable Mgmt'!T62,'Variable Mgmt'!T63,'Variable Mgmt'!T64))</f>
        <v>-</v>
      </c>
      <c r="K34" s="491" t="str">
        <f>CHOOSE(MODE_SS, CHOOSE(Q34,'Variable Mgmt'!U62,'Variable Mgmt'!U63,'Variable Mgmt'!U64), "-", CHOOSE(Q34,'Variable Mgmt'!U62,'Variable Mgmt'!U63,'Variable Mgmt'!U64))</f>
        <v>-</v>
      </c>
      <c r="L34" s="496"/>
      <c r="O34" s="759"/>
      <c r="P34" s="762"/>
      <c r="Q34" s="764">
        <v>1</v>
      </c>
      <c r="R34" s="759"/>
      <c r="S34" s="759"/>
      <c r="T34" s="759"/>
      <c r="U34" s="759"/>
    </row>
    <row r="35" spans="1:21" s="118" customFormat="1" ht="17.100000000000001" customHeight="1" x14ac:dyDescent="0.2">
      <c r="A35" s="124">
        <v>1</v>
      </c>
      <c r="B35" s="125" t="s">
        <v>639</v>
      </c>
      <c r="C35" s="126" t="s">
        <v>193</v>
      </c>
      <c r="D35" s="810" t="str">
        <f>"Rectifying Diode, Schottky"</f>
        <v>Rectifying Diode, Schottky</v>
      </c>
      <c r="E35" s="811"/>
      <c r="F35" s="811"/>
      <c r="G35" s="127" t="e">
        <f>CHOOSE(SHORT_ILIM, "-", "0603")</f>
        <v>#NAME?</v>
      </c>
      <c r="H35" s="128" t="s">
        <v>118</v>
      </c>
      <c r="I35" s="486" t="s">
        <v>118</v>
      </c>
      <c r="J35" s="628" t="str">
        <f>CHOOSE(Q35,'Variable Mgmt'!Y71,'Variable Mgmt'!Y72,'Variable Mgmt'!Y73,'Variable Mgmt'!Y74,'Variable Mgmt'!Y75)</f>
        <v>5.0 x 2.5</v>
      </c>
      <c r="K35" s="629">
        <f>CHOOSE(Q35,'Variable Mgmt'!Z71,'Variable Mgmt'!Z72,'Variable Mgmt'!Z73,'Variable Mgmt'!Z74,'Variable Mgmt'!Z75)</f>
        <v>12.5</v>
      </c>
      <c r="L35" s="496"/>
      <c r="O35" s="759"/>
      <c r="P35" s="762"/>
      <c r="Q35" s="764">
        <v>4</v>
      </c>
      <c r="R35" s="759"/>
      <c r="S35" s="759"/>
      <c r="T35" s="759"/>
      <c r="U35" s="759"/>
    </row>
    <row r="36" spans="1:21" s="118" customFormat="1" ht="17.100000000000001" customHeight="1" x14ac:dyDescent="0.2">
      <c r="A36" s="124" t="str">
        <f>CHOOSE(MODE, "-", "1")</f>
        <v>-</v>
      </c>
      <c r="B36" s="125" t="s">
        <v>638</v>
      </c>
      <c r="C36" s="126" t="str">
        <f>CHOOSE(MODE, "-", "Diode")</f>
        <v>-</v>
      </c>
      <c r="D36" s="808" t="str">
        <f>CHOOSE(MODE, "-", "Rectifying Diode, Schottky")</f>
        <v>-</v>
      </c>
      <c r="E36" s="809"/>
      <c r="F36" s="809"/>
      <c r="G36" s="127" t="s">
        <v>119</v>
      </c>
      <c r="H36" s="128" t="str">
        <f>CHOOSE(MODE, "-", "Std")</f>
        <v>-</v>
      </c>
      <c r="I36" s="486" t="str">
        <f>CHOOSE(MODE, "-", "Std")</f>
        <v>-</v>
      </c>
      <c r="J36" s="628" t="str">
        <f>CHOOSE(MODE, "-", CHOOSE(Q36,'Variable Mgmt'!Y71,'Variable Mgmt'!Y72,'Variable Mgmt'!Y73,'Variable Mgmt'!Y74))</f>
        <v>-</v>
      </c>
      <c r="K36" s="629" t="str">
        <f>CHOOSE(MODE, "-", CHOOSE(Q36,'Variable Mgmt'!Z71,'Variable Mgmt'!Z72,'Variable Mgmt'!Z73,'Variable Mgmt'!Z74))</f>
        <v>-</v>
      </c>
      <c r="L36" s="496"/>
      <c r="O36" s="759"/>
      <c r="P36" s="762"/>
      <c r="Q36" s="764">
        <v>3</v>
      </c>
      <c r="R36" s="759"/>
      <c r="S36" s="759"/>
      <c r="T36" s="759"/>
      <c r="U36" s="759"/>
    </row>
    <row r="37" spans="1:21" s="118" customFormat="1" ht="17.100000000000001" customHeight="1" x14ac:dyDescent="0.2">
      <c r="A37" s="124">
        <v>1</v>
      </c>
      <c r="B37" s="125" t="s">
        <v>640</v>
      </c>
      <c r="C37" s="126" t="str">
        <f>"Diode"</f>
        <v>Diode</v>
      </c>
      <c r="D37" s="632" t="str">
        <f>"Clamp Circuit Diode, Fast Recovery"</f>
        <v>Clamp Circuit Diode, Fast Recovery</v>
      </c>
      <c r="E37" s="633"/>
      <c r="F37" s="633"/>
      <c r="G37" s="127"/>
      <c r="H37" s="128" t="s">
        <v>118</v>
      </c>
      <c r="I37" s="486" t="s">
        <v>118</v>
      </c>
      <c r="J37" s="628" t="str">
        <f>CHOOSE(Q37,'Variable Mgmt'!Y71,'Variable Mgmt'!Y72,'Variable Mgmt'!Y73,'Variable Mgmt'!Y74)</f>
        <v>3.6 x 1.8</v>
      </c>
      <c r="K37" s="629">
        <f>CHOOSE(Q37,'Variable Mgmt'!Z71,'Variable Mgmt'!Z72,'Variable Mgmt'!Z73,'Variable Mgmt'!Z74)</f>
        <v>6.5</v>
      </c>
      <c r="L37" s="496"/>
      <c r="O37" s="759"/>
      <c r="P37" s="762"/>
      <c r="Q37" s="764">
        <v>3</v>
      </c>
      <c r="R37" s="759"/>
      <c r="S37" s="759"/>
      <c r="T37" s="759"/>
      <c r="U37" s="759"/>
    </row>
    <row r="38" spans="1:21" s="118" customFormat="1" ht="17.100000000000001" customHeight="1" x14ac:dyDescent="0.2">
      <c r="A38" s="124">
        <v>1</v>
      </c>
      <c r="B38" s="125" t="s">
        <v>636</v>
      </c>
      <c r="C38" s="126" t="str">
        <f>Vout*Nps*1.3&amp;"V"</f>
        <v>20.15V</v>
      </c>
      <c r="D38" s="808" t="str">
        <f>"Clamp Circuit Diode, Zener, "&amp;ROUND(Vout*Nps*13,0)/10&amp;"V"</f>
        <v>Clamp Circuit Diode, Zener, 20.2V</v>
      </c>
      <c r="E38" s="809"/>
      <c r="F38" s="809"/>
      <c r="G38" s="127" t="s">
        <v>119</v>
      </c>
      <c r="H38" s="128" t="s">
        <v>118</v>
      </c>
      <c r="I38" s="486" t="s">
        <v>118</v>
      </c>
      <c r="J38" s="628" t="str">
        <f>CHOOSE(Q38,'Variable Mgmt'!Y71,'Variable Mgmt'!Y72,'Variable Mgmt'!Y73,'Variable Mgmt'!Y74,'Variable Mgmt'!Y75)</f>
        <v>3.6 x 1.8</v>
      </c>
      <c r="K38" s="629">
        <f>CHOOSE(Q38,'Variable Mgmt'!Z71,'Variable Mgmt'!Z72,'Variable Mgmt'!Z73,'Variable Mgmt'!Z74)</f>
        <v>6.5</v>
      </c>
      <c r="L38" s="496"/>
      <c r="O38" s="759"/>
      <c r="P38" s="762"/>
      <c r="Q38" s="764">
        <v>3</v>
      </c>
      <c r="R38" s="759"/>
      <c r="S38" s="759"/>
      <c r="T38" s="759"/>
      <c r="U38" s="759"/>
    </row>
    <row r="39" spans="1:21" s="118" customFormat="1" ht="17.100000000000001" customHeight="1" x14ac:dyDescent="0.2">
      <c r="A39" s="124">
        <v>1</v>
      </c>
      <c r="B39" s="125" t="s">
        <v>648</v>
      </c>
      <c r="C39" s="126" t="str">
        <f>Vout*1.1&amp;"V"</f>
        <v>17.05V</v>
      </c>
      <c r="D39" s="632" t="str">
        <f>"Output Clamp Diode, Zener, "&amp;(ROUND(Vout*11.25,0)/10)&amp;"V"</f>
        <v>Output Clamp Diode, Zener, 17.4V</v>
      </c>
      <c r="E39" s="633"/>
      <c r="F39" s="633"/>
      <c r="G39" s="127"/>
      <c r="H39" s="128" t="s">
        <v>118</v>
      </c>
      <c r="I39" s="486" t="s">
        <v>118</v>
      </c>
      <c r="J39" s="628" t="str">
        <f>CHOOSE(Q39,'Variable Mgmt'!Y71,'Variable Mgmt'!Y72,'Variable Mgmt'!Y73,'Variable Mgmt'!Y74,'Variable Mgmt'!Y75)</f>
        <v>1.6 x 0.8</v>
      </c>
      <c r="K39" s="629">
        <f>CHOOSE(Q39,'Variable Mgmt'!Z71,'Variable Mgmt'!Z72,'Variable Mgmt'!Z73,'Variable Mgmt'!Z74)</f>
        <v>1.3</v>
      </c>
      <c r="L39" s="496"/>
      <c r="O39" s="759"/>
      <c r="P39" s="762"/>
      <c r="Q39" s="764">
        <v>1</v>
      </c>
      <c r="R39" s="759"/>
      <c r="S39" s="759"/>
      <c r="T39" s="759"/>
      <c r="U39" s="759"/>
    </row>
    <row r="40" spans="1:21" s="118" customFormat="1" ht="17.100000000000001" customHeight="1" x14ac:dyDescent="0.2">
      <c r="A40" s="119">
        <v>1</v>
      </c>
      <c r="B40" s="120" t="s">
        <v>641</v>
      </c>
      <c r="C40" s="121">
        <v>12.1</v>
      </c>
      <c r="D40" s="806">
        <f t="shared" ref="D40" si="0">C40</f>
        <v>12.1</v>
      </c>
      <c r="E40" s="807"/>
      <c r="F40" s="807"/>
      <c r="G40" s="122" t="s">
        <v>119</v>
      </c>
      <c r="H40" s="123" t="s">
        <v>118</v>
      </c>
      <c r="I40" s="485" t="s">
        <v>118</v>
      </c>
      <c r="J40" s="493" t="str">
        <f>CHOOSE(Q40,'Variable Mgmt'!T62,'Variable Mgmt'!T63,'Variable Mgmt'!T64)</f>
        <v>1.0 x 0.5</v>
      </c>
      <c r="K40" s="491">
        <f>CHOOSE(Q40,'Variable Mgmt'!U62,'Variable Mgmt'!U63,'Variable Mgmt'!U64,'Variable Mgmt'!U65,'Variable Mgmt'!U66)</f>
        <v>0.5</v>
      </c>
      <c r="L40" s="496"/>
      <c r="O40" s="759"/>
      <c r="P40" s="762"/>
      <c r="Q40" s="764">
        <v>1</v>
      </c>
      <c r="R40" s="759"/>
      <c r="S40" s="759"/>
      <c r="T40" s="759"/>
      <c r="U40" s="759"/>
    </row>
    <row r="41" spans="1:21" s="118" customFormat="1" ht="17.100000000000001" customHeight="1" x14ac:dyDescent="0.2">
      <c r="A41" s="119">
        <v>1</v>
      </c>
      <c r="B41" s="120" t="s">
        <v>536</v>
      </c>
      <c r="C41" s="121">
        <f>Rfb/1000</f>
        <v>164</v>
      </c>
      <c r="D41" s="806">
        <f>C41</f>
        <v>164</v>
      </c>
      <c r="E41" s="807"/>
      <c r="F41" s="807"/>
      <c r="G41" s="122" t="s">
        <v>119</v>
      </c>
      <c r="H41" s="123" t="s">
        <v>118</v>
      </c>
      <c r="I41" s="485" t="s">
        <v>118</v>
      </c>
      <c r="J41" s="493" t="str">
        <f>CHOOSE(Q41,'Variable Mgmt'!T62,'Variable Mgmt'!T63,'Variable Mgmt'!T64)</f>
        <v>1.0 x 0.5</v>
      </c>
      <c r="K41" s="491">
        <f>CHOOSE(Q41,'Variable Mgmt'!U62,'Variable Mgmt'!U63,'Variable Mgmt'!U64,'Variable Mgmt'!U65,'Variable Mgmt'!U66)</f>
        <v>0.5</v>
      </c>
      <c r="L41" s="496"/>
      <c r="O41" s="759"/>
      <c r="P41" s="762"/>
      <c r="Q41" s="764">
        <v>1</v>
      </c>
      <c r="R41" s="759"/>
      <c r="S41" s="759"/>
      <c r="T41" s="759"/>
      <c r="U41" s="759"/>
    </row>
    <row r="42" spans="1:21" s="118" customFormat="1" ht="17.100000000000001" customHeight="1" x14ac:dyDescent="0.2">
      <c r="A42" s="119" t="str">
        <f>CHOOSE(MODE_UVLO, "1", "-")</f>
        <v>1</v>
      </c>
      <c r="B42" s="120" t="s">
        <v>126</v>
      </c>
      <c r="C42" s="464" t="str">
        <f>CHOOSE(MODE_UVLO, 'Variable Mgmt'!H243, "-")</f>
        <v>332k</v>
      </c>
      <c r="D42" s="815" t="str">
        <f>CHOOSE(MODE_UVLO, "Resistor, Chip, "&amp;'Variable Mgmt'!C243&amp;", 1/16W, 1%", "-")</f>
        <v>Resistor, Chip, 332kΩ, 1/16W, 1%</v>
      </c>
      <c r="E42" s="816"/>
      <c r="F42" s="816"/>
      <c r="G42" s="122" t="s">
        <v>119</v>
      </c>
      <c r="H42" s="123" t="str">
        <f t="shared" ref="H42:I43" si="1">CHOOSE(MODE_UVLO, "Std", "-")</f>
        <v>Std</v>
      </c>
      <c r="I42" s="485" t="str">
        <f t="shared" si="1"/>
        <v>Std</v>
      </c>
      <c r="J42" s="493" t="str">
        <f>CHOOSE(MODE_UVLO, CHOOSE(Q42,'Variable Mgmt'!T62,'Variable Mgmt'!T63,'Variable Mgmt'!T64), "-")</f>
        <v>1.0 x 0.5</v>
      </c>
      <c r="K42" s="491">
        <f>CHOOSE(MODE_UVLO, CHOOSE(Q42,'Variable Mgmt'!U62,'Variable Mgmt'!U63,'Variable Mgmt'!U64,'Variable Mgmt'!U65,'Variable Mgmt'!U66),"-")</f>
        <v>0.5</v>
      </c>
      <c r="L42" s="496"/>
      <c r="O42" s="759"/>
      <c r="P42" s="762"/>
      <c r="Q42" s="764">
        <v>1</v>
      </c>
      <c r="R42" s="759"/>
      <c r="S42" s="759"/>
      <c r="T42" s="759"/>
      <c r="U42" s="759"/>
    </row>
    <row r="43" spans="1:21" s="118" customFormat="1" ht="17.100000000000001" customHeight="1" x14ac:dyDescent="0.2">
      <c r="A43" s="119" t="str">
        <f>CHOOSE(MODE_UVLO, "1", "-")</f>
        <v>1</v>
      </c>
      <c r="B43" s="120" t="s">
        <v>127</v>
      </c>
      <c r="C43" s="464" t="str">
        <f>CHOOSE(MODE_UVLO, 'Variable Mgmt'!H244, "-")</f>
        <v>59k</v>
      </c>
      <c r="D43" s="815" t="str">
        <f>CHOOSE(MODE_UVLO, "Resistor, Chip, "&amp;'Variable Mgmt'!C244&amp;", 1/16W, 1%", "-")</f>
        <v>Resistor, Chip, 59kΩ, 1/16W, 1%</v>
      </c>
      <c r="E43" s="816"/>
      <c r="F43" s="816"/>
      <c r="G43" s="122" t="s">
        <v>119</v>
      </c>
      <c r="H43" s="123" t="str">
        <f t="shared" si="1"/>
        <v>Std</v>
      </c>
      <c r="I43" s="485" t="str">
        <f t="shared" si="1"/>
        <v>Std</v>
      </c>
      <c r="J43" s="493" t="str">
        <f>CHOOSE(MODE_UVLO, CHOOSE(Q43,'Variable Mgmt'!T62,'Variable Mgmt'!T63,'Variable Mgmt'!T64), "-")</f>
        <v>1.0 x 0.5</v>
      </c>
      <c r="K43" s="491">
        <f>CHOOSE(MODE_UVLO, CHOOSE(Q43,'Variable Mgmt'!U62,'Variable Mgmt'!U63,'Variable Mgmt'!U64,'Variable Mgmt'!U65,'Variable Mgmt'!U66),"-")</f>
        <v>0.5</v>
      </c>
      <c r="L43" s="496"/>
      <c r="O43" s="759"/>
      <c r="P43" s="762"/>
      <c r="Q43" s="764">
        <v>1</v>
      </c>
      <c r="R43" s="759"/>
      <c r="S43" s="759"/>
      <c r="T43" s="759"/>
      <c r="U43" s="759"/>
    </row>
    <row r="44" spans="1:21" s="118" customFormat="1" ht="17.100000000000001" customHeight="1" x14ac:dyDescent="0.2">
      <c r="A44" s="119" t="str">
        <f>CHOOSE(MODE_TC, "1", "-")</f>
        <v>1</v>
      </c>
      <c r="B44" s="120" t="s">
        <v>527</v>
      </c>
      <c r="C44" s="121">
        <f>CHOOSE(MODE_TC, RTC, "-")</f>
        <v>324</v>
      </c>
      <c r="D44" s="806" t="str">
        <f>CHOOSE(MODE_TC, "Resistor, Chip, "&amp;'Variable Mgmt'!B239&amp;", 1/16W, 1%", "-")</f>
        <v>Resistor, Chip, 324kΩ, 1/16W, 1%</v>
      </c>
      <c r="E44" s="807"/>
      <c r="F44" s="807"/>
      <c r="G44" s="122" t="s">
        <v>119</v>
      </c>
      <c r="H44" s="123" t="str">
        <f>CHOOSE(MODE_TC, "Std", "-")</f>
        <v>Std</v>
      </c>
      <c r="I44" s="485" t="str">
        <f>CHOOSE(MODE_TC, "Std", "-")</f>
        <v>Std</v>
      </c>
      <c r="J44" s="493" t="str">
        <f>CHOOSE(MODE_TC, CHOOSE(Q44,'Variable Mgmt'!T62,'Variable Mgmt'!T383,'Variable Mgmt'!T64), "-")</f>
        <v>1.0 x 0.5</v>
      </c>
      <c r="K44" s="491">
        <f>CHOOSE(MODE_TC, CHOOSE(Q44,'Variable Mgmt'!U62,'Variable Mgmt'!U63,'Variable Mgmt'!U64,'Variable Mgmt'!U65,'Variable Mgmt'!U66),"-")</f>
        <v>0.5</v>
      </c>
      <c r="L44" s="496"/>
      <c r="O44" s="759"/>
      <c r="P44" s="762"/>
      <c r="Q44" s="764">
        <v>1</v>
      </c>
      <c r="R44" s="759"/>
      <c r="S44" s="759"/>
      <c r="T44" s="759"/>
      <c r="U44" s="759"/>
    </row>
    <row r="45" spans="1:21" s="631" customFormat="1" ht="16.5" customHeight="1" x14ac:dyDescent="0.2">
      <c r="A45" s="124">
        <v>1</v>
      </c>
      <c r="B45" s="125" t="s">
        <v>535</v>
      </c>
      <c r="C45" s="627">
        <f>'LM(2)518x PSR flyback converter'!L7</f>
        <v>9</v>
      </c>
      <c r="D45" s="812" t="str">
        <f>"Transformer, "&amp;L*1000000&amp;"µH, "&amp;'Variable Mgmt'!W50&amp;", "&amp;Rdcr_pri*1000&amp;"mΩ Pri DCR, "&amp;Isat&amp;"A Isat"</f>
        <v>Transformer, 9µH, 1 : 1, 48mΩ Pri DCR, 5A Isat</v>
      </c>
      <c r="E45" s="813"/>
      <c r="F45" s="814"/>
      <c r="G45" s="128" t="s">
        <v>125</v>
      </c>
      <c r="H45" s="128" t="s">
        <v>124</v>
      </c>
      <c r="I45" s="486" t="s">
        <v>124</v>
      </c>
      <c r="J45" s="628" t="str">
        <f>CHOOSE(Q45,'Variable Mgmt'!T71,'Variable Mgmt'!T72,'Variable Mgmt'!T73,'Variable Mgmt'!T74,'Variable Mgmt'!T75,'Variable Mgmt'!T76,'Variable Mgmt'!T77)</f>
        <v>10 x 10</v>
      </c>
      <c r="K45" s="635">
        <f>CHOOSE(Q45,'Variable Mgmt'!U71,'Variable Mgmt'!U72,'Variable Mgmt'!U73,'Variable Mgmt'!U74,'Variable Mgmt'!U75,'Variable Mgmt'!U76,'Variable Mgmt'!U77)</f>
        <v>100</v>
      </c>
      <c r="L45" s="630"/>
      <c r="O45" s="760"/>
      <c r="P45" s="765"/>
      <c r="Q45" s="766">
        <v>5</v>
      </c>
      <c r="R45" s="760"/>
      <c r="S45" s="760"/>
      <c r="T45" s="760"/>
      <c r="U45" s="760"/>
    </row>
    <row r="46" spans="1:21" ht="17.100000000000001" customHeight="1" x14ac:dyDescent="0.2">
      <c r="A46" s="468">
        <v>1</v>
      </c>
      <c r="B46" s="474" t="s">
        <v>128</v>
      </c>
      <c r="C46" s="495" t="str">
        <f>CHOOSE(VARIANT, "LM5180", "LM5181", "LM25180", "LM25183", "LM25184")</f>
        <v>LM25184</v>
      </c>
      <c r="D46" s="475" t="str">
        <f>CHOOSE(VARIANT, "IC, LM5180, PSR Flyback Converter, 4.5V–65V Input", "IC, LM5181, PSR Flyback Converter, 4.5V–65V Input", "IC, LM25180, PSR Flyback Converter, 4.5V–42V Input", "IC, LM25183, PSR Flyback Converter, 4.5V–42V Input", "IC, LM25184, PSR Flyback Converter, 4.5V–42V Input")</f>
        <v>IC, LM25184, PSR Flyback Converter, 4.5V–42V Input</v>
      </c>
      <c r="E46" s="476"/>
      <c r="F46" s="477"/>
      <c r="G46" s="473" t="s">
        <v>534</v>
      </c>
      <c r="H46" s="473" t="str">
        <f>CHOOSE(VARIANT, "LM5180NGUR", "LM5181NGUR", "LM25180NGUR", "LM25183NGUR", "LM25184NGUR")</f>
        <v>LM25184NGUR</v>
      </c>
      <c r="I46" s="475" t="s">
        <v>357</v>
      </c>
      <c r="J46" s="494" t="s">
        <v>355</v>
      </c>
      <c r="K46" s="492">
        <v>16</v>
      </c>
      <c r="L46" s="472"/>
      <c r="M46" s="472"/>
      <c r="N46" s="118"/>
      <c r="Q46" s="503"/>
    </row>
    <row r="47" spans="1:21" ht="17.100000000000001" customHeight="1" x14ac:dyDescent="0.2">
      <c r="J47" s="118"/>
      <c r="K47" s="482"/>
      <c r="L47" s="472"/>
      <c r="M47" s="472"/>
      <c r="N47" s="118"/>
    </row>
    <row r="48" spans="1:21" ht="17.25" customHeight="1" x14ac:dyDescent="0.25">
      <c r="H48" s="800" t="s">
        <v>359</v>
      </c>
      <c r="I48" s="800"/>
      <c r="J48" s="800"/>
      <c r="K48" s="500">
        <f>SUM(K31:K46)*1.25</f>
        <v>201.625</v>
      </c>
      <c r="L48" s="504" t="s">
        <v>360</v>
      </c>
      <c r="M48" s="501">
        <f>K48/25.4/25.4</f>
        <v>0.3125193750387501</v>
      </c>
      <c r="N48" s="504" t="s">
        <v>358</v>
      </c>
    </row>
    <row r="49" spans="1:14" ht="17.100000000000001" customHeight="1" x14ac:dyDescent="0.25">
      <c r="J49" s="487"/>
      <c r="K49" s="488"/>
      <c r="L49" s="489"/>
      <c r="M49" s="490"/>
      <c r="N49" s="489"/>
    </row>
    <row r="50" spans="1:14" ht="20.25" customHeight="1" x14ac:dyDescent="0.2">
      <c r="A50" s="481" t="s">
        <v>137</v>
      </c>
    </row>
    <row r="51" spans="1:14" x14ac:dyDescent="0.2">
      <c r="A51" s="115" t="s">
        <v>819</v>
      </c>
    </row>
    <row r="52" spans="1:14" x14ac:dyDescent="0.2">
      <c r="A52" s="115" t="s">
        <v>820</v>
      </c>
      <c r="K52" s="480"/>
    </row>
    <row r="53" spans="1:14" x14ac:dyDescent="0.2">
      <c r="A53" s="115" t="s">
        <v>821</v>
      </c>
    </row>
    <row r="54" spans="1:14" x14ac:dyDescent="0.2">
      <c r="A54" s="115" t="s">
        <v>822</v>
      </c>
    </row>
    <row r="55" spans="1:14" x14ac:dyDescent="0.2">
      <c r="A55" s="115" t="s">
        <v>823</v>
      </c>
    </row>
  </sheetData>
  <sheetProtection algorithmName="SHA-512" hashValue="gRtJ2L49l0ZcJYBuBPfF3L8l2EjtfQ48HYTqOWkxjUiuKxj3Nurv29d6aVN5R43OVs3hAy3wbcAQAlikT9ombQ==" saltValue="oFrMOPHhGKlxjvD1Kh2APQ=="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19050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19050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19050</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19050</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19050</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19050</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19050</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19050</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19050</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19050</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19050</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19050</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19050</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19050</xdr:rowOff>
                  </from>
                  <to>
                    <xdr:col>6</xdr:col>
                    <xdr:colOff>866775</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19050</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Mgmt'!$B$58=TRUE</xm:f>
            <x14:dxf>
              <font>
                <color theme="0"/>
              </font>
            </x14:dxf>
          </x14:cfRule>
          <xm:sqref>B36</xm:sqref>
        </x14:conditionalFormatting>
        <x14:conditionalFormatting xmlns:xm="http://schemas.microsoft.com/office/excel/2006/main">
          <x14:cfRule type="expression" priority="1" id="{8521D621-BE3D-4AAE-900E-18DA0D0FAC8E}">
            <xm:f>'Variable Mgmt'!$B$58=TRUE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Y6"/>
  <sheetViews>
    <sheetView zoomScaleNormal="100" workbookViewId="0">
      <selection activeCell="M6" sqref="M6"/>
    </sheetView>
  </sheetViews>
  <sheetFormatPr defaultColWidth="9.28515625" defaultRowHeight="12.75" x14ac:dyDescent="0.2"/>
  <cols>
    <col min="1" max="13" width="9.28515625" style="85"/>
    <col min="14" max="14" width="11.7109375" style="85" customWidth="1"/>
    <col min="15" max="16" width="9.28515625" style="85"/>
    <col min="17" max="17" width="15.7109375" style="85" customWidth="1"/>
    <col min="18" max="16384" width="9.28515625" style="85"/>
  </cols>
  <sheetData>
    <row r="1" spans="1:25" s="76" customFormat="1" ht="47.25" customHeight="1" x14ac:dyDescent="0.2">
      <c r="A1" s="821" t="s">
        <v>817</v>
      </c>
      <c r="B1" s="822"/>
      <c r="C1" s="822"/>
      <c r="D1" s="822"/>
      <c r="E1" s="822"/>
      <c r="F1" s="822"/>
      <c r="G1" s="822"/>
      <c r="H1" s="822"/>
      <c r="I1" s="822"/>
      <c r="J1" s="822"/>
      <c r="K1" s="822"/>
      <c r="L1" s="822"/>
      <c r="M1" s="822"/>
      <c r="N1" s="822"/>
      <c r="O1" s="822"/>
      <c r="P1" s="822"/>
      <c r="Q1" s="822"/>
      <c r="R1" s="83"/>
    </row>
    <row r="6" spans="1:25" ht="20.25" x14ac:dyDescent="0.3">
      <c r="B6" s="86" t="s">
        <v>683</v>
      </c>
      <c r="N6" s="86" t="s">
        <v>680</v>
      </c>
      <c r="Y6" s="86" t="s">
        <v>818</v>
      </c>
    </row>
  </sheetData>
  <sheetProtection algorithmName="SHA-512" hashValue="HvOKqGfkKzVbRB8iYNRLVfPZGopsNtSpXk/JD6sqi9QNlA/KfjINKTDWjrn+4kp73Y09oBbgLOAkWNKUBPwefQ==" saltValue="PALFP7/KNOw4RZRJRAzixw=="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81"/>
  <sheetViews>
    <sheetView topLeftCell="C1" workbookViewId="0">
      <pane ySplit="5" topLeftCell="A18" activePane="bottomLeft" state="frozenSplit"/>
      <selection pane="bottomLeft" activeCell="AA55" sqref="AA55"/>
    </sheetView>
  </sheetViews>
  <sheetFormatPr defaultRowHeight="12.75" x14ac:dyDescent="0.2"/>
  <cols>
    <col min="1" max="1" width="40.42578125" customWidth="1"/>
    <col min="2" max="2" width="11.7109375" customWidth="1"/>
    <col min="3" max="3" width="9.42578125" style="3" customWidth="1"/>
    <col min="4" max="4" width="10.28515625" customWidth="1"/>
    <col min="5" max="5" width="11.5703125" customWidth="1"/>
    <col min="6" max="6" width="14.7109375" customWidth="1"/>
    <col min="7" max="7" width="12.42578125" bestFit="1" customWidth="1"/>
    <col min="8" max="8" width="20.28515625" customWidth="1"/>
    <col min="9" max="9" width="14.42578125" customWidth="1"/>
    <col min="10" max="10" width="12.42578125" bestFit="1" customWidth="1"/>
    <col min="11" max="11" width="12" customWidth="1"/>
    <col min="12" max="12" width="8.7109375" customWidth="1"/>
    <col min="13" max="13" width="7" customWidth="1"/>
    <col min="14" max="14" width="9.28515625" customWidth="1"/>
    <col min="16" max="16" width="11.7109375" customWidth="1"/>
    <col min="17" max="17" width="11" customWidth="1"/>
    <col min="18" max="18" width="13.7109375" customWidth="1"/>
    <col min="19" max="19" width="5.42578125" customWidth="1"/>
    <col min="20" max="20" width="16.28515625" customWidth="1"/>
    <col min="22" max="22" width="9.7109375" customWidth="1"/>
    <col min="23" max="23" width="11.28515625" customWidth="1"/>
    <col min="24" max="24" width="5.7109375" customWidth="1"/>
    <col min="26" max="26" width="7.7109375" customWidth="1"/>
  </cols>
  <sheetData>
    <row r="1" spans="1:18" ht="30.75" customHeight="1" x14ac:dyDescent="0.4">
      <c r="A1" s="824" t="s">
        <v>171</v>
      </c>
      <c r="B1" s="824"/>
      <c r="C1" s="824"/>
      <c r="D1" s="824"/>
      <c r="E1" s="824"/>
      <c r="F1" s="824"/>
      <c r="G1" s="824"/>
      <c r="H1" s="824"/>
      <c r="I1" s="824"/>
    </row>
    <row r="2" spans="1:18" ht="12" customHeight="1" x14ac:dyDescent="0.2">
      <c r="A2" s="19"/>
      <c r="B2" s="19" t="s">
        <v>81</v>
      </c>
      <c r="C2" s="20"/>
      <c r="E2" s="19"/>
      <c r="F2" s="19"/>
      <c r="G2" s="19"/>
      <c r="H2" s="19"/>
      <c r="I2" s="19"/>
    </row>
    <row r="3" spans="1:18" ht="11.25" customHeight="1" x14ac:dyDescent="0.2">
      <c r="A3" s="19"/>
      <c r="B3" s="19" t="s">
        <v>100</v>
      </c>
      <c r="C3" s="21"/>
      <c r="E3" s="19"/>
      <c r="F3" s="19"/>
      <c r="G3" s="19"/>
      <c r="H3" s="19"/>
      <c r="I3" s="19"/>
    </row>
    <row r="4" spans="1:18" ht="11.25" customHeight="1" x14ac:dyDescent="0.2">
      <c r="A4" s="19"/>
      <c r="B4" s="19" t="s">
        <v>82</v>
      </c>
      <c r="C4" s="22"/>
      <c r="E4" s="19"/>
      <c r="F4" s="19"/>
      <c r="G4" s="19"/>
      <c r="H4" s="19"/>
      <c r="I4" s="19"/>
    </row>
    <row r="5" spans="1:18" x14ac:dyDescent="0.2">
      <c r="A5" s="3" t="s">
        <v>19</v>
      </c>
      <c r="B5" s="3" t="s">
        <v>6</v>
      </c>
      <c r="C5" s="3" t="s">
        <v>7</v>
      </c>
      <c r="E5" s="823" t="s">
        <v>9</v>
      </c>
      <c r="F5" s="823"/>
      <c r="G5" s="823"/>
      <c r="H5" s="823"/>
      <c r="I5" s="3" t="s">
        <v>173</v>
      </c>
    </row>
    <row r="6" spans="1:18" ht="16.5" thickBot="1" x14ac:dyDescent="0.3">
      <c r="A6" s="51" t="s">
        <v>61</v>
      </c>
      <c r="B6" s="40"/>
      <c r="C6" s="40"/>
      <c r="D6" s="40"/>
      <c r="E6" s="52"/>
      <c r="F6" s="52"/>
      <c r="G6" s="52"/>
      <c r="H6" s="52"/>
      <c r="I6" s="40"/>
    </row>
    <row r="7" spans="1:18" x14ac:dyDescent="0.2">
      <c r="A7" s="110" t="s">
        <v>145</v>
      </c>
      <c r="B7" s="9">
        <f>'LM(2)518x PSR flyback converter'!E6</f>
        <v>9</v>
      </c>
      <c r="C7" s="31" t="s">
        <v>0</v>
      </c>
      <c r="D7" s="80" t="s">
        <v>146</v>
      </c>
      <c r="E7" s="31"/>
      <c r="F7" s="31"/>
      <c r="G7" s="31"/>
      <c r="H7" s="31"/>
      <c r="I7" s="32">
        <v>1</v>
      </c>
      <c r="K7" t="str">
        <f>'Variable Mgmt'!B57&amp;" Output PSR Flyback Converter, "&amp;"VIN = "&amp;Vin&amp;" V, VOUT = "&amp;Vout&amp;" V, IOUT = "&amp;Iout&amp;" A"</f>
        <v>SINGLE Output PSR Flyback Converter, VIN = 12 V, VOUT = 15.5 V, IOUT = 0.42 A</v>
      </c>
    </row>
    <row r="8" spans="1:18" x14ac:dyDescent="0.2">
      <c r="A8" s="111" t="s">
        <v>143</v>
      </c>
      <c r="B8" s="10">
        <f>'LM(2)518x PSR flyback converter'!E7</f>
        <v>12</v>
      </c>
      <c r="C8" s="7" t="s">
        <v>0</v>
      </c>
      <c r="D8" s="7" t="s">
        <v>10</v>
      </c>
      <c r="F8" s="587"/>
      <c r="G8" s="7"/>
      <c r="H8" s="78"/>
      <c r="I8" s="25"/>
      <c r="K8" t="str">
        <f>'Variable Mgmt'!B57&amp;" Output PSR Flyback Converter, "&amp;"VIN = "&amp;Vin&amp;" V, VOUT1 = "&amp;Vout&amp;" V, IOUT1 = "&amp;Iout&amp;" A"&amp;", VOUT2 = "&amp;Vout2_actual&amp;" V, IOUT2 = "&amp;Iout2_actual&amp;" A"</f>
        <v>SINGLE Output PSR Flyback Converter, VIN = 12 V, VOUT1 = 15.5 V, IOUT1 = 0.42 A, VOUT2 = 8 V, IOUT2 = 0.725 A</v>
      </c>
    </row>
    <row r="9" spans="1:18" x14ac:dyDescent="0.2">
      <c r="A9" s="111" t="s">
        <v>144</v>
      </c>
      <c r="B9" s="10">
        <f>'LM(2)518x PSR flyback converter'!E8</f>
        <v>16</v>
      </c>
      <c r="C9" s="7" t="s">
        <v>0</v>
      </c>
      <c r="D9" s="78" t="s">
        <v>147</v>
      </c>
      <c r="F9" s="587"/>
      <c r="G9" s="7"/>
      <c r="H9" s="7"/>
      <c r="I9" s="25"/>
    </row>
    <row r="10" spans="1:18" x14ac:dyDescent="0.2">
      <c r="A10" s="111"/>
      <c r="B10" s="209"/>
      <c r="C10" s="61"/>
      <c r="D10" s="78"/>
      <c r="F10" s="7"/>
      <c r="G10" s="7"/>
      <c r="H10" s="7"/>
      <c r="I10" s="25"/>
      <c r="P10" s="159" t="s">
        <v>790</v>
      </c>
      <c r="Q10" s="165">
        <v>1</v>
      </c>
    </row>
    <row r="11" spans="1:18" x14ac:dyDescent="0.2">
      <c r="A11" s="24" t="s">
        <v>4</v>
      </c>
      <c r="B11" s="10">
        <f>'LM(2)518x PSR flyback converter'!E10</f>
        <v>15.5</v>
      </c>
      <c r="C11" s="7" t="s">
        <v>0</v>
      </c>
      <c r="D11" s="78" t="s">
        <v>576</v>
      </c>
      <c r="F11" s="7"/>
      <c r="G11" s="7">
        <f>(Vout+Vfwd1)*Nps</f>
        <v>16.399999999999999</v>
      </c>
      <c r="H11" s="7"/>
      <c r="I11" s="25">
        <v>1</v>
      </c>
      <c r="P11" s="159" t="s">
        <v>801</v>
      </c>
      <c r="Q11" s="165">
        <v>2</v>
      </c>
    </row>
    <row r="12" spans="1:18" x14ac:dyDescent="0.2">
      <c r="A12" s="24" t="s">
        <v>5</v>
      </c>
      <c r="B12" s="583">
        <f>'LM(2)518x PSR flyback converter'!E11</f>
        <v>0.42</v>
      </c>
      <c r="C12" s="78" t="s">
        <v>1</v>
      </c>
      <c r="D12" s="78" t="s">
        <v>663</v>
      </c>
      <c r="F12" s="7"/>
      <c r="G12" s="7"/>
      <c r="H12" s="7"/>
      <c r="I12" s="25">
        <v>1</v>
      </c>
      <c r="L12" s="77"/>
      <c r="P12" s="399" t="s">
        <v>791</v>
      </c>
      <c r="Q12" s="587">
        <v>3</v>
      </c>
    </row>
    <row r="13" spans="1:18" x14ac:dyDescent="0.2">
      <c r="A13" s="111" t="s">
        <v>168</v>
      </c>
      <c r="B13" s="158">
        <f>Vout/Iout</f>
        <v>36.904761904761905</v>
      </c>
      <c r="C13" s="114" t="s">
        <v>45</v>
      </c>
      <c r="D13" s="112" t="s">
        <v>169</v>
      </c>
      <c r="F13" s="7"/>
      <c r="G13" s="7"/>
      <c r="H13" s="7"/>
      <c r="I13" s="25"/>
      <c r="P13" s="399" t="s">
        <v>802</v>
      </c>
      <c r="Q13" s="587">
        <v>4</v>
      </c>
    </row>
    <row r="14" spans="1:18" x14ac:dyDescent="0.2">
      <c r="A14" s="111" t="s">
        <v>152</v>
      </c>
      <c r="B14" s="582">
        <f>Vout*Iout</f>
        <v>6.51</v>
      </c>
      <c r="C14" s="61" t="s">
        <v>45</v>
      </c>
      <c r="D14" s="112" t="s">
        <v>158</v>
      </c>
      <c r="F14" s="7"/>
      <c r="G14" s="7"/>
      <c r="H14" s="7"/>
      <c r="I14" s="25"/>
      <c r="L14" s="77"/>
      <c r="P14" s="399" t="s">
        <v>803</v>
      </c>
      <c r="Q14" s="587">
        <v>5</v>
      </c>
    </row>
    <row r="15" spans="1:18" x14ac:dyDescent="0.2">
      <c r="B15" s="376"/>
      <c r="C15" s="61"/>
      <c r="D15" s="112"/>
      <c r="F15" s="7"/>
      <c r="G15" s="7"/>
      <c r="H15" s="7"/>
      <c r="I15" s="25"/>
      <c r="L15" s="77"/>
      <c r="O15" s="378" t="s">
        <v>789</v>
      </c>
      <c r="P15" s="162" t="str">
        <f>CHOOSE(VARIANT, "LM5180", "LM5181", "LM25180", "LM25183", "LM25184")</f>
        <v>LM25184</v>
      </c>
      <c r="Q15" s="378">
        <v>5</v>
      </c>
      <c r="R15" s="5"/>
    </row>
    <row r="16" spans="1:18" x14ac:dyDescent="0.2">
      <c r="A16" s="111" t="s">
        <v>621</v>
      </c>
      <c r="B16" s="584">
        <f>ABS('LM(2)518x PSR flyback converter'!E12)</f>
        <v>8</v>
      </c>
      <c r="C16" s="7" t="s">
        <v>0</v>
      </c>
      <c r="D16" s="78" t="s">
        <v>578</v>
      </c>
      <c r="F16" s="7"/>
      <c r="G16" s="7"/>
      <c r="H16" s="7"/>
      <c r="I16" s="25"/>
      <c r="L16" s="77"/>
      <c r="O16" s="467" t="s">
        <v>792</v>
      </c>
      <c r="P16" s="743">
        <f>CHOOSE(VARIANT, 65, 65, 42, 42, 42)</f>
        <v>42</v>
      </c>
      <c r="Q16" t="s">
        <v>0</v>
      </c>
    </row>
    <row r="17" spans="1:23" x14ac:dyDescent="0.2">
      <c r="A17" s="111" t="s">
        <v>622</v>
      </c>
      <c r="B17" s="625">
        <f>'LM(2)518x PSR flyback converter'!E12</f>
        <v>8</v>
      </c>
      <c r="C17" s="61" t="s">
        <v>0</v>
      </c>
      <c r="D17" s="78"/>
      <c r="F17" s="7"/>
      <c r="G17" s="7"/>
      <c r="H17" s="7"/>
      <c r="I17" s="25"/>
      <c r="L17" s="77"/>
      <c r="O17" s="449" t="s">
        <v>851</v>
      </c>
      <c r="P17">
        <f>CHOOSE(VARIANT, 100, 100, 70, 70, 70)</f>
        <v>70</v>
      </c>
      <c r="Q17" s="77" t="s">
        <v>0</v>
      </c>
    </row>
    <row r="18" spans="1:23" x14ac:dyDescent="0.2">
      <c r="A18" s="111" t="s">
        <v>508</v>
      </c>
      <c r="B18" s="584">
        <f>ABS('LM(2)518x PSR flyback converter'!E13)</f>
        <v>0.72499999999999998</v>
      </c>
      <c r="C18" s="78" t="s">
        <v>1</v>
      </c>
      <c r="D18" s="78" t="s">
        <v>577</v>
      </c>
      <c r="F18" s="7"/>
      <c r="G18" s="7"/>
      <c r="H18" s="7"/>
      <c r="I18" s="25"/>
      <c r="L18" s="77"/>
    </row>
    <row r="19" spans="1:23" x14ac:dyDescent="0.2">
      <c r="A19" s="112" t="s">
        <v>662</v>
      </c>
      <c r="B19">
        <f>Iout2*SIGN(Vout2_actual)</f>
        <v>0.72499999999999998</v>
      </c>
      <c r="C19" s="77" t="s">
        <v>1</v>
      </c>
      <c r="F19" s="7"/>
      <c r="G19" s="7"/>
      <c r="H19" s="7"/>
      <c r="I19" s="25"/>
      <c r="L19" s="77"/>
      <c r="P19" s="3" t="s">
        <v>784</v>
      </c>
    </row>
    <row r="20" spans="1:23" x14ac:dyDescent="0.2">
      <c r="A20" s="111" t="s">
        <v>509</v>
      </c>
      <c r="B20" s="582">
        <f>ABS(Vout2/Iout2)</f>
        <v>11.03448275862069</v>
      </c>
      <c r="C20" s="114" t="s">
        <v>45</v>
      </c>
      <c r="D20" s="112" t="s">
        <v>511</v>
      </c>
      <c r="F20" s="7"/>
      <c r="G20" s="7"/>
      <c r="H20" s="7"/>
      <c r="I20" s="25"/>
      <c r="K20" s="77" t="s">
        <v>542</v>
      </c>
      <c r="L20" s="77" t="s">
        <v>543</v>
      </c>
      <c r="P20" s="3" t="s">
        <v>783</v>
      </c>
      <c r="Q20">
        <v>1</v>
      </c>
    </row>
    <row r="21" spans="1:23" x14ac:dyDescent="0.2">
      <c r="A21" s="111" t="s">
        <v>510</v>
      </c>
      <c r="B21" s="582">
        <f>ABS(Vout2*Iout2)</f>
        <v>5.8</v>
      </c>
      <c r="C21" s="61" t="s">
        <v>45</v>
      </c>
      <c r="D21" s="112" t="s">
        <v>512</v>
      </c>
      <c r="F21" s="7"/>
      <c r="G21" s="7"/>
      <c r="H21" s="7"/>
      <c r="I21" s="25"/>
      <c r="K21">
        <v>5</v>
      </c>
      <c r="L21" s="77">
        <v>-5</v>
      </c>
      <c r="P21" s="3" t="s">
        <v>782</v>
      </c>
      <c r="Q21">
        <v>2</v>
      </c>
    </row>
    <row r="22" spans="1:23" x14ac:dyDescent="0.2">
      <c r="A22" s="111" t="s">
        <v>513</v>
      </c>
      <c r="B22" s="582">
        <f>CHOOSE(MODE, Pout, Pout + Pout2)</f>
        <v>6.51</v>
      </c>
      <c r="C22" s="61" t="s">
        <v>45</v>
      </c>
      <c r="D22" s="112" t="s">
        <v>514</v>
      </c>
      <c r="F22" s="7"/>
      <c r="G22" s="7"/>
      <c r="H22" s="7"/>
      <c r="I22" s="25"/>
      <c r="K22">
        <v>0.2</v>
      </c>
      <c r="L22" s="77">
        <v>0.2</v>
      </c>
      <c r="Q22" s="3">
        <v>2</v>
      </c>
    </row>
    <row r="23" spans="1:23" x14ac:dyDescent="0.2">
      <c r="A23" s="111"/>
      <c r="B23" s="376"/>
      <c r="C23" s="61"/>
      <c r="D23" s="112"/>
      <c r="F23" s="7"/>
      <c r="G23" s="7"/>
      <c r="H23" s="7"/>
      <c r="I23" s="25"/>
      <c r="L23" s="77"/>
    </row>
    <row r="24" spans="1:23" x14ac:dyDescent="0.2">
      <c r="A24" s="34" t="str">
        <f>CHOOSE(MODE, "Turns Ratio, PRI : SEC", "Turns Ratio, PRI : SEC1")</f>
        <v>Turns Ratio, PRI : SEC</v>
      </c>
      <c r="B24" s="566" t="str">
        <f>Nps</f>
        <v>1</v>
      </c>
      <c r="C24" s="61"/>
      <c r="D24" s="112" t="str">
        <f>CHOOSE(MODE, "TR primary-secondary (single output) = Np/Ns", "TR primary-secondary1 (dual output) = Np/Nsec1")</f>
        <v>TR primary-secondary (single output) = Np/Ns</v>
      </c>
      <c r="F24" s="7"/>
      <c r="G24" s="7"/>
      <c r="H24" s="7"/>
      <c r="I24" s="25"/>
      <c r="L24" s="77"/>
    </row>
    <row r="25" spans="1:23" x14ac:dyDescent="0.2">
      <c r="A25" s="34" t="s">
        <v>590</v>
      </c>
      <c r="B25" s="177">
        <f>Npri_sec2</f>
        <v>1.842696629213483</v>
      </c>
      <c r="D25" s="112" t="s">
        <v>591</v>
      </c>
      <c r="F25" s="7"/>
      <c r="G25" s="7"/>
      <c r="H25" s="7"/>
      <c r="I25" s="25"/>
      <c r="L25" s="77"/>
    </row>
    <row r="26" spans="1:23" x14ac:dyDescent="0.2">
      <c r="A26" s="34" t="s">
        <v>603</v>
      </c>
      <c r="B26" s="624">
        <f>Nsec1sec2</f>
        <v>0.54268292682926833</v>
      </c>
      <c r="D26" s="77" t="s">
        <v>592</v>
      </c>
      <c r="F26" s="7"/>
      <c r="G26" s="7"/>
      <c r="H26" s="7"/>
      <c r="I26" s="25"/>
      <c r="L26" s="77"/>
      <c r="R26" s="162" t="s">
        <v>396</v>
      </c>
      <c r="V26" s="162" t="s">
        <v>396</v>
      </c>
    </row>
    <row r="27" spans="1:23" x14ac:dyDescent="0.2">
      <c r="H27" s="7"/>
      <c r="I27" s="25"/>
      <c r="K27" s="162" t="s">
        <v>541</v>
      </c>
      <c r="R27" s="162" t="s">
        <v>585</v>
      </c>
      <c r="V27" s="162" t="s">
        <v>586</v>
      </c>
    </row>
    <row r="28" spans="1:23" x14ac:dyDescent="0.2">
      <c r="A28" s="77" t="s">
        <v>623</v>
      </c>
      <c r="B28" s="469">
        <f>Vout+VIN_max/Nps</f>
        <v>31.5</v>
      </c>
      <c r="C28" s="77" t="s">
        <v>0</v>
      </c>
      <c r="G28" s="7"/>
      <c r="H28" s="7"/>
      <c r="I28" s="25"/>
      <c r="K28" s="77" t="s">
        <v>538</v>
      </c>
      <c r="L28">
        <v>1</v>
      </c>
      <c r="R28" t="str">
        <f>"5 : 1"</f>
        <v>5 : 1</v>
      </c>
      <c r="S28">
        <v>1</v>
      </c>
      <c r="V28" t="str">
        <f>"5 : 1"</f>
        <v>5 : 1</v>
      </c>
      <c r="W28">
        <v>1</v>
      </c>
    </row>
    <row r="29" spans="1:23" x14ac:dyDescent="0.2">
      <c r="F29" s="7"/>
      <c r="G29" s="7"/>
      <c r="H29" s="7"/>
      <c r="I29" s="25"/>
      <c r="K29" s="77" t="s">
        <v>539</v>
      </c>
      <c r="L29">
        <v>2</v>
      </c>
      <c r="R29" t="str">
        <f>"4 : 1"</f>
        <v>4 : 1</v>
      </c>
      <c r="S29">
        <v>2</v>
      </c>
      <c r="V29" t="str">
        <f>"4 : 1"</f>
        <v>4 : 1</v>
      </c>
      <c r="W29">
        <v>2</v>
      </c>
    </row>
    <row r="30" spans="1:23" x14ac:dyDescent="0.2">
      <c r="A30" s="111" t="s">
        <v>443</v>
      </c>
      <c r="B30" s="375">
        <f>1%*Vout*1000</f>
        <v>155</v>
      </c>
      <c r="C30" s="61" t="s">
        <v>149</v>
      </c>
      <c r="D30" s="112" t="s">
        <v>461</v>
      </c>
      <c r="F30" s="7"/>
      <c r="G30" s="7"/>
      <c r="H30" s="7"/>
      <c r="I30" s="25"/>
      <c r="K30" s="77" t="s">
        <v>540</v>
      </c>
      <c r="L30">
        <v>3</v>
      </c>
      <c r="R30" t="str">
        <f>"3 : 1"</f>
        <v>3 : 1</v>
      </c>
      <c r="S30">
        <v>3</v>
      </c>
      <c r="V30" t="str">
        <f>"3 : 1"</f>
        <v>3 : 1</v>
      </c>
      <c r="W30">
        <v>3</v>
      </c>
    </row>
    <row r="31" spans="1:23" x14ac:dyDescent="0.2">
      <c r="A31" s="111"/>
      <c r="B31" s="375"/>
      <c r="C31" s="61"/>
      <c r="D31" s="112"/>
      <c r="F31" s="7"/>
      <c r="G31" s="7"/>
      <c r="H31" s="7"/>
      <c r="I31" s="25"/>
      <c r="K31" s="77"/>
      <c r="R31" t="str">
        <f>"2.5 : 1"</f>
        <v>2.5 : 1</v>
      </c>
      <c r="S31">
        <v>4</v>
      </c>
      <c r="V31" t="str">
        <f>"2.5 : 1"</f>
        <v>2.5 : 1</v>
      </c>
      <c r="W31">
        <v>4</v>
      </c>
    </row>
    <row r="32" spans="1:23" x14ac:dyDescent="0.2">
      <c r="A32" s="111" t="s">
        <v>560</v>
      </c>
      <c r="B32" s="375">
        <f>1%*Vout2*1000</f>
        <v>80</v>
      </c>
      <c r="C32" s="61" t="s">
        <v>149</v>
      </c>
      <c r="D32" s="112" t="s">
        <v>559</v>
      </c>
      <c r="F32" s="7"/>
      <c r="G32" s="7"/>
      <c r="H32" s="7"/>
      <c r="I32" s="25"/>
      <c r="Q32" s="527"/>
      <c r="R32" t="str">
        <f>"2 : 1"</f>
        <v>2 : 1</v>
      </c>
      <c r="S32">
        <v>5</v>
      </c>
      <c r="V32" t="str">
        <f>"2 : 1"</f>
        <v>2 : 1</v>
      </c>
      <c r="W32">
        <v>5</v>
      </c>
    </row>
    <row r="33" spans="1:23" x14ac:dyDescent="0.2">
      <c r="F33" s="7"/>
      <c r="G33" s="7"/>
      <c r="H33" s="7"/>
      <c r="I33" s="25"/>
      <c r="R33" t="str">
        <f>"1.5 : 1"</f>
        <v>1.5 : 1</v>
      </c>
      <c r="S33">
        <v>6</v>
      </c>
      <c r="V33" t="str">
        <f>"1.5 : 1"</f>
        <v>1.5 : 1</v>
      </c>
      <c r="W33">
        <v>6</v>
      </c>
    </row>
    <row r="34" spans="1:23" x14ac:dyDescent="0.2">
      <c r="F34" s="7"/>
      <c r="G34" s="7"/>
      <c r="H34" s="7"/>
      <c r="I34" s="25"/>
      <c r="R34" s="797" t="s">
        <v>856</v>
      </c>
      <c r="S34">
        <v>7</v>
      </c>
      <c r="V34" s="797" t="s">
        <v>856</v>
      </c>
      <c r="W34">
        <v>7</v>
      </c>
    </row>
    <row r="35" spans="1:23" x14ac:dyDescent="0.2">
      <c r="A35" s="111" t="s">
        <v>47</v>
      </c>
      <c r="B35" s="626">
        <v>0.9</v>
      </c>
      <c r="C35" s="61"/>
      <c r="D35" s="78" t="s">
        <v>175</v>
      </c>
      <c r="F35" s="7"/>
      <c r="G35" s="7"/>
      <c r="H35" s="7"/>
      <c r="I35" s="25"/>
      <c r="R35" t="str">
        <f>"1 : 1"</f>
        <v>1 : 1</v>
      </c>
      <c r="S35">
        <v>8</v>
      </c>
      <c r="V35" t="str">
        <f>"1 : 1"</f>
        <v>1 : 1</v>
      </c>
      <c r="W35">
        <v>8</v>
      </c>
    </row>
    <row r="36" spans="1:23" x14ac:dyDescent="0.2">
      <c r="A36" s="111"/>
      <c r="B36" s="626"/>
      <c r="C36" s="61"/>
      <c r="D36" s="78"/>
      <c r="F36" s="7"/>
      <c r="G36" s="7"/>
      <c r="H36" s="7"/>
      <c r="I36" s="25"/>
      <c r="R36" s="797" t="s">
        <v>857</v>
      </c>
      <c r="S36">
        <v>9</v>
      </c>
      <c r="V36" s="797" t="s">
        <v>857</v>
      </c>
      <c r="W36">
        <v>9</v>
      </c>
    </row>
    <row r="37" spans="1:23" x14ac:dyDescent="0.2">
      <c r="A37" s="111" t="s">
        <v>156</v>
      </c>
      <c r="B37" s="424">
        <f>Pout/Efficiency</f>
        <v>7.2333333333333325</v>
      </c>
      <c r="C37" s="61" t="s">
        <v>45</v>
      </c>
      <c r="D37" s="112" t="s">
        <v>462</v>
      </c>
      <c r="F37" s="7"/>
      <c r="G37" s="7"/>
      <c r="H37" s="7"/>
      <c r="I37" s="25"/>
      <c r="R37" t="str">
        <f>"1 : 1.5"</f>
        <v>1 : 1.5</v>
      </c>
      <c r="S37">
        <v>10</v>
      </c>
      <c r="V37" t="str">
        <f>"1 : 1.5"</f>
        <v>1 : 1.5</v>
      </c>
      <c r="W37">
        <v>10</v>
      </c>
    </row>
    <row r="38" spans="1:23" x14ac:dyDescent="0.2">
      <c r="A38" s="111" t="s">
        <v>153</v>
      </c>
      <c r="B38" s="167">
        <f>Pin/VIN_min</f>
        <v>0.80370370370370359</v>
      </c>
      <c r="C38" s="61" t="s">
        <v>1</v>
      </c>
      <c r="D38" s="78"/>
      <c r="F38" s="7"/>
      <c r="G38" s="7"/>
      <c r="H38" s="7"/>
      <c r="I38" s="25"/>
      <c r="R38" t="str">
        <f>"1 : 2"</f>
        <v>1 : 2</v>
      </c>
      <c r="S38">
        <v>11</v>
      </c>
      <c r="V38" t="str">
        <f>"1 : 2"</f>
        <v>1 : 2</v>
      </c>
      <c r="W38">
        <v>11</v>
      </c>
    </row>
    <row r="39" spans="1:23" x14ac:dyDescent="0.2">
      <c r="A39" s="111"/>
      <c r="B39" s="167"/>
      <c r="C39" s="61"/>
      <c r="D39" s="78"/>
      <c r="F39" s="7"/>
      <c r="G39" s="7"/>
      <c r="H39" s="7"/>
      <c r="I39" s="25"/>
      <c r="R39" t="str">
        <f>"1 : 2.5"</f>
        <v>1 : 2.5</v>
      </c>
      <c r="S39">
        <v>12</v>
      </c>
      <c r="V39" t="str">
        <f>"1 : 2.5"</f>
        <v>1 : 2.5</v>
      </c>
      <c r="W39">
        <v>12</v>
      </c>
    </row>
    <row r="40" spans="1:23" x14ac:dyDescent="0.2">
      <c r="A40" s="111" t="s">
        <v>154</v>
      </c>
      <c r="B40" s="167">
        <f>Pin/VIN_nom</f>
        <v>0.60277777777777775</v>
      </c>
      <c r="C40" s="61" t="s">
        <v>1</v>
      </c>
      <c r="D40" s="112" t="s">
        <v>159</v>
      </c>
      <c r="F40" s="7"/>
      <c r="G40" s="7"/>
      <c r="H40" s="7"/>
      <c r="I40" s="25">
        <v>1</v>
      </c>
      <c r="K40" s="77"/>
      <c r="R40" t="str">
        <f>"1 : 3"</f>
        <v>1 : 3</v>
      </c>
      <c r="S40">
        <v>13</v>
      </c>
      <c r="V40" t="str">
        <f>"1 : 3"</f>
        <v>1 : 3</v>
      </c>
      <c r="W40">
        <v>13</v>
      </c>
    </row>
    <row r="41" spans="1:23" x14ac:dyDescent="0.2">
      <c r="A41" s="111" t="s">
        <v>155</v>
      </c>
      <c r="B41" s="167">
        <f>Pin/VIN_max</f>
        <v>0.45208333333333328</v>
      </c>
      <c r="C41" s="61" t="s">
        <v>1</v>
      </c>
      <c r="D41" s="78"/>
      <c r="F41" s="7"/>
      <c r="G41" s="7"/>
      <c r="H41" s="7"/>
      <c r="I41" s="25"/>
      <c r="R41" t="str">
        <f>"1 : 4"</f>
        <v>1 : 4</v>
      </c>
      <c r="S41">
        <v>14</v>
      </c>
      <c r="V41" t="str">
        <f>"1 : 4"</f>
        <v>1 : 4</v>
      </c>
      <c r="W41">
        <v>14</v>
      </c>
    </row>
    <row r="42" spans="1:23" x14ac:dyDescent="0.2">
      <c r="A42" s="111"/>
      <c r="B42" s="167"/>
      <c r="C42" s="61"/>
      <c r="D42" s="78"/>
      <c r="F42" s="7"/>
      <c r="G42" s="7"/>
      <c r="H42" s="7"/>
      <c r="I42" s="25"/>
      <c r="R42" t="str">
        <f>"1 : 5"</f>
        <v>1 : 5</v>
      </c>
      <c r="S42">
        <v>15</v>
      </c>
      <c r="V42" t="str">
        <f>"1 : 5"</f>
        <v>1 : 5</v>
      </c>
      <c r="W42">
        <v>15</v>
      </c>
    </row>
    <row r="43" spans="1:23" x14ac:dyDescent="0.2">
      <c r="A43" s="111" t="s">
        <v>620</v>
      </c>
      <c r="B43" s="376">
        <f>CHOOSE(MODE, 'Calculations - Single'!N110, 'Calculations - Dual'!O110+'Calculations - Dual'!P110)</f>
        <v>10.799787401574802</v>
      </c>
      <c r="C43" s="112" t="s">
        <v>45</v>
      </c>
      <c r="D43" s="78" t="b">
        <f>B43&lt;Pout_total</f>
        <v>0</v>
      </c>
      <c r="F43" s="7"/>
      <c r="G43" s="7"/>
      <c r="H43" s="7"/>
      <c r="I43" s="25"/>
      <c r="Q43" s="572" t="s">
        <v>395</v>
      </c>
      <c r="R43" s="467" t="str">
        <f>CHOOSE(Turns_Ratio, "5 : 1", "4 : 1", "3 : 1", "2.5 : 1", "2 : 1", "1.5 : 1", "1.2 : 1", "1 : 1", "1 : 1.2", "1 : 1.5", "1 : 2",  "1 : 2.5","1 : 3", "1 : 4", "1 : 5")</f>
        <v>1 : 1</v>
      </c>
      <c r="S43" s="3">
        <v>8</v>
      </c>
      <c r="U43" s="572" t="s">
        <v>584</v>
      </c>
      <c r="V43" s="453" t="str">
        <f>CHOOSE(Turns_Ratio2, "5 : 1", "4 : 1", "3 : 1", "2.5 : 1", "2 : 1", "1.5 : 1", "1.2 : 1", "1 : 1", "1 : 1.2", "1 : 1.5", "1 : 2",  "1 : 2.5","1 : 3", "1 : 4", "1 : 5")</f>
        <v>1 : 1.2</v>
      </c>
      <c r="W43" s="3">
        <v>9</v>
      </c>
    </row>
    <row r="44" spans="1:23" x14ac:dyDescent="0.2">
      <c r="A44" s="111" t="s">
        <v>807</v>
      </c>
      <c r="B44" s="528">
        <f>CHOOSE(MODE, 'Calculations - Single'!N111, 'Calculations - Dual'!O111+'Calculations - Dual'!P111)/Vout</f>
        <v>0.69676047752095494</v>
      </c>
      <c r="C44" s="112" t="s">
        <v>1</v>
      </c>
      <c r="D44" s="78"/>
      <c r="F44" s="7"/>
      <c r="G44" s="7"/>
      <c r="H44" s="7"/>
      <c r="I44" s="25"/>
      <c r="Q44" s="572"/>
      <c r="R44" s="467"/>
      <c r="S44" s="3"/>
      <c r="U44" s="572"/>
      <c r="V44" s="453"/>
      <c r="W44" s="3"/>
    </row>
    <row r="45" spans="1:23" x14ac:dyDescent="0.2">
      <c r="A45" s="111" t="s">
        <v>435</v>
      </c>
      <c r="B45" s="134">
        <v>350000</v>
      </c>
      <c r="C45" s="112" t="s">
        <v>8</v>
      </c>
      <c r="D45" s="78" t="s">
        <v>579</v>
      </c>
      <c r="F45" s="7"/>
      <c r="G45" s="7"/>
      <c r="H45" s="7"/>
      <c r="I45" s="25"/>
    </row>
    <row r="46" spans="1:23" x14ac:dyDescent="0.2">
      <c r="A46" s="26" t="s">
        <v>18</v>
      </c>
      <c r="B46" s="27">
        <v>1.21</v>
      </c>
      <c r="C46" s="7" t="s">
        <v>0</v>
      </c>
      <c r="D46" s="78" t="s">
        <v>580</v>
      </c>
      <c r="F46" s="7"/>
      <c r="G46" s="7"/>
      <c r="H46" s="7"/>
      <c r="I46" s="25"/>
      <c r="Q46" s="77" t="s">
        <v>454</v>
      </c>
      <c r="R46" s="467" t="str">
        <f>CHOOSE(Turns_Ratio, "5", "4 ", "3", "2.5", "2", "1.5", "1.2", "1", "0.83",  "0.66", "0.5", "0.4", "0.33", "0.25", "0.2")</f>
        <v>1</v>
      </c>
    </row>
    <row r="47" spans="1:23" x14ac:dyDescent="0.2">
      <c r="A47" s="111" t="s">
        <v>393</v>
      </c>
      <c r="B47" s="168">
        <f>'LM(2)518x PSR flyback converter'!E28*1000</f>
        <v>164000</v>
      </c>
      <c r="C47" s="114" t="s">
        <v>45</v>
      </c>
      <c r="D47" s="112" t="s">
        <v>581</v>
      </c>
      <c r="F47" s="7"/>
      <c r="G47" s="7"/>
      <c r="H47" s="7"/>
      <c r="I47" s="25"/>
      <c r="Q47" s="77" t="s">
        <v>503</v>
      </c>
      <c r="R47" s="467" t="str">
        <f>CHOOSE(Turns_Ratio, "5", "4 ", "3", "2.5", "2", "1.5", "1.2", "1", "0.83",  "0.66", "0.5", "0.4", "0.33", "0.25", "0.2")</f>
        <v>1</v>
      </c>
      <c r="V47" s="77" t="s">
        <v>588</v>
      </c>
      <c r="W47" s="162" t="str">
        <f>CHOOSE(Turns_Ratio, "1", "1", "1", "1", "1", "1", "1.2", "1.5", "2", "2.5", "3", "4", "5")</f>
        <v>1.5</v>
      </c>
    </row>
    <row r="48" spans="1:23" x14ac:dyDescent="0.2">
      <c r="A48" s="111" t="s">
        <v>786</v>
      </c>
      <c r="B48" s="375">
        <f>VIN_max+Nps*(Vout+Vfwd2)</f>
        <v>32.4</v>
      </c>
      <c r="C48" s="78" t="s">
        <v>0</v>
      </c>
      <c r="D48" s="112" t="b">
        <f>B48&gt;F48</f>
        <v>0</v>
      </c>
      <c r="F48" s="7">
        <f>CHOOSE(VARIANT, 90, 90, 60, 60, 60)</f>
        <v>60</v>
      </c>
      <c r="G48" s="7"/>
      <c r="H48" s="7"/>
      <c r="I48" s="25"/>
      <c r="K48" s="77" t="s">
        <v>397</v>
      </c>
      <c r="Q48" s="77" t="s">
        <v>587</v>
      </c>
      <c r="R48" s="637">
        <f>ABS((Vout2+Vfwd1)/(Vout+Vfwd1))</f>
        <v>0.54268292682926833</v>
      </c>
      <c r="V48" s="77" t="s">
        <v>587</v>
      </c>
      <c r="W48" s="623">
        <f>Nsec1sec2</f>
        <v>0.54268292682926833</v>
      </c>
    </row>
    <row r="49" spans="1:23" ht="15.75" x14ac:dyDescent="0.3">
      <c r="A49" s="111" t="s">
        <v>394</v>
      </c>
      <c r="B49" s="528">
        <v>0.1</v>
      </c>
      <c r="C49" s="78" t="s">
        <v>45</v>
      </c>
      <c r="D49" s="112" t="s">
        <v>582</v>
      </c>
      <c r="F49" s="607" t="s">
        <v>583</v>
      </c>
      <c r="G49" s="7"/>
      <c r="H49" s="7"/>
      <c r="I49" s="25"/>
      <c r="Q49" s="483" t="s">
        <v>504</v>
      </c>
      <c r="R49" s="621">
        <f>Nps/Nsec1sec2</f>
        <v>1.842696629213483</v>
      </c>
      <c r="V49" s="3"/>
      <c r="W49" s="622">
        <f>W47*W48</f>
        <v>0.8140243902439025</v>
      </c>
    </row>
    <row r="50" spans="1:23" ht="13.5" thickBot="1" x14ac:dyDescent="0.25">
      <c r="A50" s="28"/>
      <c r="B50" s="29"/>
      <c r="C50" s="81"/>
      <c r="D50" s="29"/>
      <c r="E50" s="29"/>
      <c r="F50" s="29"/>
      <c r="G50" s="29"/>
      <c r="H50" s="29"/>
      <c r="I50" s="30"/>
      <c r="K50" s="449" t="str">
        <f>"SCH_"&amp;B57&amp;"_"&amp;F62&amp;"_"&amp;I62&amp;"_"&amp;F56</f>
        <v>SCH_SINGLE_UVLOadj_SSint_TCyes</v>
      </c>
      <c r="R50" s="372">
        <f>ROUND(Nsec1sec2,1)</f>
        <v>0.5</v>
      </c>
      <c r="V50" s="162" t="s">
        <v>589</v>
      </c>
      <c r="W50" s="612" t="str">
        <f>CHOOSE(MODE, R43, R43&amp;" : "&amp;ROUND(W49,2))</f>
        <v>1 : 1</v>
      </c>
    </row>
    <row r="51" spans="1:23" x14ac:dyDescent="0.2">
      <c r="A51" s="7"/>
      <c r="B51" s="7"/>
      <c r="C51" s="40"/>
      <c r="D51" s="7"/>
      <c r="E51" s="7"/>
      <c r="F51" s="7"/>
      <c r="G51" s="7"/>
      <c r="H51" s="7"/>
      <c r="I51" s="7"/>
    </row>
    <row r="52" spans="1:23" ht="16.5" thickBot="1" x14ac:dyDescent="0.3">
      <c r="A52" s="51" t="s">
        <v>570</v>
      </c>
      <c r="B52" s="7"/>
      <c r="C52" s="40"/>
      <c r="D52" s="7"/>
      <c r="E52" s="7"/>
      <c r="F52" s="7"/>
      <c r="G52" s="7"/>
      <c r="H52" s="7"/>
      <c r="I52" s="7"/>
    </row>
    <row r="53" spans="1:23" ht="15.75" x14ac:dyDescent="0.25">
      <c r="A53" s="384"/>
      <c r="B53" s="385"/>
      <c r="C53" s="386"/>
      <c r="D53" s="385"/>
      <c r="E53" s="385"/>
      <c r="F53" s="385"/>
      <c r="G53" s="385"/>
      <c r="H53" s="385"/>
      <c r="I53" s="441"/>
      <c r="J53" s="441"/>
      <c r="K53" s="441"/>
      <c r="L53" s="441"/>
      <c r="M53" s="441"/>
      <c r="N53" s="441"/>
      <c r="O53" s="24"/>
    </row>
    <row r="54" spans="1:23" x14ac:dyDescent="0.2">
      <c r="A54" s="381" t="s">
        <v>363</v>
      </c>
      <c r="B54" s="78" t="s">
        <v>364</v>
      </c>
      <c r="C54" s="442">
        <v>1</v>
      </c>
      <c r="D54" s="7"/>
      <c r="E54" s="381" t="s">
        <v>381</v>
      </c>
      <c r="F54" s="78" t="s">
        <v>366</v>
      </c>
      <c r="G54" s="165" t="b">
        <v>1</v>
      </c>
      <c r="I54" s="159" t="s">
        <v>301</v>
      </c>
      <c r="J54" s="165">
        <v>1</v>
      </c>
      <c r="K54" t="str">
        <f>B57&amp;", "&amp;F56&amp;", "&amp;I56&amp;", "&amp;F62&amp;", "&amp;I62</f>
        <v>SINGLE, TCyes, IlimRes, UVLOadj, SSint</v>
      </c>
      <c r="O54" s="24"/>
      <c r="Q54" s="399" t="s">
        <v>334</v>
      </c>
      <c r="R54" s="3" t="s">
        <v>329</v>
      </c>
      <c r="S54" s="372">
        <v>1</v>
      </c>
    </row>
    <row r="55" spans="1:23" x14ac:dyDescent="0.2">
      <c r="A55" s="380"/>
      <c r="B55" s="78" t="s">
        <v>365</v>
      </c>
      <c r="C55" s="442">
        <v>2</v>
      </c>
      <c r="D55" s="7"/>
      <c r="E55" s="37"/>
      <c r="F55" s="78" t="s">
        <v>367</v>
      </c>
      <c r="G55" s="165" t="b">
        <v>0</v>
      </c>
      <c r="I55" s="159" t="s">
        <v>302</v>
      </c>
      <c r="J55" s="165">
        <v>2</v>
      </c>
      <c r="K55" t="str">
        <f>C57&amp;", "&amp;G56&amp;", "&amp;J56&amp;", "&amp;G62&amp;", "&amp;J62</f>
        <v>1, 1, 2, 1, 2</v>
      </c>
      <c r="O55" s="24"/>
      <c r="Q55" s="399" t="s">
        <v>336</v>
      </c>
      <c r="R55" s="3" t="s">
        <v>330</v>
      </c>
      <c r="S55" s="372">
        <v>2</v>
      </c>
    </row>
    <row r="56" spans="1:23" x14ac:dyDescent="0.2">
      <c r="B56" s="77" t="s">
        <v>517</v>
      </c>
      <c r="C56" s="587">
        <v>3</v>
      </c>
      <c r="D56" s="7"/>
      <c r="E56" s="448" t="s">
        <v>382</v>
      </c>
      <c r="F56" s="383" t="str">
        <f>CHOOSE(G56, "TCyes", "TCno")</f>
        <v>TCyes</v>
      </c>
      <c r="G56" s="378">
        <v>1</v>
      </c>
      <c r="H56" s="448" t="s">
        <v>300</v>
      </c>
      <c r="I56" s="444" t="str">
        <f>CHOOSE(J56, "IlimGND", "IlimRes")</f>
        <v>IlimRes</v>
      </c>
      <c r="J56" s="378">
        <f>IF(C62=4, 1, 2)</f>
        <v>2</v>
      </c>
      <c r="K56" t="str">
        <f>C57&amp;G56&amp;J56&amp;G62&amp;J62</f>
        <v>11212</v>
      </c>
      <c r="O56" s="24"/>
      <c r="Q56" s="399" t="s">
        <v>337</v>
      </c>
      <c r="R56" s="3" t="s">
        <v>331</v>
      </c>
      <c r="S56" s="372">
        <v>3</v>
      </c>
    </row>
    <row r="57" spans="1:23" x14ac:dyDescent="0.2">
      <c r="A57" s="445" t="s">
        <v>285</v>
      </c>
      <c r="B57" s="443" t="str">
        <f>CHOOSE(C57,"SINGLE", IF(Vout2_actual&gt;0, "DUAL", "BIPOLAR"))</f>
        <v>SINGLE</v>
      </c>
      <c r="C57" s="382">
        <v>1</v>
      </c>
      <c r="D57" s="7"/>
      <c r="E57" s="7"/>
      <c r="G57" s="79">
        <f>TC</f>
        <v>1</v>
      </c>
      <c r="I57" s="378"/>
      <c r="J57" s="7"/>
      <c r="O57" s="24"/>
      <c r="Q57" s="399" t="s">
        <v>335</v>
      </c>
      <c r="R57" s="3" t="s">
        <v>332</v>
      </c>
      <c r="S57" s="372">
        <v>4</v>
      </c>
    </row>
    <row r="58" spans="1:23" x14ac:dyDescent="0.2">
      <c r="A58" s="380"/>
      <c r="B58" s="3" t="b">
        <f>CHOOSE(C57, TRUE, FALSE)</f>
        <v>1</v>
      </c>
      <c r="C58" s="79" t="str">
        <f>CHOOSE(C57,"1", IF(Vout2&gt;0, "2", "3"))</f>
        <v>1</v>
      </c>
      <c r="O58" s="24"/>
      <c r="Q58" s="399" t="s">
        <v>339</v>
      </c>
      <c r="R58" s="3" t="s">
        <v>338</v>
      </c>
      <c r="S58" s="372">
        <v>5</v>
      </c>
    </row>
    <row r="59" spans="1:23" x14ac:dyDescent="0.2">
      <c r="O59" s="24"/>
      <c r="Q59" s="447" t="s">
        <v>333</v>
      </c>
      <c r="R59" s="453" t="str">
        <f>CHOOSE(S59,"6.3V","10V","16V","25V","50V")</f>
        <v>25V</v>
      </c>
      <c r="S59" s="467">
        <f>IF(Vout&lt;=5, 1, IF(Vout&lt;=8, 2, IF(Vout&lt;=12, 3, IF(Vout&lt;=20, 4, 5))))</f>
        <v>4</v>
      </c>
    </row>
    <row r="60" spans="1:23" x14ac:dyDescent="0.2">
      <c r="A60" s="387" t="s">
        <v>188</v>
      </c>
      <c r="B60" s="112" t="s">
        <v>366</v>
      </c>
      <c r="C60" s="442">
        <v>1</v>
      </c>
      <c r="D60" s="7"/>
      <c r="E60" s="162" t="s">
        <v>319</v>
      </c>
      <c r="F60" s="483" t="s">
        <v>547</v>
      </c>
      <c r="G60" s="165">
        <v>1</v>
      </c>
      <c r="H60" s="381" t="s">
        <v>296</v>
      </c>
      <c r="I60" s="78" t="s">
        <v>547</v>
      </c>
      <c r="J60" s="165">
        <v>1</v>
      </c>
      <c r="L60" s="159" t="s">
        <v>317</v>
      </c>
      <c r="M60" s="165">
        <v>1</v>
      </c>
      <c r="O60" s="24"/>
    </row>
    <row r="61" spans="1:23" x14ac:dyDescent="0.2">
      <c r="A61" s="388"/>
      <c r="B61" s="112" t="s">
        <v>367</v>
      </c>
      <c r="C61" s="442">
        <v>2</v>
      </c>
      <c r="D61" s="7"/>
      <c r="F61" s="483" t="s">
        <v>548</v>
      </c>
      <c r="G61" s="165">
        <v>2</v>
      </c>
      <c r="H61" s="37"/>
      <c r="I61" s="78" t="s">
        <v>664</v>
      </c>
      <c r="J61" s="165">
        <v>2</v>
      </c>
      <c r="L61" s="159" t="s">
        <v>318</v>
      </c>
      <c r="M61" s="165">
        <v>2</v>
      </c>
      <c r="O61" s="24"/>
      <c r="R61" s="3" t="s">
        <v>645</v>
      </c>
      <c r="S61" s="3"/>
      <c r="T61" s="3" t="s">
        <v>116</v>
      </c>
      <c r="U61" s="3" t="s">
        <v>646</v>
      </c>
    </row>
    <row r="62" spans="1:23" x14ac:dyDescent="0.2">
      <c r="A62" s="446" t="s">
        <v>286</v>
      </c>
      <c r="B62" s="443" t="str">
        <f>CHOOSE(C62, "YES", "NO")</f>
        <v>YES</v>
      </c>
      <c r="C62" s="382">
        <v>1</v>
      </c>
      <c r="D62" s="7"/>
      <c r="E62" s="447" t="s">
        <v>305</v>
      </c>
      <c r="F62" s="444" t="str">
        <f>CHOOSE(G62, "UVLOadj", "UVLOint")</f>
        <v>UVLOadj</v>
      </c>
      <c r="G62" s="378">
        <v>1</v>
      </c>
      <c r="H62" s="448" t="s">
        <v>287</v>
      </c>
      <c r="I62" s="383" t="str">
        <f>CHOOSE(J62, "SSadj", "SSint")</f>
        <v>SSint</v>
      </c>
      <c r="J62" s="378">
        <v>2</v>
      </c>
      <c r="L62" s="379" t="s">
        <v>298</v>
      </c>
      <c r="M62" s="378">
        <v>1</v>
      </c>
      <c r="O62" s="24"/>
      <c r="R62" s="466" t="s">
        <v>342</v>
      </c>
      <c r="S62" s="372">
        <v>1</v>
      </c>
      <c r="T62" s="77" t="s">
        <v>348</v>
      </c>
      <c r="U62" s="469">
        <v>0.5</v>
      </c>
    </row>
    <row r="63" spans="1:23" ht="13.5" thickBot="1" x14ac:dyDescent="0.25">
      <c r="A63" s="28"/>
      <c r="B63" s="29"/>
      <c r="C63" s="164"/>
      <c r="D63" s="29"/>
      <c r="E63" s="29"/>
      <c r="F63" s="29"/>
      <c r="G63" s="29"/>
      <c r="H63" s="29"/>
      <c r="I63" s="29"/>
      <c r="J63" s="29"/>
      <c r="K63" s="29"/>
      <c r="L63" s="29"/>
      <c r="M63" s="29"/>
      <c r="N63" s="29"/>
      <c r="O63" s="24"/>
      <c r="R63" s="466" t="s">
        <v>119</v>
      </c>
      <c r="S63" s="372">
        <v>2</v>
      </c>
      <c r="T63" s="77" t="s">
        <v>352</v>
      </c>
      <c r="U63" s="469">
        <v>1.3</v>
      </c>
    </row>
    <row r="64" spans="1:23" x14ac:dyDescent="0.2">
      <c r="A64" s="7"/>
      <c r="B64" s="7" t="b">
        <f>(CONFIG="2")</f>
        <v>0</v>
      </c>
      <c r="C64" s="40" t="str">
        <f>CONFIG</f>
        <v>1</v>
      </c>
      <c r="D64" s="7"/>
      <c r="E64" s="7"/>
      <c r="F64" s="7"/>
      <c r="G64" s="7"/>
      <c r="H64" s="7"/>
      <c r="I64" s="7"/>
      <c r="R64" s="466" t="s">
        <v>343</v>
      </c>
      <c r="S64" s="372">
        <v>3</v>
      </c>
      <c r="T64" s="77" t="s">
        <v>353</v>
      </c>
      <c r="U64" s="469">
        <v>2.5</v>
      </c>
    </row>
    <row r="65" spans="1:26" ht="16.5" thickBot="1" x14ac:dyDescent="0.3">
      <c r="A65" s="51" t="s">
        <v>571</v>
      </c>
      <c r="B65" s="40"/>
      <c r="C65" s="40"/>
      <c r="E65" s="7"/>
      <c r="F65" s="7"/>
      <c r="G65" s="7"/>
      <c r="H65" s="7"/>
      <c r="I65" s="7"/>
      <c r="R65" s="466" t="s">
        <v>344</v>
      </c>
      <c r="S65" s="372">
        <v>4</v>
      </c>
      <c r="T65" s="77" t="s">
        <v>351</v>
      </c>
      <c r="U65" s="469">
        <v>5.0999999999999996</v>
      </c>
    </row>
    <row r="66" spans="1:26" x14ac:dyDescent="0.2">
      <c r="A66" s="110"/>
      <c r="B66" s="605"/>
      <c r="C66" s="606"/>
      <c r="D66" s="157"/>
      <c r="E66" s="80"/>
      <c r="F66" s="31"/>
      <c r="G66" s="31"/>
      <c r="H66" s="31"/>
      <c r="I66" s="32">
        <v>1</v>
      </c>
      <c r="R66" s="466" t="s">
        <v>345</v>
      </c>
      <c r="S66" s="372">
        <v>5</v>
      </c>
      <c r="T66" s="77" t="s">
        <v>354</v>
      </c>
      <c r="U66" s="469">
        <v>8</v>
      </c>
    </row>
    <row r="67" spans="1:26" x14ac:dyDescent="0.2">
      <c r="A67" s="111" t="s">
        <v>150</v>
      </c>
      <c r="B67" s="166">
        <f>Nps*(Vout+Vfwd2)/(VIN_min+Nps*(Vout+Vfwd2))</f>
        <v>0.64566929133858264</v>
      </c>
      <c r="C67" s="7"/>
      <c r="D67" t="b">
        <f>B67&gt;0.75</f>
        <v>0</v>
      </c>
      <c r="E67" s="78"/>
      <c r="F67" s="7"/>
      <c r="G67" s="7"/>
      <c r="H67" s="7"/>
      <c r="I67" s="25">
        <v>1</v>
      </c>
      <c r="Q67" s="447" t="s">
        <v>346</v>
      </c>
      <c r="R67" s="453" t="str">
        <f>CHOOSE(S67,"0402","0603","0805","1206","1210")</f>
        <v>1210</v>
      </c>
      <c r="S67" s="467">
        <v>5</v>
      </c>
      <c r="T67" s="453" t="str">
        <f>CHOOSE(S67,T62,T63, T64,T65,T66)</f>
        <v>3.2 x 2.5</v>
      </c>
    </row>
    <row r="68" spans="1:26" x14ac:dyDescent="0.2">
      <c r="A68" s="111" t="s">
        <v>157</v>
      </c>
      <c r="B68" s="166">
        <f>Nps*(Vout+Vfwd1)/(VIN_nom+Nps*(Vout+Vfwd1))</f>
        <v>0.57746478873239437</v>
      </c>
      <c r="C68" s="7"/>
      <c r="F68" s="7"/>
      <c r="G68" s="7"/>
      <c r="H68" s="7"/>
      <c r="I68" s="25"/>
    </row>
    <row r="69" spans="1:26" x14ac:dyDescent="0.2">
      <c r="A69" s="111" t="s">
        <v>151</v>
      </c>
      <c r="B69" s="166">
        <f>Nps*(Vout+Vfwd1)/(VIN_max+Nps*(Vout+Vfwd1))</f>
        <v>0.50617283950617287</v>
      </c>
      <c r="C69" s="7"/>
      <c r="E69" s="78"/>
      <c r="F69" s="7"/>
      <c r="G69" s="7"/>
      <c r="H69" s="7"/>
      <c r="I69" s="25"/>
    </row>
    <row r="70" spans="1:26" x14ac:dyDescent="0.2">
      <c r="A70" s="77"/>
      <c r="B70" s="7"/>
      <c r="C70" s="7"/>
      <c r="D70" s="7"/>
      <c r="E70" s="78"/>
      <c r="F70" s="7"/>
      <c r="G70" s="7"/>
      <c r="H70" s="7"/>
      <c r="I70" s="25"/>
      <c r="R70" s="3" t="s">
        <v>645</v>
      </c>
      <c r="S70" s="3"/>
      <c r="T70" s="3" t="s">
        <v>116</v>
      </c>
      <c r="U70" s="3" t="s">
        <v>646</v>
      </c>
      <c r="W70" s="3" t="s">
        <v>645</v>
      </c>
      <c r="X70" s="3"/>
      <c r="Y70" s="3" t="s">
        <v>116</v>
      </c>
      <c r="Z70" s="3" t="s">
        <v>646</v>
      </c>
    </row>
    <row r="71" spans="1:26" x14ac:dyDescent="0.2">
      <c r="A71" s="111"/>
      <c r="B71" s="643"/>
      <c r="C71" s="78"/>
      <c r="D71" s="78"/>
      <c r="F71" s="7"/>
      <c r="G71" s="7"/>
      <c r="H71" s="7"/>
      <c r="I71" s="25"/>
      <c r="R71" s="77" t="s">
        <v>349</v>
      </c>
      <c r="S71" s="372">
        <v>1</v>
      </c>
      <c r="T71" s="483" t="s">
        <v>634</v>
      </c>
      <c r="U71" s="469">
        <v>36</v>
      </c>
      <c r="W71" s="77" t="s">
        <v>652</v>
      </c>
      <c r="X71" s="372">
        <v>1</v>
      </c>
      <c r="Y71" s="77" t="s">
        <v>352</v>
      </c>
      <c r="Z71">
        <v>1.3</v>
      </c>
    </row>
    <row r="72" spans="1:26" x14ac:dyDescent="0.2">
      <c r="A72" s="111"/>
      <c r="B72" s="643"/>
      <c r="C72" s="7"/>
      <c r="D72" s="78"/>
      <c r="F72" s="7"/>
      <c r="G72" s="7"/>
      <c r="H72" s="7"/>
      <c r="I72" s="25"/>
      <c r="R72" s="77" t="s">
        <v>350</v>
      </c>
      <c r="S72" s="372">
        <v>2</v>
      </c>
      <c r="T72" s="483" t="s">
        <v>633</v>
      </c>
      <c r="U72" s="469">
        <v>49</v>
      </c>
      <c r="W72" s="77" t="s">
        <v>642</v>
      </c>
      <c r="X72" s="372">
        <v>2</v>
      </c>
      <c r="Y72" s="77" t="s">
        <v>651</v>
      </c>
      <c r="Z72">
        <v>3.2</v>
      </c>
    </row>
    <row r="73" spans="1:26" x14ac:dyDescent="0.2">
      <c r="A73" s="111"/>
      <c r="B73" s="643"/>
      <c r="C73" s="78"/>
      <c r="D73" s="78"/>
      <c r="F73" s="7"/>
      <c r="G73" s="7"/>
      <c r="H73" s="7"/>
      <c r="I73" s="25"/>
      <c r="R73" s="77" t="s">
        <v>624</v>
      </c>
      <c r="S73" s="372">
        <v>3</v>
      </c>
      <c r="T73" s="483" t="s">
        <v>632</v>
      </c>
      <c r="U73" s="469">
        <v>64</v>
      </c>
      <c r="W73" s="77" t="s">
        <v>643</v>
      </c>
      <c r="X73" s="372">
        <v>3</v>
      </c>
      <c r="Y73" s="77" t="s">
        <v>650</v>
      </c>
      <c r="Z73">
        <v>6.5</v>
      </c>
    </row>
    <row r="74" spans="1:26" x14ac:dyDescent="0.2">
      <c r="A74" s="77"/>
      <c r="B74" s="11"/>
      <c r="C74"/>
      <c r="I74" s="25">
        <v>1</v>
      </c>
      <c r="R74" s="77" t="s">
        <v>625</v>
      </c>
      <c r="S74" s="372">
        <v>4</v>
      </c>
      <c r="T74" s="483" t="s">
        <v>631</v>
      </c>
      <c r="U74" s="469">
        <v>81</v>
      </c>
      <c r="W74" s="77" t="s">
        <v>644</v>
      </c>
      <c r="X74" s="372">
        <v>4</v>
      </c>
      <c r="Y74" s="77" t="s">
        <v>649</v>
      </c>
      <c r="Z74">
        <v>12.5</v>
      </c>
    </row>
    <row r="75" spans="1:26" x14ac:dyDescent="0.2">
      <c r="A75" s="112"/>
      <c r="B75" s="644"/>
      <c r="C75" s="78"/>
      <c r="D75" s="78"/>
      <c r="E75" s="78"/>
      <c r="F75" s="7"/>
      <c r="G75" s="7"/>
      <c r="H75" s="7"/>
      <c r="I75" s="25"/>
      <c r="R75" s="77" t="s">
        <v>626</v>
      </c>
      <c r="S75" s="372">
        <v>5</v>
      </c>
      <c r="T75" s="483" t="s">
        <v>630</v>
      </c>
      <c r="U75" s="469">
        <v>100</v>
      </c>
      <c r="W75" s="77" t="s">
        <v>813</v>
      </c>
      <c r="X75" s="372">
        <v>5</v>
      </c>
      <c r="Y75" s="77" t="s">
        <v>814</v>
      </c>
      <c r="Z75">
        <v>16.5</v>
      </c>
    </row>
    <row r="76" spans="1:26" x14ac:dyDescent="0.2">
      <c r="A76" s="112"/>
      <c r="B76" s="644"/>
      <c r="C76" s="7"/>
      <c r="D76" s="78">
        <f>Isw_min</f>
        <v>0.82</v>
      </c>
      <c r="E76" s="78"/>
      <c r="F76" s="7"/>
      <c r="G76" s="7"/>
      <c r="H76" s="7"/>
      <c r="I76" s="25"/>
      <c r="R76" s="77" t="s">
        <v>627</v>
      </c>
      <c r="S76" s="372">
        <v>6</v>
      </c>
      <c r="T76" s="483" t="s">
        <v>629</v>
      </c>
      <c r="U76" s="469">
        <v>120</v>
      </c>
      <c r="W76" s="447" t="s">
        <v>647</v>
      </c>
    </row>
    <row r="77" spans="1:26" x14ac:dyDescent="0.2">
      <c r="A77" s="112"/>
      <c r="B77" s="644"/>
      <c r="C77" s="78"/>
      <c r="D77" s="78"/>
      <c r="E77" s="78"/>
      <c r="F77" s="7"/>
      <c r="G77" s="7"/>
      <c r="H77" s="7"/>
      <c r="I77" s="25"/>
      <c r="R77" s="77" t="s">
        <v>628</v>
      </c>
      <c r="S77" s="372">
        <v>7</v>
      </c>
      <c r="T77" s="483" t="s">
        <v>635</v>
      </c>
      <c r="U77" s="469">
        <v>143</v>
      </c>
    </row>
    <row r="78" spans="1:26" ht="15.75" x14ac:dyDescent="0.3">
      <c r="A78" s="77"/>
      <c r="B78" s="7"/>
      <c r="C78" s="78"/>
      <c r="D78" s="7"/>
      <c r="E78" s="78"/>
      <c r="F78" s="7"/>
      <c r="G78" s="7"/>
      <c r="H78" s="7"/>
      <c r="I78" s="25"/>
      <c r="K78" s="77" t="s">
        <v>321</v>
      </c>
      <c r="Q78" s="447" t="s">
        <v>460</v>
      </c>
    </row>
    <row r="79" spans="1:26" x14ac:dyDescent="0.2">
      <c r="A79" s="111" t="s">
        <v>695</v>
      </c>
      <c r="B79" s="42">
        <f>'LM(2)518x PSR flyback converter'!L7/1000000</f>
        <v>9.0000000000000002E-6</v>
      </c>
      <c r="C79" s="7" t="s">
        <v>11</v>
      </c>
      <c r="D79" s="78" t="s">
        <v>459</v>
      </c>
      <c r="F79" s="7"/>
      <c r="G79" s="7"/>
      <c r="H79" s="7"/>
      <c r="I79" s="25"/>
    </row>
    <row r="80" spans="1:26" x14ac:dyDescent="0.2">
      <c r="A80" s="111" t="s">
        <v>677</v>
      </c>
      <c r="B80" s="134">
        <f>'LM(2)518x PSR flyback converter'!L11</f>
        <v>100</v>
      </c>
      <c r="C80" s="7" t="s">
        <v>678</v>
      </c>
      <c r="D80" s="78"/>
      <c r="F80" s="7"/>
      <c r="G80" s="7"/>
      <c r="H80" s="7"/>
      <c r="I80" s="25"/>
    </row>
    <row r="81" spans="1:12" x14ac:dyDescent="0.2">
      <c r="A81" s="111" t="s">
        <v>392</v>
      </c>
      <c r="B81" s="10">
        <f>'LM(2)518x PSR flyback converter'!L8/1000</f>
        <v>4.8000000000000001E-2</v>
      </c>
      <c r="C81" s="114" t="s">
        <v>45</v>
      </c>
      <c r="D81" s="78" t="s">
        <v>457</v>
      </c>
      <c r="F81" s="7"/>
      <c r="G81" s="7"/>
      <c r="H81" s="7"/>
      <c r="I81" s="25"/>
    </row>
    <row r="82" spans="1:12" x14ac:dyDescent="0.2">
      <c r="A82" s="111" t="s">
        <v>455</v>
      </c>
      <c r="B82" s="10">
        <f>'LM(2)518x PSR flyback converter'!L9/1000</f>
        <v>0.24</v>
      </c>
      <c r="C82" s="114" t="s">
        <v>45</v>
      </c>
      <c r="D82" s="78" t="s">
        <v>458</v>
      </c>
      <c r="F82" s="7"/>
      <c r="G82" s="7"/>
      <c r="H82" s="7"/>
      <c r="I82" s="25">
        <v>2</v>
      </c>
    </row>
    <row r="83" spans="1:12" x14ac:dyDescent="0.2">
      <c r="A83" s="111" t="s">
        <v>456</v>
      </c>
      <c r="B83" s="10">
        <f>'LM(2)518x PSR flyback converter'!L10/1000</f>
        <v>0.24</v>
      </c>
      <c r="C83" s="114" t="s">
        <v>45</v>
      </c>
      <c r="D83" s="78" t="s">
        <v>553</v>
      </c>
      <c r="E83" s="78"/>
      <c r="F83" s="7"/>
      <c r="G83" s="7"/>
      <c r="H83" s="7"/>
      <c r="I83" s="25">
        <v>1</v>
      </c>
    </row>
    <row r="84" spans="1:12" x14ac:dyDescent="0.2">
      <c r="A84" s="111"/>
      <c r="B84" s="7"/>
      <c r="C84" s="7"/>
      <c r="D84" s="7"/>
      <c r="E84" s="7"/>
      <c r="F84" s="7"/>
      <c r="G84" s="7"/>
      <c r="H84" s="7"/>
      <c r="I84" s="25"/>
    </row>
    <row r="85" spans="1:12" ht="15.75" customHeight="1" x14ac:dyDescent="0.2">
      <c r="A85" s="78" t="s">
        <v>552</v>
      </c>
      <c r="B85" s="195">
        <v>100</v>
      </c>
      <c r="C85" s="112" t="s">
        <v>102</v>
      </c>
      <c r="D85" s="78"/>
      <c r="E85" s="7"/>
      <c r="F85" s="7"/>
      <c r="H85" s="7"/>
      <c r="I85" s="25"/>
    </row>
    <row r="86" spans="1:12" x14ac:dyDescent="0.2">
      <c r="A86" s="111" t="s">
        <v>549</v>
      </c>
      <c r="B86" s="187">
        <f>Rdcr_pri*(1+0.0039*(B85-25))</f>
        <v>6.2039999999999998E-2</v>
      </c>
      <c r="C86" s="114" t="s">
        <v>45</v>
      </c>
      <c r="D86" s="7"/>
      <c r="H86" s="7"/>
      <c r="I86" s="25"/>
    </row>
    <row r="87" spans="1:12" x14ac:dyDescent="0.2">
      <c r="A87" s="111" t="s">
        <v>550</v>
      </c>
      <c r="B87" s="187">
        <f>Rdcr_sec*(1+0.0039*(B85-25))</f>
        <v>0.31019999999999998</v>
      </c>
      <c r="C87" s="114" t="s">
        <v>45</v>
      </c>
      <c r="D87" s="7"/>
      <c r="H87" s="7"/>
      <c r="I87" s="25"/>
    </row>
    <row r="88" spans="1:12" x14ac:dyDescent="0.2">
      <c r="A88" s="111" t="s">
        <v>551</v>
      </c>
      <c r="B88" s="187">
        <f>Rdcr_sec2*(1+0.0039*(B85-25))</f>
        <v>0.31019999999999998</v>
      </c>
      <c r="C88" s="114" t="s">
        <v>45</v>
      </c>
      <c r="D88" s="7"/>
      <c r="H88" s="7"/>
      <c r="I88" s="25"/>
    </row>
    <row r="89" spans="1:12" x14ac:dyDescent="0.2">
      <c r="A89" s="112" t="s">
        <v>805</v>
      </c>
      <c r="B89">
        <f>CHOOSE(VARIANT, 450, 375, 450, 375, 425)</f>
        <v>425</v>
      </c>
      <c r="C89" s="3" t="s">
        <v>32</v>
      </c>
      <c r="I89" s="25"/>
    </row>
    <row r="90" spans="1:12" x14ac:dyDescent="0.2">
      <c r="A90" t="s">
        <v>676</v>
      </c>
      <c r="B90" s="747">
        <f>(Vout+Vfwd1)*Nps*toff_max*0.000000001/Isw_min*1000000</f>
        <v>8.5</v>
      </c>
      <c r="C90" s="3" t="s">
        <v>806</v>
      </c>
      <c r="I90" s="25"/>
    </row>
    <row r="91" spans="1:12" ht="13.5" thickBot="1" x14ac:dyDescent="0.25">
      <c r="A91" s="170" t="s">
        <v>815</v>
      </c>
      <c r="B91" s="761">
        <f>CHOOSE(VARIANT, 2, 1, 2, 3, 5)</f>
        <v>5</v>
      </c>
      <c r="C91" s="81" t="s">
        <v>1</v>
      </c>
      <c r="D91" s="29"/>
      <c r="E91" s="29"/>
      <c r="F91" s="29"/>
      <c r="G91" s="29"/>
      <c r="H91" s="29"/>
      <c r="I91" s="30"/>
    </row>
    <row r="92" spans="1:12" x14ac:dyDescent="0.2">
      <c r="A92" s="40"/>
      <c r="B92" s="39"/>
      <c r="C92" s="39"/>
      <c r="D92" s="7"/>
      <c r="E92" s="7"/>
      <c r="F92" s="7"/>
      <c r="G92" s="7"/>
      <c r="H92" s="7"/>
      <c r="I92" s="7"/>
    </row>
    <row r="94" spans="1:12" ht="16.5" thickBot="1" x14ac:dyDescent="0.3">
      <c r="A94" s="51" t="s">
        <v>572</v>
      </c>
      <c r="B94" s="7"/>
      <c r="D94" s="40"/>
      <c r="E94" s="7"/>
      <c r="F94" s="7"/>
      <c r="G94" s="7"/>
      <c r="H94" s="7"/>
      <c r="I94" s="7"/>
    </row>
    <row r="95" spans="1:12" x14ac:dyDescent="0.2">
      <c r="A95" s="110" t="s">
        <v>164</v>
      </c>
      <c r="B95" s="423"/>
      <c r="C95" s="169" t="s">
        <v>1</v>
      </c>
      <c r="D95" s="80" t="s">
        <v>163</v>
      </c>
      <c r="E95" s="31"/>
      <c r="F95" s="31"/>
      <c r="G95" s="31"/>
      <c r="H95" s="31"/>
      <c r="I95" s="32"/>
      <c r="L95" s="5"/>
    </row>
    <row r="96" spans="1:12" x14ac:dyDescent="0.2">
      <c r="A96" s="111" t="s">
        <v>165</v>
      </c>
      <c r="B96" s="424"/>
      <c r="C96" s="112" t="s">
        <v>1</v>
      </c>
      <c r="D96" s="7"/>
      <c r="E96" s="78"/>
      <c r="F96" s="7"/>
      <c r="G96" s="7"/>
      <c r="H96" s="7"/>
      <c r="I96" s="25"/>
      <c r="L96" s="5"/>
    </row>
    <row r="97" spans="1:12" x14ac:dyDescent="0.2">
      <c r="A97" s="111" t="s">
        <v>166</v>
      </c>
      <c r="B97" s="424"/>
      <c r="C97" s="112" t="s">
        <v>1</v>
      </c>
      <c r="D97" s="7"/>
      <c r="E97" s="78"/>
      <c r="F97" s="7"/>
      <c r="G97" s="7"/>
      <c r="H97" s="7"/>
      <c r="I97" s="25"/>
      <c r="L97" s="5"/>
    </row>
    <row r="98" spans="1:12" x14ac:dyDescent="0.2">
      <c r="A98" s="111"/>
      <c r="B98" s="171"/>
      <c r="C98" s="112"/>
      <c r="D98" s="7"/>
      <c r="E98" s="78"/>
      <c r="F98" s="7"/>
      <c r="G98" s="7"/>
      <c r="H98" s="7"/>
      <c r="I98" s="25"/>
      <c r="L98" s="5"/>
    </row>
    <row r="99" spans="1:12" x14ac:dyDescent="0.2">
      <c r="A99" s="111" t="s">
        <v>174</v>
      </c>
      <c r="B99" s="559">
        <f>Vout_ripple</f>
        <v>155</v>
      </c>
      <c r="C99" s="112" t="s">
        <v>149</v>
      </c>
      <c r="D99" s="78" t="s">
        <v>608</v>
      </c>
      <c r="F99" s="7"/>
      <c r="G99" s="7"/>
      <c r="H99" s="7"/>
      <c r="I99" s="25"/>
      <c r="L99" s="5"/>
    </row>
    <row r="100" spans="1:12" x14ac:dyDescent="0.2">
      <c r="A100" s="505" t="s">
        <v>12</v>
      </c>
      <c r="B100" s="745">
        <f>MAX(4.7, CHOOSE(MODE, 'Calculations - Single'!BA212, 'Calculations - Dual'!AW105))</f>
        <v>21.317779700075526</v>
      </c>
      <c r="C100" s="205" t="s">
        <v>97</v>
      </c>
      <c r="D100" s="78" t="s">
        <v>607</v>
      </c>
      <c r="E100" s="78"/>
      <c r="F100" s="7"/>
      <c r="G100" s="7"/>
      <c r="H100" s="7"/>
      <c r="I100" s="25"/>
    </row>
    <row r="101" spans="1:12" x14ac:dyDescent="0.2">
      <c r="A101" s="111" t="s">
        <v>14</v>
      </c>
      <c r="B101" s="602">
        <f>'LM(2)518x PSR flyback converter'!E22</f>
        <v>22</v>
      </c>
      <c r="C101" s="205" t="s">
        <v>97</v>
      </c>
      <c r="D101" s="78" t="s">
        <v>167</v>
      </c>
      <c r="F101" s="7"/>
      <c r="G101" s="7"/>
      <c r="H101" s="7"/>
      <c r="I101" s="25"/>
    </row>
    <row r="102" spans="1:12" x14ac:dyDescent="0.2">
      <c r="A102" s="204" t="s">
        <v>181</v>
      </c>
      <c r="B102" s="560">
        <f>(Vripple1_spec-Iout*B104/Cout*1000)/Iout</f>
        <v>293.89854772860548</v>
      </c>
      <c r="C102" s="114" t="s">
        <v>258</v>
      </c>
      <c r="D102" s="78" t="s">
        <v>107</v>
      </c>
      <c r="F102" s="7"/>
      <c r="G102" s="7"/>
      <c r="H102" s="7"/>
      <c r="I102" s="25"/>
    </row>
    <row r="103" spans="1:12" x14ac:dyDescent="0.2">
      <c r="A103" s="111" t="s">
        <v>54</v>
      </c>
      <c r="B103" s="197">
        <f>'LM(2)518x PSR flyback converter'!E23</f>
        <v>2</v>
      </c>
      <c r="C103" s="114" t="s">
        <v>258</v>
      </c>
      <c r="D103" s="78" t="s">
        <v>108</v>
      </c>
      <c r="F103" s="7"/>
      <c r="G103" s="7"/>
      <c r="H103" s="7"/>
      <c r="I103" s="25"/>
    </row>
    <row r="104" spans="1:12" x14ac:dyDescent="0.2">
      <c r="A104" s="111" t="s">
        <v>445</v>
      </c>
      <c r="B104" s="196">
        <f>CHOOSE(MODE, 'Calculations - Single'!AT105, 'Calculations - Dual'!AR105)</f>
        <v>1.6532795690182991</v>
      </c>
      <c r="C104" s="205" t="s">
        <v>247</v>
      </c>
      <c r="D104" s="78"/>
      <c r="F104" s="7"/>
      <c r="G104" s="7"/>
      <c r="H104" s="7"/>
      <c r="I104" s="25"/>
    </row>
    <row r="105" spans="1:12" x14ac:dyDescent="0.2">
      <c r="A105" s="34" t="s">
        <v>444</v>
      </c>
      <c r="B105" s="744">
        <f>'Calculations - Single'!BB105</f>
        <v>33.285184750733151</v>
      </c>
      <c r="C105" s="78" t="s">
        <v>450</v>
      </c>
      <c r="D105" s="78" t="s">
        <v>610</v>
      </c>
      <c r="F105" s="7"/>
      <c r="G105" s="7"/>
      <c r="H105" s="453" t="s">
        <v>575</v>
      </c>
      <c r="I105" s="25"/>
    </row>
    <row r="106" spans="1:12" x14ac:dyDescent="0.2">
      <c r="A106" s="34"/>
      <c r="B106" s="196"/>
      <c r="C106" s="78"/>
      <c r="D106" s="78"/>
      <c r="F106" s="7"/>
      <c r="G106" s="7"/>
      <c r="H106" s="7"/>
      <c r="I106" s="25"/>
    </row>
    <row r="107" spans="1:12" x14ac:dyDescent="0.2">
      <c r="A107" s="34"/>
      <c r="B107" s="196"/>
      <c r="C107" s="78"/>
      <c r="D107" s="78"/>
      <c r="F107" s="7"/>
      <c r="G107" s="7"/>
      <c r="H107" s="7"/>
      <c r="I107" s="25"/>
    </row>
    <row r="108" spans="1:12" ht="15.75" x14ac:dyDescent="0.25">
      <c r="A108" s="649" t="s">
        <v>573</v>
      </c>
      <c r="B108" s="196"/>
      <c r="C108" s="205"/>
      <c r="D108" s="78"/>
      <c r="F108" s="7"/>
      <c r="G108" s="7"/>
      <c r="H108" s="7"/>
      <c r="I108" s="25"/>
    </row>
    <row r="109" spans="1:12" x14ac:dyDescent="0.2">
      <c r="A109" s="111" t="s">
        <v>554</v>
      </c>
      <c r="B109" s="559">
        <f>Vout_ripple2</f>
        <v>80</v>
      </c>
      <c r="C109" s="112" t="s">
        <v>149</v>
      </c>
      <c r="D109" s="78" t="s">
        <v>611</v>
      </c>
      <c r="F109" s="7"/>
      <c r="G109" s="7"/>
      <c r="H109" s="7"/>
      <c r="I109" s="25"/>
    </row>
    <row r="110" spans="1:12" x14ac:dyDescent="0.2">
      <c r="A110" s="505" t="s">
        <v>556</v>
      </c>
      <c r="B110" s="196">
        <f>MAX(4.7, 'Calculations - Dual'!AY105)</f>
        <v>15.170308270746586</v>
      </c>
      <c r="C110" s="205" t="s">
        <v>97</v>
      </c>
      <c r="D110" s="78" t="s">
        <v>607</v>
      </c>
      <c r="F110" s="7"/>
      <c r="G110" s="7"/>
      <c r="H110" s="7"/>
      <c r="I110" s="25"/>
    </row>
    <row r="111" spans="1:12" x14ac:dyDescent="0.2">
      <c r="A111" s="111" t="s">
        <v>555</v>
      </c>
      <c r="B111" s="602">
        <f>'LM(2)518x PSR flyback converter'!L22</f>
        <v>22</v>
      </c>
      <c r="C111" s="205" t="s">
        <v>97</v>
      </c>
      <c r="D111" s="78" t="s">
        <v>167</v>
      </c>
      <c r="F111" s="7"/>
      <c r="G111" s="7"/>
      <c r="H111" s="7"/>
      <c r="I111" s="25"/>
    </row>
    <row r="112" spans="1:12" x14ac:dyDescent="0.2">
      <c r="A112" s="204" t="s">
        <v>557</v>
      </c>
      <c r="B112" s="560">
        <f>(Vout_ripple2-Iout2*B114/Cout2*1000)/Iout2</f>
        <v>15.037272239018508</v>
      </c>
      <c r="C112" s="114" t="s">
        <v>258</v>
      </c>
      <c r="D112" s="78" t="s">
        <v>107</v>
      </c>
      <c r="F112" s="7"/>
      <c r="G112" s="7"/>
      <c r="H112" s="453" t="s">
        <v>574</v>
      </c>
      <c r="I112" s="25"/>
    </row>
    <row r="113" spans="1:9" x14ac:dyDescent="0.2">
      <c r="A113" s="111" t="s">
        <v>558</v>
      </c>
      <c r="B113" s="197">
        <f>'LM(2)518x PSR flyback converter'!L23</f>
        <v>2</v>
      </c>
      <c r="C113" s="114" t="s">
        <v>258</v>
      </c>
      <c r="D113" s="78" t="s">
        <v>108</v>
      </c>
      <c r="F113" s="7"/>
      <c r="G113" s="7"/>
      <c r="I113" s="25"/>
    </row>
    <row r="114" spans="1:9" x14ac:dyDescent="0.2">
      <c r="A114" s="111" t="s">
        <v>445</v>
      </c>
      <c r="B114" s="196">
        <f>'Calculations - Dual'!AS105</f>
        <v>2.0967662176381445</v>
      </c>
      <c r="C114" s="205" t="s">
        <v>247</v>
      </c>
      <c r="D114" s="78"/>
      <c r="F114" s="7"/>
      <c r="G114" s="7"/>
      <c r="H114" s="453" t="s">
        <v>574</v>
      </c>
      <c r="I114" s="25"/>
    </row>
    <row r="115" spans="1:9" x14ac:dyDescent="0.2">
      <c r="A115" s="34" t="s">
        <v>444</v>
      </c>
      <c r="B115" s="599">
        <f>'Calculations - Dual'!AZ105</f>
        <v>56.614757348169412</v>
      </c>
      <c r="C115" s="78" t="s">
        <v>450</v>
      </c>
      <c r="D115" s="78" t="s">
        <v>609</v>
      </c>
      <c r="F115" s="7"/>
      <c r="G115" s="7"/>
      <c r="H115" s="7"/>
      <c r="I115" s="25"/>
    </row>
    <row r="116" spans="1:9" x14ac:dyDescent="0.2">
      <c r="A116" s="40"/>
      <c r="B116" s="196"/>
      <c r="C116" s="78"/>
      <c r="D116" s="78"/>
      <c r="F116" s="7"/>
      <c r="G116" s="7"/>
      <c r="H116" s="7"/>
      <c r="I116" s="25"/>
    </row>
    <row r="117" spans="1:9" ht="13.5" thickBot="1" x14ac:dyDescent="0.25">
      <c r="A117" s="29"/>
      <c r="B117" s="29"/>
      <c r="C117" s="29"/>
      <c r="D117" s="29"/>
      <c r="E117" s="29"/>
      <c r="F117" s="29"/>
      <c r="G117" s="29"/>
      <c r="H117" s="29"/>
      <c r="I117" s="30"/>
    </row>
    <row r="119" spans="1:9" ht="13.5" thickBot="1" x14ac:dyDescent="0.25">
      <c r="A119" s="7"/>
      <c r="B119" s="7"/>
      <c r="C119" s="40"/>
      <c r="D119" s="7"/>
      <c r="E119" s="7"/>
      <c r="F119" s="7"/>
      <c r="G119" s="7"/>
      <c r="H119" s="7"/>
      <c r="I119" s="7"/>
    </row>
    <row r="120" spans="1:9" ht="15.75" x14ac:dyDescent="0.25">
      <c r="A120" s="62" t="s">
        <v>55</v>
      </c>
      <c r="B120" s="63"/>
      <c r="C120" s="172"/>
      <c r="D120" s="63"/>
      <c r="E120" s="63"/>
      <c r="F120" s="63"/>
      <c r="G120" s="63"/>
      <c r="H120" s="63"/>
      <c r="I120" s="64"/>
    </row>
    <row r="121" spans="1:9" x14ac:dyDescent="0.2">
      <c r="A121" s="562" t="s">
        <v>518</v>
      </c>
      <c r="B121" s="565">
        <f>0.05*VIN_nom</f>
        <v>0.60000000000000009</v>
      </c>
      <c r="C121" s="112" t="s">
        <v>451</v>
      </c>
      <c r="D121" s="77" t="s">
        <v>446</v>
      </c>
      <c r="E121" s="7"/>
      <c r="F121" s="7"/>
      <c r="G121" s="7"/>
      <c r="H121" s="7"/>
      <c r="I121" s="66"/>
    </row>
    <row r="122" spans="1:9" x14ac:dyDescent="0.2">
      <c r="A122" s="65"/>
      <c r="B122" s="12"/>
      <c r="C122" s="61"/>
      <c r="E122" s="7"/>
      <c r="F122" s="7"/>
      <c r="G122" s="7"/>
      <c r="H122" s="7"/>
      <c r="I122" s="66"/>
    </row>
    <row r="123" spans="1:9" x14ac:dyDescent="0.2">
      <c r="A123" s="67" t="s">
        <v>58</v>
      </c>
      <c r="B123" s="425"/>
      <c r="C123" s="205" t="s">
        <v>30</v>
      </c>
      <c r="E123" s="7"/>
      <c r="F123" s="7"/>
      <c r="G123" s="7"/>
      <c r="H123" s="7"/>
      <c r="I123" s="66"/>
    </row>
    <row r="124" spans="1:9" x14ac:dyDescent="0.2">
      <c r="A124" s="67" t="s">
        <v>98</v>
      </c>
      <c r="B124" s="189">
        <f>'Calculations - Single'!BC105</f>
        <v>1.2094367292732828</v>
      </c>
      <c r="C124" s="205" t="s">
        <v>97</v>
      </c>
      <c r="E124" s="7"/>
      <c r="F124" s="7"/>
      <c r="G124" s="7"/>
      <c r="H124" s="7"/>
      <c r="I124" s="66"/>
    </row>
    <row r="125" spans="1:9" x14ac:dyDescent="0.2">
      <c r="A125" s="204" t="s">
        <v>180</v>
      </c>
      <c r="B125" s="608">
        <f>MAX(2.2,Cinmin)</f>
        <v>2.2000000000000002</v>
      </c>
      <c r="C125" s="205" t="s">
        <v>97</v>
      </c>
      <c r="E125" s="7"/>
      <c r="F125" s="7"/>
      <c r="G125" s="7"/>
      <c r="H125" s="7"/>
      <c r="I125" s="66"/>
    </row>
    <row r="126" spans="1:9" x14ac:dyDescent="0.2">
      <c r="A126" s="67" t="s">
        <v>28</v>
      </c>
      <c r="B126" s="563">
        <f>'LM(2)518x PSR flyback converter'!E18</f>
        <v>10</v>
      </c>
      <c r="C126" s="205" t="s">
        <v>97</v>
      </c>
      <c r="D126" s="7" t="s">
        <v>60</v>
      </c>
      <c r="F126" s="7"/>
      <c r="G126" s="7"/>
      <c r="H126" s="7"/>
      <c r="I126" s="66"/>
    </row>
    <row r="127" spans="1:9" x14ac:dyDescent="0.2">
      <c r="A127" s="67"/>
      <c r="B127" s="561"/>
      <c r="C127" s="59"/>
      <c r="D127" s="7"/>
      <c r="F127" s="7"/>
      <c r="G127" s="7"/>
      <c r="H127" s="7"/>
      <c r="I127" s="66"/>
    </row>
    <row r="128" spans="1:9" x14ac:dyDescent="0.2">
      <c r="A128" s="68" t="s">
        <v>99</v>
      </c>
      <c r="B128" s="424">
        <f>(Vinripple1-B131*B133/Cin)/B132</f>
        <v>0.23926706323334718</v>
      </c>
      <c r="C128" s="114" t="s">
        <v>45</v>
      </c>
      <c r="D128" s="7"/>
      <c r="F128" s="7"/>
      <c r="G128" s="7"/>
      <c r="H128" s="7"/>
      <c r="I128" s="66"/>
    </row>
    <row r="129" spans="1:9" x14ac:dyDescent="0.2">
      <c r="A129" s="67" t="s">
        <v>37</v>
      </c>
      <c r="B129" s="60">
        <f>'LM(2)518x PSR flyback converter'!E19/1000</f>
        <v>3.0000000000000001E-3</v>
      </c>
      <c r="C129" s="114" t="s">
        <v>45</v>
      </c>
      <c r="D129" s="78" t="s">
        <v>109</v>
      </c>
      <c r="F129" s="7"/>
      <c r="G129" s="7"/>
      <c r="H129" s="7"/>
      <c r="I129" s="66"/>
    </row>
    <row r="130" spans="1:9" x14ac:dyDescent="0.2">
      <c r="A130" s="204" t="s">
        <v>182</v>
      </c>
      <c r="B130" s="373">
        <f>'LM(2)518x PSR flyback converter'!E19</f>
        <v>3</v>
      </c>
      <c r="C130" s="17" t="s">
        <v>161</v>
      </c>
      <c r="D130" s="78"/>
      <c r="F130" s="7"/>
      <c r="G130" s="7"/>
      <c r="H130" s="7"/>
      <c r="I130" s="66"/>
    </row>
    <row r="131" spans="1:9" x14ac:dyDescent="0.2">
      <c r="A131" s="204" t="s">
        <v>448</v>
      </c>
      <c r="B131" s="430">
        <f>Pout_total/VIN_nom/Efficiency</f>
        <v>0.60277777777777775</v>
      </c>
      <c r="C131" s="78" t="s">
        <v>1</v>
      </c>
      <c r="D131" s="78"/>
      <c r="F131" s="7"/>
      <c r="G131" s="7"/>
      <c r="H131" s="7"/>
      <c r="I131" s="66"/>
    </row>
    <row r="132" spans="1:9" x14ac:dyDescent="0.2">
      <c r="A132" s="204" t="s">
        <v>452</v>
      </c>
      <c r="B132" s="430">
        <f>CHOOSE(MODE, 'Calculations - Single'!AJ105, 'Calculations - Dual'!$AI$105)</f>
        <v>2.2043727586910653</v>
      </c>
      <c r="C132" s="78" t="s">
        <v>1</v>
      </c>
      <c r="D132" s="78"/>
      <c r="F132" s="7"/>
      <c r="G132" s="7"/>
      <c r="H132" s="7"/>
      <c r="I132" s="66"/>
    </row>
    <row r="133" spans="1:9" x14ac:dyDescent="0.2">
      <c r="A133" s="204" t="s">
        <v>449</v>
      </c>
      <c r="B133" s="430">
        <f>CHOOSE(MODE, 'Calculations - Single'!AU105, 'Calculations - Dual'!$AT$105)</f>
        <v>1.2038632881245581</v>
      </c>
      <c r="C133" s="205" t="s">
        <v>247</v>
      </c>
      <c r="D133" s="78"/>
      <c r="F133" s="7"/>
      <c r="G133" s="7"/>
      <c r="H133" s="7"/>
      <c r="I133" s="66"/>
    </row>
    <row r="134" spans="1:9" x14ac:dyDescent="0.2">
      <c r="A134" s="204" t="s">
        <v>447</v>
      </c>
      <c r="B134" s="189">
        <f>CHOOSE(MODE, 'Calculations - Single'!BD105, 'Calculations - Dual'!$BB$105)</f>
        <v>74.374537089730296</v>
      </c>
      <c r="C134" s="205" t="s">
        <v>450</v>
      </c>
      <c r="D134" s="77" t="s">
        <v>453</v>
      </c>
      <c r="E134" s="564"/>
      <c r="F134" s="205"/>
      <c r="G134" s="7"/>
      <c r="H134" s="7"/>
      <c r="I134" s="66"/>
    </row>
    <row r="135" spans="1:9" ht="13.5" thickBot="1" x14ac:dyDescent="0.25">
      <c r="A135" s="69"/>
      <c r="B135" s="70"/>
      <c r="C135" s="70"/>
      <c r="D135" s="70"/>
      <c r="E135" s="71"/>
      <c r="F135" s="71"/>
      <c r="G135" s="71"/>
      <c r="H135" s="71"/>
      <c r="I135" s="72"/>
    </row>
    <row r="136" spans="1:9" x14ac:dyDescent="0.2">
      <c r="A136" s="7"/>
      <c r="B136" s="7"/>
      <c r="C136" s="40"/>
      <c r="D136" s="7"/>
      <c r="E136" s="7"/>
      <c r="F136" s="7"/>
      <c r="G136" s="7"/>
      <c r="H136" s="7"/>
      <c r="I136" s="7"/>
    </row>
    <row r="137" spans="1:9" ht="16.5" thickBot="1" x14ac:dyDescent="0.3">
      <c r="A137" s="51" t="s">
        <v>62</v>
      </c>
      <c r="B137" s="7"/>
      <c r="C137" s="40"/>
      <c r="D137" s="7"/>
      <c r="E137" s="7"/>
      <c r="F137" s="7"/>
      <c r="G137" s="7"/>
      <c r="H137" s="7"/>
      <c r="I137" s="7"/>
    </row>
    <row r="138" spans="1:9" x14ac:dyDescent="0.2">
      <c r="A138" s="53" t="s">
        <v>64</v>
      </c>
      <c r="B138" s="9">
        <f>'LM(2)518x PSR flyback converter'!E30/1000</f>
        <v>6.0000000000000001E-3</v>
      </c>
      <c r="C138" s="31" t="s">
        <v>51</v>
      </c>
      <c r="D138" s="80" t="s">
        <v>176</v>
      </c>
      <c r="E138" s="31"/>
      <c r="F138" s="31"/>
      <c r="G138" s="31"/>
      <c r="H138" s="31"/>
      <c r="I138" s="32"/>
    </row>
    <row r="139" spans="1:9" x14ac:dyDescent="0.2">
      <c r="A139" s="24" t="s">
        <v>65</v>
      </c>
      <c r="B139" s="199">
        <v>5.0000000000000004E-6</v>
      </c>
      <c r="C139" s="7" t="s">
        <v>1</v>
      </c>
      <c r="D139" s="78" t="s">
        <v>307</v>
      </c>
      <c r="E139" s="7"/>
      <c r="F139" s="7"/>
      <c r="G139" s="7"/>
      <c r="H139" s="7"/>
      <c r="I139" s="25"/>
    </row>
    <row r="140" spans="1:9" x14ac:dyDescent="0.2">
      <c r="A140" s="24" t="s">
        <v>66</v>
      </c>
      <c r="B140" s="199">
        <f>0.000005*Tss/1</f>
        <v>3.0000000000000004E-8</v>
      </c>
      <c r="C140" s="7" t="s">
        <v>13</v>
      </c>
      <c r="D140" s="78" t="s">
        <v>309</v>
      </c>
      <c r="E140" s="7"/>
      <c r="F140" s="7"/>
      <c r="G140" s="7"/>
      <c r="H140" s="7"/>
      <c r="I140" s="25"/>
    </row>
    <row r="141" spans="1:9" ht="13.5" thickBot="1" x14ac:dyDescent="0.25">
      <c r="A141" s="28" t="s">
        <v>72</v>
      </c>
      <c r="B141" s="200">
        <f>'Standard Value Calculator'!B4</f>
        <v>3.2999999999999998E-8</v>
      </c>
      <c r="C141" s="29" t="s">
        <v>13</v>
      </c>
      <c r="D141" s="81" t="s">
        <v>310</v>
      </c>
      <c r="E141" s="29"/>
      <c r="F141" s="29"/>
      <c r="G141" s="29"/>
      <c r="H141" s="29"/>
      <c r="I141" s="30"/>
    </row>
    <row r="143" spans="1:9" ht="16.5" thickBot="1" x14ac:dyDescent="0.3">
      <c r="A143" s="51" t="s">
        <v>569</v>
      </c>
      <c r="B143" s="7"/>
      <c r="C143" s="40"/>
      <c r="D143" s="7"/>
      <c r="E143" s="7"/>
      <c r="F143" s="7"/>
      <c r="G143" s="7"/>
      <c r="H143" s="7"/>
      <c r="I143" s="7"/>
    </row>
    <row r="144" spans="1:9" ht="12.75" customHeight="1" x14ac:dyDescent="0.2">
      <c r="A144" s="110"/>
      <c r="B144" s="54"/>
      <c r="C144" s="160"/>
      <c r="D144" s="80"/>
      <c r="E144" s="31"/>
      <c r="F144" s="31"/>
      <c r="G144" s="31"/>
      <c r="H144" s="31"/>
      <c r="I144" s="32"/>
    </row>
    <row r="145" spans="1:9" ht="12.75" customHeight="1" x14ac:dyDescent="0.2">
      <c r="A145" s="111" t="s">
        <v>111</v>
      </c>
      <c r="B145" s="190">
        <v>1.5</v>
      </c>
      <c r="C145" s="78" t="s">
        <v>0</v>
      </c>
      <c r="D145" s="78"/>
      <c r="E145" s="7"/>
      <c r="F145" s="7"/>
      <c r="G145" s="7"/>
      <c r="H145" s="7"/>
      <c r="I145" s="25"/>
    </row>
    <row r="146" spans="1:9" ht="12.75" customHeight="1" x14ac:dyDescent="0.2">
      <c r="A146" s="111" t="s">
        <v>112</v>
      </c>
      <c r="B146" s="190">
        <v>1.45</v>
      </c>
      <c r="C146" s="78" t="s">
        <v>0</v>
      </c>
      <c r="D146" s="78"/>
      <c r="E146" s="7"/>
      <c r="F146" s="7"/>
      <c r="G146" s="7"/>
      <c r="H146" s="7"/>
      <c r="I146" s="25"/>
    </row>
    <row r="147" spans="1:9" ht="12.75" customHeight="1" x14ac:dyDescent="0.2">
      <c r="A147" s="111" t="s">
        <v>148</v>
      </c>
      <c r="B147" s="37">
        <f>B145-B146</f>
        <v>5.0000000000000044E-2</v>
      </c>
      <c r="C147" s="78" t="s">
        <v>0</v>
      </c>
      <c r="D147" s="78"/>
      <c r="E147" s="7"/>
      <c r="F147" s="7"/>
      <c r="G147" s="7"/>
      <c r="H147" s="7"/>
      <c r="I147" s="25"/>
    </row>
    <row r="148" spans="1:9" ht="12.75" customHeight="1" x14ac:dyDescent="0.2">
      <c r="A148" s="111" t="s">
        <v>377</v>
      </c>
      <c r="B148" s="7">
        <v>0</v>
      </c>
      <c r="C148" s="112" t="s">
        <v>1</v>
      </c>
      <c r="D148" s="78"/>
      <c r="E148" s="7"/>
      <c r="F148" s="7"/>
      <c r="G148" s="7"/>
      <c r="H148" s="7"/>
      <c r="I148" s="25"/>
    </row>
    <row r="149" spans="1:9" ht="12.75" customHeight="1" x14ac:dyDescent="0.2">
      <c r="A149" s="111" t="s">
        <v>376</v>
      </c>
      <c r="B149" s="529">
        <v>5.0000000000000001E-3</v>
      </c>
      <c r="C149" s="112" t="s">
        <v>30</v>
      </c>
      <c r="D149" s="78"/>
      <c r="E149" s="7"/>
      <c r="F149" s="7"/>
      <c r="G149" s="7"/>
      <c r="H149" s="7"/>
      <c r="I149" s="25"/>
    </row>
    <row r="150" spans="1:9" ht="12.75" customHeight="1" x14ac:dyDescent="0.2">
      <c r="A150" s="111" t="s">
        <v>375</v>
      </c>
      <c r="B150" s="530">
        <f>Iuvlo2-Iuvlo1</f>
        <v>5.0000000000000001E-3</v>
      </c>
      <c r="C150" s="112" t="s">
        <v>30</v>
      </c>
      <c r="D150" s="78"/>
      <c r="F150" s="7"/>
      <c r="G150" s="7"/>
      <c r="H150" s="7"/>
      <c r="I150" s="25"/>
    </row>
    <row r="151" spans="1:9" ht="12.75" customHeight="1" x14ac:dyDescent="0.2">
      <c r="A151" s="111"/>
      <c r="B151" s="37"/>
      <c r="C151" s="381"/>
      <c r="D151" s="78"/>
      <c r="E151" s="7"/>
      <c r="F151" s="7"/>
      <c r="G151" s="7"/>
      <c r="H151" s="7"/>
      <c r="I151" s="25"/>
    </row>
    <row r="152" spans="1:9" ht="12.75" customHeight="1" x14ac:dyDescent="0.3">
      <c r="A152" s="111" t="s">
        <v>110</v>
      </c>
      <c r="B152" s="188">
        <f>'LM(2)518x PSR flyback converter'!E36</f>
        <v>10</v>
      </c>
      <c r="C152" s="112" t="s">
        <v>0</v>
      </c>
      <c r="E152" s="7"/>
      <c r="F152" s="7"/>
      <c r="G152" s="7"/>
      <c r="H152" s="7"/>
      <c r="I152" s="25"/>
    </row>
    <row r="153" spans="1:9" ht="12.75" customHeight="1" x14ac:dyDescent="0.3">
      <c r="A153" s="111" t="s">
        <v>294</v>
      </c>
      <c r="B153" s="188">
        <f>'LM(2)518x PSR flyback converter'!E37</f>
        <v>8</v>
      </c>
      <c r="C153" s="112" t="s">
        <v>0</v>
      </c>
      <c r="E153" s="7"/>
      <c r="F153" s="7"/>
      <c r="G153" s="7"/>
      <c r="H153" s="7"/>
      <c r="I153" s="25"/>
    </row>
    <row r="154" spans="1:9" ht="12.75" customHeight="1" x14ac:dyDescent="0.2">
      <c r="A154" s="111"/>
      <c r="B154" s="37"/>
      <c r="C154" s="112"/>
      <c r="E154" s="7"/>
      <c r="F154" s="7"/>
      <c r="G154" s="7"/>
      <c r="H154" s="7"/>
      <c r="I154" s="25"/>
    </row>
    <row r="155" spans="1:9" ht="12.75" customHeight="1" x14ac:dyDescent="0.3">
      <c r="A155" s="111" t="s">
        <v>126</v>
      </c>
      <c r="B155" s="600">
        <f>(VINuvlo_off-VINuvlo_on*Vuvlo_off/Vuvlo_on)/(Iuvlo1*Vuvlo_off/Vuvlo_on-Iuvlo2)</f>
        <v>333.3333333333332</v>
      </c>
      <c r="C155" s="17" t="s">
        <v>113</v>
      </c>
      <c r="D155" s="7">
        <f>'Standard Value Calculator'!J16</f>
        <v>332</v>
      </c>
      <c r="E155" s="17" t="s">
        <v>113</v>
      </c>
      <c r="F155" s="37">
        <f>IF(Ruvlo1&lt;0,"N/A",D155)</f>
        <v>332</v>
      </c>
      <c r="G155" s="37" t="str">
        <f>IF(Ruvlo1&lt;0,"N/A",D155&amp;"kΩ")</f>
        <v>332kΩ</v>
      </c>
      <c r="I155" s="25"/>
    </row>
    <row r="156" spans="1:9" ht="12.75" customHeight="1" x14ac:dyDescent="0.3">
      <c r="A156" s="111" t="s">
        <v>127</v>
      </c>
      <c r="B156" s="191">
        <f>D155*Vuvlo_on/(VINuvlo_on-Vuvlo_on+Ruvlo1*Iuvlo1)</f>
        <v>58.588235294117645</v>
      </c>
      <c r="C156" s="17" t="s">
        <v>113</v>
      </c>
      <c r="D156" s="7">
        <f>'Standard Value Calculator'!J17</f>
        <v>59</v>
      </c>
      <c r="E156" s="17" t="s">
        <v>113</v>
      </c>
      <c r="F156" s="37">
        <f>IF(F155="N/A","N/A",D156)</f>
        <v>59</v>
      </c>
      <c r="G156" s="37" t="str">
        <f>IF(G155="N/A","N/A",D156&amp;"kΩ")</f>
        <v>59kΩ</v>
      </c>
      <c r="I156" s="25"/>
    </row>
    <row r="157" spans="1:9" ht="12.75" customHeight="1" x14ac:dyDescent="0.2">
      <c r="A157" s="111"/>
      <c r="B157" s="113"/>
      <c r="C157" s="17"/>
      <c r="D157" s="37"/>
      <c r="E157" s="17"/>
      <c r="F157" s="37"/>
      <c r="G157" s="37"/>
      <c r="I157" s="25"/>
    </row>
    <row r="158" spans="1:9" ht="12.75" customHeight="1" x14ac:dyDescent="0.3">
      <c r="A158" s="111" t="s">
        <v>114</v>
      </c>
      <c r="B158" s="601">
        <f>(D155+D156)/D156*Vuvlo_on</f>
        <v>9.9406779661016955</v>
      </c>
      <c r="C158" s="3" t="s">
        <v>0</v>
      </c>
      <c r="E158" s="7"/>
      <c r="F158" s="17"/>
      <c r="G158" s="7"/>
      <c r="H158" s="7"/>
      <c r="I158" s="25"/>
    </row>
    <row r="159" spans="1:9" ht="12.75" customHeight="1" x14ac:dyDescent="0.3">
      <c r="A159" s="111" t="s">
        <v>115</v>
      </c>
      <c r="B159" s="601">
        <f>(D155+D156)/D156*Vuvlo_off-Iuvlo2*D155</f>
        <v>7.9493220338983051</v>
      </c>
      <c r="C159" s="3" t="s">
        <v>0</v>
      </c>
      <c r="E159" s="7"/>
      <c r="F159" s="17"/>
      <c r="G159" s="7"/>
      <c r="H159" s="7"/>
      <c r="I159" s="25"/>
    </row>
    <row r="160" spans="1:9" ht="12.75" customHeight="1" thickBot="1" x14ac:dyDescent="0.25">
      <c r="A160" s="28"/>
      <c r="B160" s="38"/>
      <c r="C160" s="161"/>
      <c r="D160" s="29"/>
      <c r="E160" s="29"/>
      <c r="F160" s="29"/>
      <c r="G160" s="29"/>
      <c r="H160" s="29"/>
      <c r="I160" s="30"/>
    </row>
    <row r="161" spans="1:9" x14ac:dyDescent="0.2">
      <c r="B161" s="16"/>
      <c r="C161" s="162"/>
    </row>
    <row r="162" spans="1:9" ht="16.5" thickBot="1" x14ac:dyDescent="0.3">
      <c r="A162" s="51" t="s">
        <v>529</v>
      </c>
      <c r="B162" s="7"/>
      <c r="C162" s="40"/>
      <c r="D162" s="7"/>
      <c r="E162" s="7"/>
      <c r="F162" s="7"/>
      <c r="G162" s="7"/>
      <c r="H162" s="7"/>
      <c r="I162" s="7"/>
    </row>
    <row r="163" spans="1:9" x14ac:dyDescent="0.2">
      <c r="A163" s="179" t="s">
        <v>16</v>
      </c>
      <c r="B163" s="180">
        <v>3.1415926500000002</v>
      </c>
      <c r="C163" s="181"/>
      <c r="D163" s="182" t="s">
        <v>170</v>
      </c>
      <c r="E163" s="31"/>
      <c r="F163" s="31"/>
      <c r="G163" s="31"/>
      <c r="H163" s="31"/>
      <c r="I163" s="32"/>
    </row>
    <row r="164" spans="1:9" x14ac:dyDescent="0.2">
      <c r="A164" s="77" t="s">
        <v>185</v>
      </c>
      <c r="B164" s="208"/>
      <c r="C164" s="183" t="s">
        <v>184</v>
      </c>
      <c r="D164" s="185" t="s">
        <v>561</v>
      </c>
      <c r="I164" s="25"/>
    </row>
    <row r="165" spans="1:9" x14ac:dyDescent="0.2">
      <c r="A165" s="77" t="s">
        <v>186</v>
      </c>
      <c r="B165" s="208"/>
      <c r="C165" s="183" t="s">
        <v>184</v>
      </c>
      <c r="D165" s="185"/>
      <c r="I165" s="25"/>
    </row>
    <row r="166" spans="1:9" x14ac:dyDescent="0.2">
      <c r="C166" s="7"/>
      <c r="D166" s="7"/>
      <c r="F166" s="7"/>
      <c r="G166" s="7"/>
      <c r="H166" s="7"/>
      <c r="I166" s="25"/>
    </row>
    <row r="167" spans="1:9" x14ac:dyDescent="0.2">
      <c r="A167" s="111" t="s">
        <v>393</v>
      </c>
      <c r="B167" s="173">
        <f>(Vout+Vfwd1)*Nps*10</f>
        <v>164</v>
      </c>
      <c r="C167" s="17" t="s">
        <v>113</v>
      </c>
      <c r="D167" s="78" t="s">
        <v>531</v>
      </c>
      <c r="F167" s="7"/>
      <c r="G167" s="7"/>
      <c r="H167" s="7"/>
      <c r="I167" s="25">
        <v>1</v>
      </c>
    </row>
    <row r="168" spans="1:9" x14ac:dyDescent="0.2">
      <c r="A168" s="34" t="s">
        <v>530</v>
      </c>
      <c r="B168" s="178">
        <f>Rfb/1000</f>
        <v>164</v>
      </c>
      <c r="C168" s="17" t="s">
        <v>113</v>
      </c>
      <c r="D168" s="78" t="s">
        <v>528</v>
      </c>
      <c r="F168" s="7"/>
      <c r="G168" s="7"/>
      <c r="H168" s="7"/>
      <c r="I168" s="25"/>
    </row>
    <row r="169" spans="1:9" x14ac:dyDescent="0.2">
      <c r="A169" s="111" t="s">
        <v>53</v>
      </c>
      <c r="B169" s="36">
        <f>'Standard Value Calculator'!J10/1000</f>
        <v>165</v>
      </c>
      <c r="C169" s="17" t="s">
        <v>113</v>
      </c>
      <c r="D169" s="78" t="s">
        <v>361</v>
      </c>
      <c r="F169" s="7"/>
      <c r="G169" s="7"/>
      <c r="H169" s="7"/>
      <c r="I169" s="25"/>
    </row>
    <row r="170" spans="1:9" x14ac:dyDescent="0.2">
      <c r="A170" s="78"/>
      <c r="B170" s="12"/>
      <c r="C170" s="17"/>
      <c r="D170" s="78"/>
      <c r="F170" s="7"/>
      <c r="G170" s="7"/>
      <c r="H170" s="7"/>
      <c r="I170" s="25"/>
    </row>
    <row r="171" spans="1:9" x14ac:dyDescent="0.2">
      <c r="A171" s="112" t="s">
        <v>532</v>
      </c>
      <c r="B171" s="603">
        <f>'LM(2)518x PSR flyback converter'!E33</f>
        <v>-1.5</v>
      </c>
      <c r="C171" s="112" t="s">
        <v>386</v>
      </c>
      <c r="D171" s="78"/>
      <c r="F171" s="7"/>
      <c r="G171" s="7"/>
      <c r="H171" s="7"/>
      <c r="I171" s="25"/>
    </row>
    <row r="172" spans="1:9" ht="15.75" x14ac:dyDescent="0.3">
      <c r="A172" s="24" t="s">
        <v>527</v>
      </c>
      <c r="B172" s="375">
        <f>3*B168/Nps/ABS(Diode_TC)*1000</f>
        <v>328000</v>
      </c>
      <c r="C172" s="17" t="s">
        <v>136</v>
      </c>
      <c r="D172" s="78"/>
      <c r="F172" s="7"/>
      <c r="G172" s="7"/>
      <c r="H172" s="7"/>
      <c r="I172" s="25"/>
    </row>
    <row r="173" spans="1:9" x14ac:dyDescent="0.2">
      <c r="A173" s="12" t="s">
        <v>533</v>
      </c>
      <c r="B173" s="171">
        <f>'Standard Value Calculator'!J9/1000</f>
        <v>324</v>
      </c>
      <c r="C173" s="17" t="s">
        <v>113</v>
      </c>
      <c r="D173" s="78"/>
      <c r="F173" s="7"/>
      <c r="G173" s="7"/>
      <c r="H173" s="7"/>
      <c r="I173" s="25"/>
    </row>
    <row r="174" spans="1:9" ht="13.5" thickBot="1" x14ac:dyDescent="0.25">
      <c r="A174" s="184"/>
      <c r="B174" s="184"/>
      <c r="C174" s="41"/>
      <c r="D174" s="29"/>
      <c r="E174" s="41"/>
      <c r="F174" s="29"/>
      <c r="G174" s="29"/>
      <c r="H174" s="29"/>
      <c r="I174" s="30"/>
    </row>
    <row r="175" spans="1:9" x14ac:dyDescent="0.2">
      <c r="A175" s="2"/>
      <c r="B175" s="18"/>
      <c r="C175" s="18"/>
      <c r="E175" s="18"/>
    </row>
    <row r="176" spans="1:9" x14ac:dyDescent="0.2">
      <c r="A176" s="2"/>
      <c r="B176" s="18"/>
      <c r="C176" s="18"/>
      <c r="E176" s="18"/>
    </row>
    <row r="177" spans="1:9" ht="16.5" thickBot="1" x14ac:dyDescent="0.3">
      <c r="A177" s="55" t="s">
        <v>83</v>
      </c>
      <c r="B177" s="7"/>
      <c r="C177" s="40"/>
      <c r="D177" s="7"/>
      <c r="E177" s="7"/>
      <c r="F177" s="7"/>
      <c r="G177" s="7"/>
      <c r="H177" s="7"/>
      <c r="I177" s="7"/>
    </row>
    <row r="178" spans="1:9" x14ac:dyDescent="0.2">
      <c r="A178" s="53"/>
      <c r="B178" s="31"/>
      <c r="C178" s="163"/>
      <c r="D178" s="31"/>
      <c r="E178" s="31"/>
      <c r="F178" s="31"/>
      <c r="G178" s="31"/>
      <c r="H178" s="31"/>
      <c r="I178" s="32"/>
    </row>
    <row r="179" spans="1:9" x14ac:dyDescent="0.2">
      <c r="A179" s="34" t="s">
        <v>26</v>
      </c>
      <c r="B179" s="7"/>
      <c r="C179" s="40"/>
      <c r="D179" s="7"/>
      <c r="E179" s="7"/>
      <c r="F179" s="7"/>
      <c r="G179" s="7"/>
      <c r="H179" s="7"/>
      <c r="I179" s="25"/>
    </row>
    <row r="180" spans="1:9" x14ac:dyDescent="0.2">
      <c r="A180" s="24" t="s">
        <v>36</v>
      </c>
      <c r="B180" s="134">
        <f>'LM(2)518x PSR flyback converter'!E45</f>
        <v>25</v>
      </c>
      <c r="C180" s="78" t="s">
        <v>102</v>
      </c>
      <c r="D180" s="7" t="s">
        <v>40</v>
      </c>
      <c r="F180" s="7"/>
      <c r="G180" s="7"/>
      <c r="H180" s="7"/>
      <c r="I180" s="25"/>
    </row>
    <row r="181" spans="1:9" x14ac:dyDescent="0.2">
      <c r="A181" s="34" t="s">
        <v>29</v>
      </c>
      <c r="B181" s="7"/>
      <c r="C181" s="7"/>
      <c r="D181" s="7"/>
      <c r="F181" s="7"/>
      <c r="G181" s="7"/>
      <c r="H181" s="7"/>
      <c r="I181" s="25"/>
    </row>
    <row r="182" spans="1:9" x14ac:dyDescent="0.2">
      <c r="A182" s="24" t="s">
        <v>35</v>
      </c>
      <c r="B182" s="27">
        <f>4000/1000000</f>
        <v>4.0000000000000001E-3</v>
      </c>
      <c r="C182" s="78" t="s">
        <v>138</v>
      </c>
      <c r="D182" s="78" t="s">
        <v>562</v>
      </c>
      <c r="F182" s="7"/>
      <c r="G182" s="7"/>
      <c r="H182" s="7"/>
      <c r="I182" s="25"/>
    </row>
    <row r="183" spans="1:9" ht="15.75" x14ac:dyDescent="0.3">
      <c r="A183" s="111" t="s">
        <v>177</v>
      </c>
      <c r="B183" s="27">
        <v>20</v>
      </c>
      <c r="C183" s="112" t="s">
        <v>84</v>
      </c>
      <c r="D183" s="78" t="s">
        <v>563</v>
      </c>
      <c r="F183" s="7"/>
      <c r="G183" s="7"/>
      <c r="H183" s="7"/>
      <c r="I183" s="25"/>
    </row>
    <row r="184" spans="1:9" x14ac:dyDescent="0.2">
      <c r="A184" s="24" t="s">
        <v>37</v>
      </c>
      <c r="B184" s="10">
        <f>RCinEsr</f>
        <v>3.0000000000000001E-3</v>
      </c>
      <c r="C184" s="114" t="s">
        <v>45</v>
      </c>
      <c r="D184" s="78" t="s">
        <v>178</v>
      </c>
      <c r="F184" s="7"/>
      <c r="G184" s="7"/>
      <c r="H184" s="7"/>
      <c r="I184" s="25"/>
    </row>
    <row r="185" spans="1:9" x14ac:dyDescent="0.2">
      <c r="A185" s="24"/>
      <c r="B185" s="10"/>
      <c r="C185" s="114"/>
      <c r="D185" s="78"/>
      <c r="F185" s="7"/>
      <c r="G185" s="7"/>
      <c r="H185" s="7"/>
      <c r="I185" s="25"/>
    </row>
    <row r="186" spans="1:9" x14ac:dyDescent="0.2">
      <c r="A186" s="33" t="s">
        <v>52</v>
      </c>
      <c r="B186" s="7"/>
      <c r="C186" s="7"/>
      <c r="D186" s="7"/>
      <c r="F186" s="7"/>
      <c r="G186" s="7"/>
      <c r="H186" s="7"/>
      <c r="I186" s="25"/>
    </row>
    <row r="187" spans="1:9" x14ac:dyDescent="0.2">
      <c r="A187" s="111" t="s">
        <v>284</v>
      </c>
      <c r="B187" s="27">
        <f>Vdd</f>
        <v>5</v>
      </c>
      <c r="C187" s="61" t="s">
        <v>0</v>
      </c>
      <c r="D187" s="186"/>
      <c r="F187" s="7"/>
      <c r="G187" s="7"/>
      <c r="H187" s="7"/>
      <c r="I187" s="25"/>
    </row>
    <row r="188" spans="1:9" x14ac:dyDescent="0.2">
      <c r="A188" s="24" t="s">
        <v>49</v>
      </c>
      <c r="B188" s="35">
        <f>IQ</f>
        <v>2.9E-4</v>
      </c>
      <c r="C188" s="7" t="s">
        <v>1</v>
      </c>
      <c r="D188" s="7" t="s">
        <v>50</v>
      </c>
      <c r="F188" s="7"/>
      <c r="G188" s="7"/>
      <c r="H188" s="7"/>
      <c r="I188" s="25"/>
    </row>
    <row r="189" spans="1:9" x14ac:dyDescent="0.2">
      <c r="A189" s="24"/>
      <c r="B189" s="7"/>
      <c r="C189" s="7"/>
      <c r="D189" s="7"/>
      <c r="F189" s="7"/>
      <c r="G189" s="7"/>
      <c r="H189" s="7"/>
      <c r="I189" s="25"/>
    </row>
    <row r="190" spans="1:9" x14ac:dyDescent="0.2">
      <c r="A190" s="56" t="s">
        <v>172</v>
      </c>
      <c r="B190" s="43" t="s">
        <v>6</v>
      </c>
      <c r="C190" s="14" t="s">
        <v>33</v>
      </c>
      <c r="D190" s="7"/>
      <c r="F190" s="7"/>
      <c r="G190" s="7"/>
      <c r="H190" s="7"/>
      <c r="I190" s="25"/>
    </row>
    <row r="191" spans="1:9" x14ac:dyDescent="0.2">
      <c r="A191" s="57" t="s">
        <v>44</v>
      </c>
      <c r="B191" s="44"/>
      <c r="C191" s="45" t="s">
        <v>45</v>
      </c>
      <c r="D191" s="7"/>
      <c r="F191" s="7"/>
      <c r="G191" s="7"/>
      <c r="H191" s="7"/>
      <c r="I191" s="25"/>
    </row>
    <row r="192" spans="1:9" x14ac:dyDescent="0.2">
      <c r="A192" s="57" t="s">
        <v>46</v>
      </c>
      <c r="B192" s="13">
        <v>0</v>
      </c>
      <c r="C192" s="112" t="s">
        <v>102</v>
      </c>
      <c r="D192" s="7"/>
      <c r="F192" s="7"/>
      <c r="G192" s="7"/>
      <c r="H192" s="7"/>
      <c r="I192" s="25"/>
    </row>
    <row r="193" spans="1:9" x14ac:dyDescent="0.2">
      <c r="A193" s="57" t="s">
        <v>87</v>
      </c>
      <c r="B193" s="13" t="e">
        <v>#NAME?</v>
      </c>
      <c r="C193" s="12" t="s">
        <v>1</v>
      </c>
      <c r="D193" s="7"/>
      <c r="F193" s="7"/>
      <c r="G193" s="7"/>
      <c r="H193" s="7"/>
      <c r="I193" s="25"/>
    </row>
    <row r="194" spans="1:9" x14ac:dyDescent="0.2">
      <c r="A194" s="57" t="s">
        <v>88</v>
      </c>
      <c r="B194" s="12" t="e">
        <v>#NAME?</v>
      </c>
      <c r="C194" s="12" t="s">
        <v>1</v>
      </c>
      <c r="D194" s="7"/>
      <c r="F194" s="7"/>
      <c r="G194" s="7"/>
      <c r="H194" s="7"/>
      <c r="I194" s="25"/>
    </row>
    <row r="195" spans="1:9" x14ac:dyDescent="0.2">
      <c r="A195" s="57" t="s">
        <v>89</v>
      </c>
      <c r="B195" s="12" t="e">
        <f>C195/Vin</f>
        <v>#NAME?</v>
      </c>
      <c r="C195" s="12" t="e">
        <v>#NAME?</v>
      </c>
      <c r="D195" s="7"/>
      <c r="F195" s="7"/>
      <c r="G195" s="7"/>
      <c r="H195" s="7"/>
      <c r="I195" s="25"/>
    </row>
    <row r="196" spans="1:9" x14ac:dyDescent="0.2">
      <c r="A196" s="57" t="s">
        <v>91</v>
      </c>
      <c r="B196" s="12" t="e">
        <f>SUM(B193:B195)</f>
        <v>#NAME?</v>
      </c>
      <c r="C196" s="12" t="s">
        <v>1</v>
      </c>
      <c r="D196" s="7"/>
      <c r="F196" s="7"/>
      <c r="G196" s="7"/>
      <c r="H196" s="7"/>
      <c r="I196" s="25"/>
    </row>
    <row r="197" spans="1:9" ht="13.5" thickBot="1" x14ac:dyDescent="0.25">
      <c r="A197" s="28"/>
      <c r="B197" s="29"/>
      <c r="C197" s="164"/>
      <c r="D197" s="29"/>
      <c r="E197" s="29"/>
      <c r="F197" s="29"/>
      <c r="G197" s="29"/>
      <c r="H197" s="29"/>
      <c r="I197" s="30"/>
    </row>
    <row r="198" spans="1:9" x14ac:dyDescent="0.2">
      <c r="A198" s="2"/>
      <c r="B198" s="2"/>
      <c r="C198" s="2"/>
    </row>
    <row r="199" spans="1:9" ht="21.75" customHeight="1" thickBot="1" x14ac:dyDescent="0.3">
      <c r="A199" s="51" t="s">
        <v>85</v>
      </c>
      <c r="B199" s="7"/>
      <c r="C199" s="40"/>
      <c r="D199" s="7"/>
      <c r="E199" s="7"/>
      <c r="F199" s="7"/>
      <c r="G199" s="7"/>
      <c r="H199" s="7"/>
      <c r="I199" s="7"/>
    </row>
    <row r="200" spans="1:9" x14ac:dyDescent="0.2">
      <c r="A200" s="53"/>
      <c r="B200" s="31"/>
      <c r="C200" s="163"/>
      <c r="D200" s="31"/>
      <c r="E200" s="58"/>
      <c r="F200" s="58"/>
      <c r="G200" s="58"/>
      <c r="H200" s="58"/>
      <c r="I200" s="32"/>
    </row>
    <row r="201" spans="1:9" x14ac:dyDescent="0.2">
      <c r="A201" s="24"/>
      <c r="B201" s="112"/>
      <c r="C201" s="40"/>
      <c r="D201" s="7"/>
      <c r="E201" s="203"/>
      <c r="F201" s="203"/>
      <c r="G201" s="203"/>
      <c r="H201" s="203"/>
      <c r="I201" s="25"/>
    </row>
    <row r="202" spans="1:9" x14ac:dyDescent="0.2">
      <c r="A202" s="24" t="str">
        <f>"RUV1 = "&amp;'LM(2)518x PSR flyback converter'!E38&amp;"MΩ"</f>
        <v>RUV1 = 332MΩ</v>
      </c>
      <c r="B202" s="7" t="str">
        <f>C243</f>
        <v>332kΩ</v>
      </c>
      <c r="C202" s="40"/>
      <c r="D202" s="7"/>
      <c r="E202" s="203"/>
      <c r="F202" s="203"/>
      <c r="G202" s="203"/>
      <c r="H202" s="203"/>
      <c r="I202" s="25"/>
    </row>
    <row r="203" spans="1:9" x14ac:dyDescent="0.2">
      <c r="A203" s="24" t="str">
        <f>"RUV2 = "&amp;'LM(2)518x PSR flyback converter'!E39&amp;"kΩ"</f>
        <v>RUV2 = 59kΩ</v>
      </c>
      <c r="B203" s="7" t="str">
        <f>C244</f>
        <v>59kΩ</v>
      </c>
      <c r="C203" s="40"/>
      <c r="D203" s="7"/>
      <c r="E203" s="203"/>
      <c r="F203" s="203"/>
      <c r="G203" s="203"/>
      <c r="H203" s="203"/>
      <c r="I203" s="25"/>
    </row>
    <row r="204" spans="1:9" x14ac:dyDescent="0.2">
      <c r="A204" s="24"/>
      <c r="B204" s="7"/>
      <c r="C204" s="40"/>
      <c r="D204" s="7"/>
      <c r="E204" s="203"/>
      <c r="F204" s="203"/>
      <c r="G204" s="203"/>
      <c r="H204" s="203"/>
      <c r="I204" s="25"/>
    </row>
    <row r="205" spans="1:9" x14ac:dyDescent="0.2">
      <c r="A205" s="24" t="str">
        <f>"Lmag = "&amp;'LM(2)518x PSR flyback converter'!L7&amp;"µH"</f>
        <v>Lmag = 9µH</v>
      </c>
      <c r="B205" s="7" t="str">
        <f>'LM(2)518x PSR flyback converter'!L7&amp;"µH"</f>
        <v>9µH</v>
      </c>
      <c r="C205" s="40"/>
      <c r="D205" s="7"/>
      <c r="E205" s="7"/>
      <c r="F205" s="7"/>
      <c r="G205" s="7"/>
      <c r="H205" s="7"/>
      <c r="I205" s="25"/>
    </row>
    <row r="206" spans="1:9" x14ac:dyDescent="0.2">
      <c r="A206" s="24" t="str">
        <f>"Rdcr = "&amp;Rdcr_pri*1000&amp;"mΩ"</f>
        <v>Rdcr = 48mΩ</v>
      </c>
      <c r="B206" s="202" t="str">
        <f>Rdcr_pri*1000&amp;"mΩ"</f>
        <v>48mΩ</v>
      </c>
      <c r="C206" s="40"/>
      <c r="D206" s="7"/>
      <c r="E206" s="7"/>
      <c r="F206" s="7"/>
      <c r="G206" s="7"/>
      <c r="H206" s="7"/>
      <c r="I206" s="25"/>
    </row>
    <row r="207" spans="1:9" x14ac:dyDescent="0.2">
      <c r="A207" s="111" t="s">
        <v>391</v>
      </c>
      <c r="B207" s="202" t="str">
        <f>W50</f>
        <v>1 : 1</v>
      </c>
      <c r="C207" s="40"/>
      <c r="D207" s="7"/>
      <c r="E207" s="7"/>
      <c r="F207" s="7"/>
      <c r="G207" s="7"/>
      <c r="H207" s="7"/>
      <c r="I207" s="25"/>
    </row>
    <row r="208" spans="1:9" x14ac:dyDescent="0.2">
      <c r="A208" s="24"/>
      <c r="B208" s="202"/>
      <c r="C208" s="40"/>
      <c r="D208" s="7"/>
      <c r="E208" s="7"/>
      <c r="F208" s="7"/>
      <c r="G208" s="7"/>
      <c r="H208" s="7"/>
      <c r="I208" s="25"/>
    </row>
    <row r="209" spans="1:9" x14ac:dyDescent="0.2">
      <c r="A209" s="24" t="str">
        <f>"Css = "&amp;ROUND(Css_u*1000000000,1)&amp;"nF"</f>
        <v>Css = 33nF</v>
      </c>
      <c r="B209" s="7" t="str">
        <f>ROUND(Css_u*1000000000,1)&amp;"nF"</f>
        <v>33nF</v>
      </c>
      <c r="C209" s="40"/>
      <c r="D209" s="7"/>
      <c r="E209" s="7"/>
      <c r="F209" s="7"/>
      <c r="G209" s="7"/>
      <c r="H209" s="7"/>
      <c r="I209" s="25"/>
    </row>
    <row r="210" spans="1:9" x14ac:dyDescent="0.2">
      <c r="A210" s="24"/>
      <c r="B210" s="7"/>
      <c r="C210" s="40"/>
      <c r="D210" s="7"/>
      <c r="E210" s="7"/>
      <c r="F210" s="7"/>
      <c r="G210" s="7"/>
      <c r="H210" s="7"/>
      <c r="I210" s="25"/>
    </row>
    <row r="211" spans="1:9" x14ac:dyDescent="0.2">
      <c r="A211" s="24" t="s">
        <v>57</v>
      </c>
      <c r="B211" s="7" t="str">
        <f>VIN_nom&amp;"V"</f>
        <v>12V</v>
      </c>
      <c r="C211" s="40"/>
      <c r="D211" s="7"/>
      <c r="E211" s="7"/>
      <c r="F211" s="7"/>
      <c r="G211" s="7"/>
      <c r="H211" s="7"/>
      <c r="I211" s="25"/>
    </row>
    <row r="212" spans="1:9" x14ac:dyDescent="0.2">
      <c r="A212" s="111" t="s">
        <v>187</v>
      </c>
      <c r="B212" s="7" t="str">
        <f>VIN_min&amp;"V..."&amp;VIN_max&amp;"V"</f>
        <v>9V...16V</v>
      </c>
      <c r="C212" s="40"/>
      <c r="D212" s="7"/>
      <c r="E212" s="7"/>
      <c r="F212" s="7"/>
      <c r="G212" s="7"/>
      <c r="H212" s="7"/>
      <c r="I212" s="25"/>
    </row>
    <row r="213" spans="1:9" x14ac:dyDescent="0.2">
      <c r="A213" s="111"/>
      <c r="B213" s="7"/>
      <c r="C213" s="40"/>
      <c r="D213" s="7"/>
      <c r="E213" s="7"/>
      <c r="F213" s="7"/>
      <c r="G213" s="7"/>
      <c r="H213" s="7"/>
      <c r="I213" s="25"/>
    </row>
    <row r="214" spans="1:9" x14ac:dyDescent="0.2">
      <c r="A214" s="24" t="str">
        <f>"VOUT = "&amp;'LM(2)518x PSR flyback converter'!E10&amp;"V"</f>
        <v>VOUT = 15.5V</v>
      </c>
      <c r="B214" s="7" t="str">
        <f>'LM(2)518x PSR flyback converter'!E10&amp;"V"</f>
        <v>15.5V</v>
      </c>
      <c r="C214" s="40"/>
      <c r="D214" s="7">
        <f>MODE</f>
        <v>1</v>
      </c>
      <c r="E214" s="7"/>
      <c r="F214" s="7"/>
      <c r="G214" s="7"/>
      <c r="H214" s="7"/>
      <c r="I214" s="25"/>
    </row>
    <row r="215" spans="1:9" x14ac:dyDescent="0.2">
      <c r="A215" s="24" t="str">
        <f>"VOUT2 = "&amp;'LM(2)518x PSR flyback converter'!E12&amp;"V"</f>
        <v>VOUT2 = 8V</v>
      </c>
      <c r="B215" s="7" t="str">
        <f>IF(MODE_TOP="DUAL", 'LM(2)518x PSR flyback converter'!E12&amp;"V", "")</f>
        <v/>
      </c>
      <c r="C215" s="40"/>
      <c r="D215" s="78" t="b">
        <f>MODE=2</f>
        <v>0</v>
      </c>
      <c r="E215" s="7"/>
      <c r="F215" s="7"/>
      <c r="G215" s="7"/>
      <c r="H215" s="7"/>
      <c r="I215" s="25"/>
    </row>
    <row r="216" spans="1:9" x14ac:dyDescent="0.2">
      <c r="A216" s="24" t="str">
        <f>"VOUT2 = "&amp;'LM(2)518x PSR flyback converter'!E12&amp;"V"</f>
        <v>VOUT2 = 8V</v>
      </c>
      <c r="B216" s="7" t="str">
        <f>IF(MODE_TOP="BIPOLAR", 'LM(2)518x PSR flyback converter'!E12&amp;"V", "")</f>
        <v/>
      </c>
      <c r="C216" s="40"/>
      <c r="D216" s="7"/>
      <c r="E216" s="7"/>
      <c r="F216" s="7"/>
      <c r="G216" s="7"/>
      <c r="H216" s="7"/>
      <c r="I216" s="25"/>
    </row>
    <row r="217" spans="1:9" x14ac:dyDescent="0.2">
      <c r="A217" s="24"/>
      <c r="B217" s="7"/>
      <c r="C217" s="40"/>
      <c r="D217" s="7"/>
      <c r="E217" s="7"/>
      <c r="F217" s="7"/>
      <c r="G217" s="7"/>
      <c r="H217" s="7"/>
      <c r="I217" s="25"/>
    </row>
    <row r="218" spans="1:9" x14ac:dyDescent="0.2">
      <c r="A218" s="400" t="s">
        <v>521</v>
      </c>
      <c r="B218" s="78" t="str">
        <f>IF(MODE=1, "", "Co1")</f>
        <v/>
      </c>
      <c r="C218" s="78" t="str">
        <f>IF(MODE_TOP="DUAL", "Co2", "")</f>
        <v/>
      </c>
      <c r="D218" s="78" t="str">
        <f>IF(MODE_TOP="BIPOLAR", "Co2", "")</f>
        <v/>
      </c>
      <c r="E218" s="7"/>
      <c r="F218" s="78" t="str">
        <f>MODE_TOP</f>
        <v>SINGLE</v>
      </c>
      <c r="G218" s="7"/>
      <c r="H218" s="7"/>
      <c r="I218" s="25"/>
    </row>
    <row r="219" spans="1:9" x14ac:dyDescent="0.2">
      <c r="A219" s="24" t="str">
        <f>"COUT = "&amp;'LM(2)518x PSR flyback converter'!$E$22&amp;"µF"</f>
        <v>COUT = 22µF</v>
      </c>
      <c r="B219" s="7" t="str">
        <f>'LM(2)518x PSR flyback converter'!$E$22&amp;"µF"</f>
        <v>22µF</v>
      </c>
      <c r="C219" s="7" t="str">
        <f>IF(MODE_TOP="DUAL", 'LM(2)518x PSR flyback converter'!$L$22&amp;"µF", "")</f>
        <v/>
      </c>
      <c r="D219" s="7" t="str">
        <f>IF(MODE_TOP="BIPOLAR", 'LM(2)518x PSR flyback converter'!$L$22&amp;"µF", "")</f>
        <v/>
      </c>
      <c r="E219" s="7"/>
      <c r="F219" s="7" t="str">
        <f>'LM(2)518x PSR flyback converter'!$L$22&amp;"µF"</f>
        <v>22µF</v>
      </c>
      <c r="G219" s="7"/>
      <c r="H219" s="7"/>
      <c r="I219" s="25"/>
    </row>
    <row r="220" spans="1:9" x14ac:dyDescent="0.2">
      <c r="A220" s="111" t="s">
        <v>134</v>
      </c>
      <c r="B220" s="7" t="str">
        <f>"22µF"</f>
        <v>22µF</v>
      </c>
      <c r="C220" s="40"/>
      <c r="D220" s="7"/>
      <c r="E220" s="7"/>
      <c r="F220" s="7"/>
      <c r="G220" s="7"/>
      <c r="H220" s="7"/>
      <c r="I220" s="25"/>
    </row>
    <row r="221" spans="1:9" x14ac:dyDescent="0.2">
      <c r="A221" s="111" t="s">
        <v>135</v>
      </c>
      <c r="B221" s="79" t="str">
        <f>ROUNDUP(Cout/22,0)&amp;" x"</f>
        <v>1 x</v>
      </c>
      <c r="C221" s="165"/>
      <c r="D221" s="7"/>
      <c r="E221" s="7"/>
      <c r="F221" s="7"/>
      <c r="G221" s="7"/>
      <c r="H221" s="7"/>
      <c r="I221" s="25"/>
    </row>
    <row r="222" spans="1:9" x14ac:dyDescent="0.2">
      <c r="A222" s="111"/>
      <c r="B222" s="79">
        <f>Cout</f>
        <v>22</v>
      </c>
      <c r="C222" s="165"/>
      <c r="D222" s="7"/>
      <c r="E222" s="7"/>
      <c r="F222" s="7"/>
      <c r="G222" s="7"/>
      <c r="H222" s="7"/>
      <c r="I222" s="25"/>
    </row>
    <row r="223" spans="1:9" x14ac:dyDescent="0.2">
      <c r="A223" s="400" t="s">
        <v>522</v>
      </c>
      <c r="B223" s="7"/>
      <c r="C223" s="40"/>
      <c r="D223" s="7"/>
      <c r="E223" s="7"/>
      <c r="F223" s="7"/>
      <c r="G223" s="7"/>
      <c r="H223" s="7"/>
      <c r="I223" s="25"/>
    </row>
    <row r="224" spans="1:9" x14ac:dyDescent="0.2">
      <c r="A224" s="24" t="s">
        <v>95</v>
      </c>
      <c r="B224" s="7" t="str">
        <f>Cin&amp;"µF"</f>
        <v>10µF</v>
      </c>
      <c r="E224" s="7"/>
      <c r="F224" s="7"/>
      <c r="G224" s="7"/>
      <c r="H224" s="7"/>
      <c r="I224" s="25"/>
    </row>
    <row r="225" spans="1:9" x14ac:dyDescent="0.2">
      <c r="A225" s="111" t="s">
        <v>133</v>
      </c>
      <c r="B225" s="7" t="str">
        <f>"4.7µF"</f>
        <v>4.7µF</v>
      </c>
      <c r="C225" s="40"/>
      <c r="D225" s="7"/>
      <c r="E225" s="7"/>
      <c r="F225" s="7"/>
      <c r="G225" s="7"/>
      <c r="H225" s="7"/>
      <c r="I225" s="25"/>
    </row>
    <row r="226" spans="1:9" x14ac:dyDescent="0.2">
      <c r="A226" s="111" t="s">
        <v>132</v>
      </c>
      <c r="B226" s="79" t="str">
        <f>ROUNDUP(Cin/4.7,0)&amp;" x"</f>
        <v>3 x</v>
      </c>
      <c r="C226" s="165"/>
      <c r="D226" s="7"/>
      <c r="E226" s="7"/>
      <c r="F226" s="7"/>
      <c r="G226" s="7"/>
      <c r="H226" s="7"/>
      <c r="I226" s="25"/>
    </row>
    <row r="227" spans="1:9" x14ac:dyDescent="0.2">
      <c r="A227" s="111"/>
      <c r="B227" s="79"/>
      <c r="D227" s="7"/>
      <c r="E227" s="7"/>
      <c r="F227" s="7"/>
      <c r="G227" s="7"/>
      <c r="H227" s="7"/>
      <c r="I227" s="25"/>
    </row>
    <row r="228" spans="1:9" ht="15.75" x14ac:dyDescent="0.3">
      <c r="A228" s="111" t="s">
        <v>523</v>
      </c>
      <c r="B228" s="588" t="s">
        <v>524</v>
      </c>
      <c r="C228" s="588" t="s">
        <v>564</v>
      </c>
      <c r="D228" s="7"/>
      <c r="E228" s="7"/>
      <c r="F228" s="7"/>
      <c r="G228" s="7"/>
      <c r="H228" s="7"/>
      <c r="I228" s="25"/>
    </row>
    <row r="229" spans="1:9" x14ac:dyDescent="0.2">
      <c r="A229" s="111"/>
      <c r="B229" s="79"/>
      <c r="D229" s="7"/>
      <c r="E229" s="7"/>
      <c r="F229" s="7"/>
      <c r="G229" s="7"/>
      <c r="H229" s="7"/>
      <c r="I229" s="25"/>
    </row>
    <row r="230" spans="1:9" x14ac:dyDescent="0.2">
      <c r="A230" s="400" t="s">
        <v>390</v>
      </c>
      <c r="B230" s="165" t="str">
        <f>IF(MODE_TC=1, "YES", "NO")</f>
        <v>YES</v>
      </c>
      <c r="D230" s="7"/>
      <c r="E230" s="7"/>
      <c r="F230" s="7"/>
      <c r="G230" s="7"/>
      <c r="H230" s="7"/>
      <c r="I230" s="25"/>
    </row>
    <row r="231" spans="1:9" x14ac:dyDescent="0.2">
      <c r="A231" s="111" t="s">
        <v>299</v>
      </c>
      <c r="B231" s="165" t="str">
        <f>IF(MODE_TC=2, "YES", "NO")</f>
        <v>NO</v>
      </c>
      <c r="C231" s="390" t="str">
        <f>IF(MODE_TC=2, "R1", "")</f>
        <v/>
      </c>
      <c r="D231" s="390" t="str">
        <f>IF(MODE_TC=2, "R2", "")</f>
        <v/>
      </c>
      <c r="E231" s="390"/>
      <c r="F231" s="7"/>
      <c r="G231" s="7"/>
      <c r="H231" s="7"/>
      <c r="I231" s="25"/>
    </row>
    <row r="232" spans="1:9" x14ac:dyDescent="0.2">
      <c r="A232" s="24" t="str">
        <f>"RFB = "&amp;'LM(2)518x PSR flyback converter'!E27&amp;"kΩ"</f>
        <v>RFB = 164kΩ</v>
      </c>
      <c r="B232" s="7" t="str">
        <f>IF(MODE_TC=1, "", 'LM(2)518x PSR flyback converter'!E27&amp;"kΩ")</f>
        <v/>
      </c>
      <c r="C232" s="78" t="str">
        <f>'LM(2)518x PSR flyback converter'!E27&amp;"kΩ"</f>
        <v>164kΩ</v>
      </c>
      <c r="D232" s="7"/>
      <c r="E232" s="7"/>
      <c r="F232" s="7"/>
      <c r="G232" s="7"/>
      <c r="H232" s="7"/>
      <c r="I232" s="25"/>
    </row>
    <row r="233" spans="1:9" x14ac:dyDescent="0.2">
      <c r="A233" s="24" t="str">
        <f>"RFB2 = "&amp;IF(Vout=Vref,"OPEN",'LM(2)518x PSR flyback converter'!E28&amp;"kΩ")</f>
        <v>RFB2 = 164kΩ</v>
      </c>
      <c r="B233" s="7" t="str">
        <f>IF(MODE_TC=1, "", IF(Vout=Vref,"OPEN",Rfb2_u/1000&amp;"kΩ"))</f>
        <v/>
      </c>
      <c r="C233" s="78" t="str">
        <f>'LM(2)518x PSR flyback converter'!E28&amp;"kΩ"</f>
        <v>164kΩ</v>
      </c>
      <c r="D233" s="7"/>
      <c r="E233" s="7"/>
      <c r="F233" s="7"/>
      <c r="G233" s="7"/>
      <c r="H233" s="7"/>
      <c r="I233" s="25"/>
    </row>
    <row r="234" spans="1:9" x14ac:dyDescent="0.2">
      <c r="A234" s="24"/>
      <c r="B234" s="7"/>
      <c r="C234" s="78"/>
      <c r="D234" s="7"/>
      <c r="E234" s="7"/>
      <c r="F234" s="7"/>
      <c r="G234" s="7"/>
      <c r="H234" s="7"/>
      <c r="I234" s="25"/>
    </row>
    <row r="235" spans="1:9" x14ac:dyDescent="0.2">
      <c r="A235" s="111" t="s">
        <v>303</v>
      </c>
      <c r="B235" s="40" t="str">
        <f>IF(MODE=1, "YES", "NO")</f>
        <v>YES</v>
      </c>
      <c r="C235" s="7" t="str">
        <f>IF(MODE=1,"Rt", "")</f>
        <v>Rt</v>
      </c>
      <c r="D235" s="7"/>
      <c r="E235" s="7"/>
      <c r="F235" s="7"/>
      <c r="G235" s="7"/>
      <c r="H235" s="7"/>
      <c r="I235" s="25"/>
    </row>
    <row r="236" spans="1:9" x14ac:dyDescent="0.2">
      <c r="A236" s="111" t="s">
        <v>139</v>
      </c>
      <c r="B236" s="7" t="e">
        <f>IF(MODE=2, "", 'Standard Value Calculator'!J4/1000&amp;"kΩ")</f>
        <v>#NAME?</v>
      </c>
      <c r="C236" s="40"/>
      <c r="D236" s="7"/>
      <c r="E236" s="7"/>
      <c r="F236" s="7"/>
      <c r="G236" s="7"/>
      <c r="H236" s="7"/>
      <c r="I236" s="25"/>
    </row>
    <row r="237" spans="1:9" x14ac:dyDescent="0.2">
      <c r="A237" s="111"/>
      <c r="B237" s="7"/>
      <c r="C237" s="40"/>
      <c r="D237" s="7"/>
      <c r="E237" s="7"/>
      <c r="F237" s="7"/>
      <c r="G237" s="7"/>
      <c r="H237" s="7"/>
      <c r="I237" s="25"/>
    </row>
    <row r="238" spans="1:9" x14ac:dyDescent="0.2">
      <c r="A238" s="400" t="s">
        <v>380</v>
      </c>
      <c r="B238" s="165" t="str">
        <f>IF(MODE=1, "YES", "NO")</f>
        <v>YES</v>
      </c>
      <c r="C238" s="78" t="str">
        <f>IF(TC=1,"Rtc", "")</f>
        <v>Rtc</v>
      </c>
      <c r="D238" s="7"/>
      <c r="E238" s="7"/>
      <c r="F238" s="7"/>
      <c r="G238" s="7"/>
      <c r="H238" s="7"/>
      <c r="I238" s="25"/>
    </row>
    <row r="239" spans="1:9" x14ac:dyDescent="0.2">
      <c r="A239" s="531" t="str">
        <f>"RTC = "&amp;RTC&amp;"kΩ"</f>
        <v>RTC = 324kΩ</v>
      </c>
      <c r="B239" s="7" t="str">
        <f>IF(TC=1, RTC&amp;"kΩ", "")</f>
        <v>324kΩ</v>
      </c>
      <c r="C239" s="78" t="str">
        <f>CHOOSE(TC,"Rtc","")</f>
        <v>Rtc</v>
      </c>
      <c r="D239" s="7"/>
      <c r="E239" s="7"/>
      <c r="F239" s="8"/>
      <c r="G239" s="7"/>
      <c r="H239" s="7"/>
      <c r="I239" s="25"/>
    </row>
    <row r="240" spans="1:9" x14ac:dyDescent="0.2">
      <c r="A240" s="111" t="s">
        <v>383</v>
      </c>
      <c r="B240" s="372"/>
      <c r="C240" s="7"/>
      <c r="D240" s="7"/>
      <c r="E240" s="7"/>
      <c r="F240" s="8"/>
      <c r="G240" s="7"/>
      <c r="H240" s="7"/>
      <c r="I240" s="25"/>
    </row>
    <row r="241" spans="1:9" x14ac:dyDescent="0.2">
      <c r="A241" s="24"/>
      <c r="B241" s="79"/>
      <c r="C241" s="165"/>
      <c r="D241" s="7"/>
      <c r="E241" s="114"/>
      <c r="F241" s="7"/>
      <c r="G241" s="7"/>
      <c r="H241" s="7"/>
      <c r="I241" s="25"/>
    </row>
    <row r="242" spans="1:9" x14ac:dyDescent="0.2">
      <c r="A242" s="400" t="s">
        <v>306</v>
      </c>
      <c r="B242" s="165" t="str">
        <f>IF(MODE_UVLO=1, "YES", "NO")</f>
        <v>YES</v>
      </c>
      <c r="C242" s="390" t="str">
        <f>IF(MODE_UVLO=1, "Ruv1", "")</f>
        <v>Ruv1</v>
      </c>
      <c r="D242" s="390" t="str">
        <f>IF(MODE_UVLO=1, "Ruv2", "")</f>
        <v>Ruv2</v>
      </c>
      <c r="E242" s="390"/>
      <c r="F242" s="390" t="s">
        <v>6</v>
      </c>
      <c r="G242" s="390" t="s">
        <v>33</v>
      </c>
      <c r="H242" s="78" t="s">
        <v>340</v>
      </c>
      <c r="I242" s="25"/>
    </row>
    <row r="243" spans="1:9" x14ac:dyDescent="0.2">
      <c r="A243" s="24" t="str">
        <f>"RUV1 = "&amp;C243</f>
        <v>RUV1 = 332kΩ</v>
      </c>
      <c r="B243" s="7" t="str">
        <f>'LM(2)518x PSR flyback converter'!E38&amp;" kΩ"</f>
        <v>332 kΩ</v>
      </c>
      <c r="C243" s="390" t="str">
        <f>IF(MODE_UVLO=1,'LM(2)518x PSR flyback converter'!E38&amp;"kΩ", "")</f>
        <v>332kΩ</v>
      </c>
      <c r="F243" s="7">
        <f>IF(MODE_UVLO=1,'LM(2)518x PSR flyback converter'!E38, "")</f>
        <v>332</v>
      </c>
      <c r="G243" s="78" t="str">
        <f>IF(MODE_UVLO=1,"kΩ", "")</f>
        <v>kΩ</v>
      </c>
      <c r="H243" s="390" t="str">
        <f>IF(MODE_UVLO=1,'LM(2)518x PSR flyback converter'!E38&amp;"k", "")</f>
        <v>332k</v>
      </c>
      <c r="I243" s="25"/>
    </row>
    <row r="244" spans="1:9" x14ac:dyDescent="0.2">
      <c r="A244" s="24" t="str">
        <f>"RUV2 = "&amp;C244</f>
        <v>RUV2 = 59kΩ</v>
      </c>
      <c r="B244" s="7" t="str">
        <f>IF(D156&gt;=1000, D156/1000&amp;" MΩ", D156&amp;" kΩ")</f>
        <v>59 kΩ</v>
      </c>
      <c r="C244" s="390" t="str">
        <f>IF(MODE_UVLO=1, IF(D156&lt;1, D156*1000&amp;"Ω", IF(D156&lt;1000, D156&amp;"kΩ", D156/1000&amp;"MΩ")), "")</f>
        <v>59kΩ</v>
      </c>
      <c r="F244" s="7">
        <f>IF(MODE_UVLO=1, IF(D156&lt;1, D156*1000, IF(D156&lt;1000, D156, D156/1000)), "")</f>
        <v>59</v>
      </c>
      <c r="G244" s="78" t="str">
        <f>IF(MODE_UVLO=1, IF(D156&lt;1, "Ω", IF(D156&lt;1000,"kΩ", "MΩ")), "")</f>
        <v>kΩ</v>
      </c>
      <c r="H244" s="390" t="str">
        <f>IF(MODE_UVLO=1, IF(D156&lt;1, D156*1000, IF(D156&lt;1000, D156&amp;"k", D156/1000&amp;"M")), "")</f>
        <v>59k</v>
      </c>
      <c r="I244" s="25"/>
    </row>
    <row r="245" spans="1:9" x14ac:dyDescent="0.2">
      <c r="A245" s="24"/>
      <c r="B245" s="7"/>
      <c r="C245" s="390"/>
      <c r="F245" s="7"/>
      <c r="G245" s="78"/>
      <c r="H245" s="390"/>
      <c r="I245" s="25"/>
    </row>
    <row r="246" spans="1:9" x14ac:dyDescent="0.2">
      <c r="A246" s="400" t="s">
        <v>384</v>
      </c>
      <c r="B246" s="7"/>
      <c r="C246" s="390"/>
      <c r="F246" s="7"/>
      <c r="G246" s="78"/>
      <c r="H246" s="390"/>
      <c r="I246" s="25"/>
    </row>
    <row r="247" spans="1:9" x14ac:dyDescent="0.2">
      <c r="A247" s="24" t="str">
        <f>"RSET = "&amp;C247</f>
        <v>RSET = 12.1kΩ</v>
      </c>
      <c r="B247" s="78" t="s">
        <v>379</v>
      </c>
      <c r="C247" s="78" t="s">
        <v>544</v>
      </c>
      <c r="F247" s="7">
        <f>IF(MODE_UVLO=1, IF(D157&lt;1, D157*1000, IF(D157&lt;1000, D157, D157/1000)), "")</f>
        <v>0</v>
      </c>
      <c r="G247" s="78" t="str">
        <f>IF(MODE_UVLO=1, IF(D157&lt;1, "Ω", IF(D157&lt;1000,"kΩ", "MΩ")), "")</f>
        <v>Ω</v>
      </c>
      <c r="H247" s="390">
        <f>IF(MODE_UVLO=1, IF(D157&lt;1, D157*1000, IF(D157&lt;1000, D157&amp;"k", D157&amp;"M")), "")</f>
        <v>0</v>
      </c>
      <c r="I247" s="25"/>
    </row>
    <row r="248" spans="1:9" x14ac:dyDescent="0.2">
      <c r="A248" s="24"/>
      <c r="B248" s="78"/>
      <c r="C248" s="78"/>
      <c r="F248" s="7"/>
      <c r="G248" s="78"/>
      <c r="H248" s="390"/>
      <c r="I248" s="25"/>
    </row>
    <row r="249" spans="1:9" x14ac:dyDescent="0.2">
      <c r="A249" s="400" t="s">
        <v>385</v>
      </c>
      <c r="B249" s="79"/>
      <c r="C249" s="165"/>
      <c r="D249" s="7"/>
      <c r="E249" s="114"/>
      <c r="F249" s="7"/>
      <c r="G249" s="7"/>
      <c r="H249" s="7"/>
      <c r="I249" s="25"/>
    </row>
    <row r="250" spans="1:9" x14ac:dyDescent="0.2">
      <c r="A250" s="24" t="str">
        <f>"Css = "&amp;Css*1000000000&amp;"nF"</f>
        <v>Css = 30nF</v>
      </c>
      <c r="B250" s="7" t="str">
        <f>Css*1000000000&amp;"nF"</f>
        <v>30nF</v>
      </c>
      <c r="D250" s="7"/>
      <c r="E250" s="7"/>
      <c r="F250" s="7"/>
      <c r="G250" s="7"/>
      <c r="H250" s="7"/>
      <c r="I250" s="25"/>
    </row>
    <row r="251" spans="1:9" x14ac:dyDescent="0.2">
      <c r="A251" s="24" t="s">
        <v>66</v>
      </c>
      <c r="B251" s="7" t="str">
        <f>CHOOSE(MODE_SS,'Standard Value Calculator'!B4*1000000000&amp;"nF","")</f>
        <v/>
      </c>
      <c r="C251" s="7" t="str">
        <f>CHOOSE(MODE_SS,"Css","")</f>
        <v/>
      </c>
      <c r="D251" s="401" t="str">
        <f>B251</f>
        <v/>
      </c>
      <c r="E251" s="7"/>
      <c r="F251" s="7"/>
      <c r="G251" s="7"/>
      <c r="H251" s="7"/>
      <c r="I251" s="25"/>
    </row>
    <row r="252" spans="1:9" x14ac:dyDescent="0.2">
      <c r="A252" s="24"/>
      <c r="B252" s="7"/>
      <c r="C252" s="78" t="str">
        <f>C251</f>
        <v/>
      </c>
      <c r="D252" s="40"/>
      <c r="E252" s="7"/>
      <c r="F252" s="7"/>
      <c r="G252" s="7"/>
      <c r="H252" s="7"/>
      <c r="I252" s="25"/>
    </row>
    <row r="253" spans="1:9" x14ac:dyDescent="0.2">
      <c r="A253" s="24"/>
      <c r="B253" s="7"/>
      <c r="C253" s="78"/>
      <c r="D253" s="40"/>
      <c r="E253" s="7"/>
      <c r="F253" s="7"/>
      <c r="G253" s="7"/>
      <c r="H253" s="7"/>
      <c r="I253" s="25"/>
    </row>
    <row r="254" spans="1:9" x14ac:dyDescent="0.2">
      <c r="A254" s="111" t="s">
        <v>653</v>
      </c>
      <c r="B254" s="78">
        <f>ROUND(Iout*2,1)</f>
        <v>0.8</v>
      </c>
      <c r="C254" s="78" t="s">
        <v>1</v>
      </c>
      <c r="D254" s="7"/>
      <c r="E254" s="7"/>
      <c r="F254" s="7"/>
      <c r="G254" s="7"/>
      <c r="H254" s="7"/>
      <c r="I254" s="25"/>
    </row>
    <row r="255" spans="1:9" x14ac:dyDescent="0.2">
      <c r="A255" s="111" t="s">
        <v>654</v>
      </c>
      <c r="B255">
        <f>ROUND(VRRM_DIODE,0)</f>
        <v>32</v>
      </c>
      <c r="C255" s="78" t="s">
        <v>0</v>
      </c>
      <c r="D255" s="7"/>
      <c r="E255" s="7"/>
      <c r="F255" s="7"/>
      <c r="G255" s="7"/>
      <c r="H255" s="7"/>
      <c r="I255" s="25"/>
    </row>
    <row r="256" spans="1:9" x14ac:dyDescent="0.2">
      <c r="F256" s="7"/>
      <c r="G256" s="7"/>
      <c r="H256" s="7"/>
      <c r="I256" s="25"/>
    </row>
    <row r="257" spans="1:9" x14ac:dyDescent="0.2">
      <c r="A257" s="111"/>
      <c r="B257" s="372"/>
      <c r="C257" s="7"/>
      <c r="D257" s="7"/>
      <c r="E257" s="7"/>
      <c r="F257" s="7"/>
      <c r="G257" s="7"/>
      <c r="H257" s="7"/>
      <c r="I257" s="25"/>
    </row>
    <row r="258" spans="1:9" x14ac:dyDescent="0.2">
      <c r="A258" s="111" t="s">
        <v>129</v>
      </c>
      <c r="B258" s="78" t="s">
        <v>311</v>
      </c>
      <c r="C258" s="7"/>
      <c r="D258" s="7"/>
      <c r="E258" s="7"/>
      <c r="F258" s="7"/>
      <c r="G258" s="7"/>
      <c r="H258" s="7"/>
      <c r="I258" s="25"/>
    </row>
    <row r="259" spans="1:9" x14ac:dyDescent="0.2">
      <c r="A259" s="111"/>
      <c r="B259" s="78"/>
      <c r="C259" s="7"/>
      <c r="D259" s="7"/>
      <c r="E259" s="7"/>
      <c r="F259" s="7"/>
      <c r="G259" s="7"/>
      <c r="H259" s="7"/>
      <c r="I259" s="25"/>
    </row>
    <row r="260" spans="1:9" x14ac:dyDescent="0.2">
      <c r="A260" s="111" t="s">
        <v>183</v>
      </c>
      <c r="B260" s="357" t="str">
        <f>CHOOSE(MODE, ROUND('Calculations - Single'!$CD$105,1)&amp;"%", ROUND('Calculations - Dual'!CF105,1)&amp;"%")</f>
        <v>86.9%</v>
      </c>
      <c r="C260" s="7"/>
      <c r="D260" s="7"/>
      <c r="E260" s="7"/>
      <c r="F260" s="7"/>
      <c r="G260" s="7"/>
      <c r="H260" s="7"/>
      <c r="I260" s="25"/>
    </row>
    <row r="261" spans="1:9" x14ac:dyDescent="0.2">
      <c r="A261" s="111" t="s">
        <v>501</v>
      </c>
      <c r="B261" s="357" t="str">
        <f>ROUND('Calculations - Single'!$CD$55,1)&amp;"%"</f>
        <v>85.2%</v>
      </c>
      <c r="C261" s="7"/>
      <c r="D261" s="7"/>
      <c r="E261" s="7"/>
      <c r="F261" s="7"/>
      <c r="G261" s="7"/>
      <c r="H261" s="7"/>
      <c r="I261" s="25"/>
    </row>
    <row r="262" spans="1:9" x14ac:dyDescent="0.2">
      <c r="A262" s="111" t="s">
        <v>308</v>
      </c>
      <c r="B262" s="357" t="str">
        <f>ROUND('Calculations - Single'!$CD$15,1)&amp;"%"</f>
        <v>78.4%</v>
      </c>
      <c r="C262" s="78" t="s">
        <v>313</v>
      </c>
      <c r="D262" s="7"/>
      <c r="E262" s="7"/>
      <c r="F262" s="7"/>
      <c r="G262" s="7"/>
      <c r="H262" s="7"/>
      <c r="I262" s="25"/>
    </row>
    <row r="263" spans="1:9" x14ac:dyDescent="0.2">
      <c r="A263" s="111" t="s">
        <v>312</v>
      </c>
      <c r="B263" s="357" t="str">
        <f>ROUND(Parameters!BZ56,1)&amp;"%"</f>
        <v>0%</v>
      </c>
      <c r="C263" s="78" t="s">
        <v>314</v>
      </c>
      <c r="D263" s="7"/>
      <c r="E263" s="7"/>
      <c r="F263" s="7"/>
      <c r="G263" s="7"/>
      <c r="H263" s="7"/>
      <c r="I263" s="25"/>
    </row>
    <row r="264" spans="1:9" x14ac:dyDescent="0.2">
      <c r="A264" s="24"/>
      <c r="B264" s="7"/>
      <c r="C264" s="40"/>
      <c r="D264" s="7"/>
      <c r="E264" s="7"/>
      <c r="F264" s="7"/>
      <c r="G264" s="7"/>
      <c r="H264" s="7"/>
      <c r="I264" s="25"/>
    </row>
    <row r="265" spans="1:9" x14ac:dyDescent="0.2">
      <c r="A265" s="24"/>
      <c r="B265" s="7"/>
      <c r="C265" s="40"/>
      <c r="D265" s="7"/>
      <c r="E265" s="7"/>
      <c r="F265" s="7"/>
      <c r="G265" s="7"/>
      <c r="H265" s="7"/>
      <c r="I265" s="25"/>
    </row>
    <row r="266" spans="1:9" x14ac:dyDescent="0.2">
      <c r="A266" s="24"/>
      <c r="B266" s="7"/>
      <c r="C266" s="40"/>
      <c r="D266" s="7"/>
      <c r="E266" s="7"/>
      <c r="F266" s="7"/>
      <c r="G266" s="7"/>
      <c r="H266" s="7"/>
      <c r="I266" s="25"/>
    </row>
    <row r="267" spans="1:9" x14ac:dyDescent="0.2">
      <c r="A267" s="24" t="s">
        <v>80</v>
      </c>
      <c r="B267" s="7" t="str">
        <f>IF(C267="y","","|")</f>
        <v>|</v>
      </c>
      <c r="C267" s="40" t="s">
        <v>320</v>
      </c>
      <c r="D267" s="7"/>
      <c r="E267" s="7"/>
      <c r="F267" s="7"/>
      <c r="G267" s="7"/>
      <c r="H267" s="7"/>
      <c r="I267" s="25"/>
    </row>
    <row r="268" spans="1:9" x14ac:dyDescent="0.2">
      <c r="A268" s="24"/>
      <c r="B268" s="7"/>
      <c r="C268" s="40"/>
      <c r="D268" s="7"/>
      <c r="E268" s="7"/>
      <c r="F268" s="7"/>
      <c r="G268" s="7"/>
      <c r="H268" s="7"/>
      <c r="I268" s="25"/>
    </row>
    <row r="269" spans="1:9" x14ac:dyDescent="0.2">
      <c r="A269" s="505" t="s">
        <v>86</v>
      </c>
      <c r="B269" s="7" t="str">
        <f>'LM(2)518x PSR flyback converter'!$E$11&amp;"A"</f>
        <v>0.42A</v>
      </c>
      <c r="C269" s="40"/>
      <c r="D269" s="7"/>
      <c r="E269" s="7"/>
      <c r="F269" s="7"/>
      <c r="G269" s="7"/>
      <c r="H269" s="7"/>
      <c r="I269" s="25"/>
    </row>
    <row r="270" spans="1:9" x14ac:dyDescent="0.2">
      <c r="A270" s="505" t="s">
        <v>520</v>
      </c>
      <c r="B270" s="7" t="str">
        <f>IF(MODE_TOP="DUAL", 'LM(2)518x PSR flyback converter'!$E$13&amp;"A", "")</f>
        <v/>
      </c>
      <c r="C270" s="40"/>
      <c r="D270" s="78">
        <f>MODE</f>
        <v>1</v>
      </c>
      <c r="E270" s="7"/>
      <c r="F270" s="7"/>
      <c r="G270" s="7"/>
      <c r="H270" s="7"/>
      <c r="I270" s="25"/>
    </row>
    <row r="271" spans="1:9" x14ac:dyDescent="0.2">
      <c r="A271" s="505" t="s">
        <v>519</v>
      </c>
      <c r="B271" s="7" t="str">
        <f>IF(MODE_TOP="BIPOLAR", Iout2_actual&amp;"A", "")</f>
        <v/>
      </c>
      <c r="C271" s="40"/>
      <c r="D271" s="7"/>
      <c r="E271" s="7"/>
      <c r="F271" s="7"/>
      <c r="G271" s="7"/>
      <c r="H271" s="7"/>
      <c r="I271" s="25"/>
    </row>
    <row r="272" spans="1:9" x14ac:dyDescent="0.2">
      <c r="A272" s="24"/>
      <c r="B272" s="7"/>
      <c r="C272" s="40"/>
      <c r="D272" s="7"/>
      <c r="E272" s="7"/>
      <c r="F272" s="7"/>
      <c r="G272" s="7"/>
      <c r="H272" s="7"/>
      <c r="I272" s="25"/>
    </row>
    <row r="273" spans="1:9" x14ac:dyDescent="0.2">
      <c r="A273" s="111" t="s">
        <v>94</v>
      </c>
      <c r="B273" s="7">
        <v>1</v>
      </c>
      <c r="C273" s="40"/>
      <c r="D273" s="7"/>
      <c r="E273" s="7"/>
      <c r="F273" s="7"/>
      <c r="G273" s="7"/>
      <c r="H273" s="7"/>
      <c r="I273" s="25"/>
    </row>
    <row r="274" spans="1:9" x14ac:dyDescent="0.2">
      <c r="A274" s="111" t="s">
        <v>93</v>
      </c>
      <c r="B274" s="7">
        <v>2</v>
      </c>
      <c r="C274" s="40"/>
      <c r="D274" s="7"/>
      <c r="E274" s="7"/>
      <c r="F274" s="7"/>
      <c r="G274" s="7"/>
      <c r="H274" s="7"/>
      <c r="I274" s="25"/>
    </row>
    <row r="275" spans="1:9" x14ac:dyDescent="0.2">
      <c r="A275" s="604" t="s">
        <v>57</v>
      </c>
      <c r="B275" s="7">
        <v>3</v>
      </c>
      <c r="C275" s="40"/>
      <c r="D275" s="7"/>
      <c r="E275" s="7"/>
      <c r="F275" s="7"/>
      <c r="G275" s="7"/>
      <c r="H275" s="7"/>
      <c r="I275" s="25"/>
    </row>
    <row r="276" spans="1:9" x14ac:dyDescent="0.2">
      <c r="A276" s="111" t="s">
        <v>565</v>
      </c>
      <c r="B276" s="7">
        <v>4</v>
      </c>
      <c r="C276" s="40"/>
      <c r="D276" s="7"/>
      <c r="E276" s="7"/>
      <c r="F276" s="7"/>
      <c r="G276" s="7"/>
      <c r="H276" s="7"/>
      <c r="I276" s="25"/>
    </row>
    <row r="277" spans="1:9" x14ac:dyDescent="0.2">
      <c r="A277" s="111" t="s">
        <v>566</v>
      </c>
      <c r="B277" s="7">
        <v>5</v>
      </c>
      <c r="C277" s="40"/>
      <c r="D277" s="7"/>
      <c r="E277" s="7"/>
      <c r="F277" s="7"/>
      <c r="G277" s="7"/>
      <c r="H277" s="7"/>
      <c r="I277" s="25"/>
    </row>
    <row r="278" spans="1:9" x14ac:dyDescent="0.2">
      <c r="A278" s="111" t="s">
        <v>567</v>
      </c>
      <c r="B278" s="7">
        <v>6</v>
      </c>
      <c r="C278" s="40"/>
      <c r="D278" s="7"/>
      <c r="E278" s="7"/>
      <c r="F278" s="7"/>
      <c r="G278" s="7"/>
      <c r="H278" s="7"/>
      <c r="I278" s="25"/>
    </row>
    <row r="279" spans="1:9" x14ac:dyDescent="0.2">
      <c r="A279" s="111" t="s">
        <v>568</v>
      </c>
      <c r="B279" s="7">
        <v>7</v>
      </c>
      <c r="C279" s="40"/>
      <c r="D279" s="7"/>
      <c r="E279" s="7"/>
      <c r="F279" s="7"/>
      <c r="G279" s="7"/>
      <c r="H279" s="7"/>
      <c r="I279" s="25"/>
    </row>
    <row r="280" spans="1:9" x14ac:dyDescent="0.2">
      <c r="A280" s="604" t="s">
        <v>92</v>
      </c>
      <c r="B280" s="7">
        <v>8</v>
      </c>
      <c r="C280" s="40"/>
      <c r="D280" s="7"/>
      <c r="E280" s="7"/>
      <c r="F280" s="7"/>
      <c r="G280" s="7"/>
      <c r="H280" s="7"/>
      <c r="I280" s="25"/>
    </row>
    <row r="281" spans="1:9" ht="13.5" thickBot="1" x14ac:dyDescent="0.25">
      <c r="A281" s="211"/>
      <c r="B281" s="29"/>
      <c r="C281" s="164"/>
      <c r="D281" s="29"/>
      <c r="E281" s="29"/>
      <c r="F281" s="29"/>
      <c r="G281" s="29"/>
      <c r="H281" s="29"/>
      <c r="I281" s="30"/>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2:R66"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R687"/>
  <sheetViews>
    <sheetView zoomScale="115" zoomScaleNormal="115" workbookViewId="0">
      <pane ySplit="11" topLeftCell="A12" activePane="bottomLeft" state="frozen"/>
      <selection activeCell="A93" sqref="A93"/>
      <selection pane="bottomLeft" activeCell="D6" sqref="D6"/>
    </sheetView>
  </sheetViews>
  <sheetFormatPr defaultColWidth="9.28515625" defaultRowHeight="12.75" x14ac:dyDescent="0.2"/>
  <cols>
    <col min="1" max="1" width="10.42578125" style="174" customWidth="1"/>
    <col min="2" max="2" width="10.7109375" style="174" customWidth="1"/>
    <col min="3" max="3" width="6.28515625" style="174" customWidth="1"/>
    <col min="4" max="4" width="16.28515625" style="174" customWidth="1"/>
    <col min="5" max="5" width="4.42578125" style="174" customWidth="1"/>
    <col min="6" max="6" width="3.28515625" style="174" customWidth="1"/>
    <col min="7" max="7" width="16.28515625" style="174" customWidth="1"/>
    <col min="8" max="8" width="15.7109375" style="174" customWidth="1"/>
    <col min="9" max="9" width="10" style="174" customWidth="1"/>
    <col min="10" max="10" width="10.7109375" style="174" customWidth="1"/>
    <col min="11" max="11" width="10.28515625" style="174" customWidth="1"/>
    <col min="12" max="14" width="11.7109375" style="174" customWidth="1"/>
    <col min="15" max="15" width="14.28515625" style="174" customWidth="1"/>
    <col min="16" max="16" width="11" style="174" customWidth="1"/>
    <col min="17" max="17" width="12" style="174" customWidth="1"/>
    <col min="18" max="18" width="11.42578125" style="174" customWidth="1"/>
    <col min="19" max="19" width="10.7109375" style="174" customWidth="1"/>
    <col min="20" max="20" width="11.42578125" style="174" customWidth="1"/>
    <col min="21" max="21" width="11.7109375" style="174" customWidth="1"/>
    <col min="22" max="22" width="13.5703125" style="174" customWidth="1"/>
    <col min="23" max="23" width="9.42578125" style="174" customWidth="1"/>
    <col min="24" max="24" width="16.28515625" style="174" bestFit="1" customWidth="1"/>
    <col min="25" max="25" width="16.28515625" style="176" customWidth="1"/>
    <col min="26" max="26" width="8.7109375" style="174" bestFit="1" customWidth="1"/>
    <col min="27" max="27" width="13.42578125" style="174" bestFit="1" customWidth="1"/>
    <col min="28" max="28" width="9.28515625" style="174" bestFit="1" customWidth="1"/>
    <col min="29" max="29" width="9.28515625" style="174"/>
    <col min="30" max="30" width="13.5703125" style="174" customWidth="1"/>
    <col min="31" max="31" width="10.5703125" style="174" customWidth="1"/>
    <col min="32" max="32" width="9.28515625" style="174"/>
    <col min="33" max="33" width="9.28515625" style="174" bestFit="1" customWidth="1"/>
    <col min="34" max="34" width="11.28515625" style="174" bestFit="1" customWidth="1"/>
    <col min="35" max="35" width="5.7109375" style="174" customWidth="1"/>
    <col min="36" max="36" width="12.28515625" style="174" customWidth="1"/>
    <col min="37" max="37" width="8.7109375" style="174" customWidth="1"/>
    <col min="38" max="38" width="18.28515625" style="174" customWidth="1"/>
    <col min="39" max="39" width="45.28515625" style="174" customWidth="1"/>
    <col min="40" max="40" width="19.28515625" style="174" bestFit="1" customWidth="1"/>
    <col min="41" max="41" width="40.7109375" style="174" bestFit="1" customWidth="1"/>
    <col min="42" max="42" width="40.28515625" style="174" bestFit="1" customWidth="1"/>
    <col min="43" max="43" width="40.7109375" style="174" bestFit="1" customWidth="1"/>
    <col min="44" max="44" width="40.28515625" style="174" bestFit="1" customWidth="1"/>
    <col min="45" max="45" width="28.42578125" style="174" customWidth="1"/>
    <col min="46" max="16384" width="9.28515625" style="174"/>
  </cols>
  <sheetData>
    <row r="1" spans="1:44" ht="13.5" thickBot="1" x14ac:dyDescent="0.25"/>
    <row r="2" spans="1:44" s="193" customFormat="1" x14ac:dyDescent="0.2">
      <c r="A2" s="739" t="s">
        <v>785</v>
      </c>
      <c r="G2" s="835" t="s">
        <v>779</v>
      </c>
      <c r="H2" s="836"/>
      <c r="I2" s="837"/>
      <c r="J2" s="838"/>
      <c r="K2" s="835" t="s">
        <v>698</v>
      </c>
      <c r="L2" s="836"/>
      <c r="M2" s="836"/>
      <c r="N2" s="651"/>
      <c r="O2" s="652"/>
      <c r="P2" s="835" t="s">
        <v>699</v>
      </c>
      <c r="Q2" s="837"/>
      <c r="R2" s="838"/>
      <c r="S2" s="835" t="s">
        <v>780</v>
      </c>
      <c r="T2" s="837"/>
      <c r="U2" s="838"/>
      <c r="V2" s="835" t="s">
        <v>700</v>
      </c>
      <c r="W2" s="836"/>
      <c r="X2" s="839"/>
      <c r="Y2" s="546"/>
    </row>
    <row r="3" spans="1:44" x14ac:dyDescent="0.2">
      <c r="B3" s="342"/>
      <c r="H3" s="653" t="s">
        <v>772</v>
      </c>
      <c r="I3" s="194">
        <f>Vref/(Vout_eff*Npri_sec)</f>
        <v>8.0666666666666664E-2</v>
      </c>
      <c r="J3" s="654" t="s">
        <v>701</v>
      </c>
      <c r="K3" s="655" t="s">
        <v>702</v>
      </c>
      <c r="L3" s="273">
        <f>1/Rcs_gain</f>
        <v>1.4999999999999998</v>
      </c>
      <c r="M3" s="654" t="s">
        <v>703</v>
      </c>
      <c r="N3" s="198" t="s">
        <v>704</v>
      </c>
      <c r="O3" s="656">
        <f>gmEA</f>
        <v>1.2E-5</v>
      </c>
      <c r="P3" s="657" t="s">
        <v>705</v>
      </c>
      <c r="Q3" s="658">
        <f>1/(2*Pi*D25*D26)</f>
        <v>1850638.8752762375</v>
      </c>
      <c r="R3" s="654" t="s">
        <v>8</v>
      </c>
      <c r="S3" s="657"/>
      <c r="T3" s="658"/>
      <c r="U3" s="654"/>
      <c r="V3" s="659" t="s">
        <v>707</v>
      </c>
      <c r="W3" s="658">
        <f>Am*Afb*Aea</f>
        <v>69695.999999999985</v>
      </c>
      <c r="X3" s="660" t="s">
        <v>701</v>
      </c>
      <c r="Y3" s="451">
        <f>20*LOG(Am*Afb*Aea)</f>
        <v>96.864157074793241</v>
      </c>
      <c r="Z3" s="174" t="s">
        <v>787</v>
      </c>
    </row>
    <row r="4" spans="1:44" x14ac:dyDescent="0.2">
      <c r="B4" s="174">
        <f>BODE_TYPE</f>
        <v>2</v>
      </c>
      <c r="H4" s="661" t="s">
        <v>708</v>
      </c>
      <c r="I4" s="658">
        <f>1/(2*Pi*Rcomp*Ccomp)</f>
        <v>1326.2911939479698</v>
      </c>
      <c r="J4" s="654" t="s">
        <v>8</v>
      </c>
      <c r="K4" s="657" t="s">
        <v>709</v>
      </c>
      <c r="L4" s="273">
        <f>CHOOSE(BODE_TYPE, Rload_pri/Rcs_gain*(Lmag/(2*Vout_eff*Npri_sec)*Fsw_DCM)*SQRT(Iout_eff/(Lmag/(2*Vout_eff*Npri_sec)*Fsw_DCM*Npri_sec)), Rload_pri/(Rcs_gain*2*(2*M+1)))</f>
        <v>14.999999999999998</v>
      </c>
      <c r="M4" s="654" t="s">
        <v>701</v>
      </c>
      <c r="N4" s="662" t="s">
        <v>770</v>
      </c>
      <c r="O4" s="728">
        <f>REAout</f>
        <v>4800000000</v>
      </c>
      <c r="P4" s="657" t="s">
        <v>710</v>
      </c>
      <c r="Q4" s="658">
        <f>CHOOSE(BODE_TYPE, 2/(2*Pi*D25*Rload_sec), 1/(2*Pi*D25*Rload_sec)*(2*M+1)/(M+1))</f>
        <v>1024.9692232299162</v>
      </c>
      <c r="R4" s="654" t="s">
        <v>8</v>
      </c>
      <c r="S4" s="663"/>
      <c r="T4" s="664"/>
      <c r="U4" s="660"/>
      <c r="V4" s="734" t="s">
        <v>711</v>
      </c>
      <c r="W4" s="735">
        <f>AK7</f>
        <v>28.184000000000001</v>
      </c>
      <c r="X4" s="736" t="s">
        <v>2</v>
      </c>
      <c r="Y4" s="451">
        <f>20*LOG(Am*Afb)</f>
        <v>1.6557074063289998</v>
      </c>
      <c r="Z4" s="174" t="s">
        <v>787</v>
      </c>
    </row>
    <row r="5" spans="1:44" x14ac:dyDescent="0.2">
      <c r="H5" s="653" t="s">
        <v>712</v>
      </c>
      <c r="I5" s="273">
        <f>1/(2*Pi*REAout*Ccomp)</f>
        <v>0.5526213308116541</v>
      </c>
      <c r="J5" s="654" t="s">
        <v>8</v>
      </c>
      <c r="K5" s="657"/>
      <c r="L5" s="194"/>
      <c r="M5" s="654"/>
      <c r="N5" s="662"/>
      <c r="O5" s="662"/>
      <c r="P5" s="663" t="s">
        <v>727</v>
      </c>
      <c r="Q5" s="665">
        <f>Rload_pri/(2*Pi*Lmag*M*(M+1))</f>
        <v>783532.02842464671</v>
      </c>
      <c r="R5" s="660" t="s">
        <v>8</v>
      </c>
      <c r="S5" s="663"/>
      <c r="T5" s="192"/>
      <c r="U5" s="660"/>
      <c r="V5" s="734" t="s">
        <v>713</v>
      </c>
      <c r="W5" s="737">
        <f>AK9</f>
        <v>60.24230204234324</v>
      </c>
      <c r="X5" s="738" t="s">
        <v>714</v>
      </c>
      <c r="Y5" s="451">
        <f>20*LOG(Am)</f>
        <v>23.521825181113623</v>
      </c>
      <c r="Z5" s="174" t="s">
        <v>787</v>
      </c>
    </row>
    <row r="6" spans="1:44" x14ac:dyDescent="0.2">
      <c r="H6" s="653" t="s">
        <v>715</v>
      </c>
      <c r="I6" s="175">
        <f>gmEA*REAout</f>
        <v>57600</v>
      </c>
      <c r="J6" s="654" t="s">
        <v>701</v>
      </c>
      <c r="K6" s="663">
        <f>Vout_eff</f>
        <v>5</v>
      </c>
      <c r="L6" s="666"/>
      <c r="M6" s="667"/>
      <c r="N6" s="740"/>
      <c r="O6" s="660"/>
      <c r="P6" s="663"/>
      <c r="Q6" s="192">
        <f>M</f>
        <v>0.625</v>
      </c>
      <c r="R6" s="660"/>
      <c r="S6" s="663"/>
      <c r="T6" s="666"/>
      <c r="U6" s="660"/>
      <c r="V6" s="741" t="s">
        <v>716</v>
      </c>
      <c r="W6" s="192">
        <v>57.295779578552292</v>
      </c>
      <c r="X6" s="660"/>
      <c r="Y6" s="451">
        <f>20*LOG(Aea)</f>
        <v>95.20844966846424</v>
      </c>
      <c r="Z6" s="174" t="s">
        <v>787</v>
      </c>
      <c r="AJ6" s="668" t="s">
        <v>717</v>
      </c>
      <c r="AK6" s="668"/>
    </row>
    <row r="7" spans="1:44" ht="13.5" thickBot="1" x14ac:dyDescent="0.25">
      <c r="H7" s="669" t="s">
        <v>718</v>
      </c>
      <c r="I7" s="670">
        <f>1/(2*Pi*Rcomp*Chf)</f>
        <v>198943.67909219547</v>
      </c>
      <c r="J7" s="671" t="s">
        <v>8</v>
      </c>
      <c r="K7" s="672"/>
      <c r="L7" s="673"/>
      <c r="M7" s="673"/>
      <c r="N7" s="674"/>
      <c r="O7" s="671"/>
      <c r="P7" s="672"/>
      <c r="Q7" s="672"/>
      <c r="R7" s="671"/>
      <c r="S7" s="672"/>
      <c r="T7" s="672"/>
      <c r="U7" s="671"/>
      <c r="V7" s="672"/>
      <c r="W7" s="672"/>
      <c r="X7" s="671"/>
      <c r="Y7" s="451">
        <f>20*LOG(Acs)</f>
        <v>3.5218251811136234</v>
      </c>
      <c r="Z7" s="174" t="s">
        <v>787</v>
      </c>
      <c r="AJ7" s="174" t="s">
        <v>719</v>
      </c>
      <c r="AK7" s="174">
        <f>SUM(AJ12:AJ613)/1000</f>
        <v>28.184000000000001</v>
      </c>
    </row>
    <row r="8" spans="1:44" x14ac:dyDescent="0.2">
      <c r="H8" s="675"/>
      <c r="I8" s="676"/>
      <c r="J8" s="677"/>
      <c r="K8" s="677"/>
      <c r="L8" s="678"/>
      <c r="M8" s="678"/>
      <c r="N8" s="678"/>
      <c r="O8" s="677"/>
      <c r="P8" s="677"/>
      <c r="Q8" s="677"/>
      <c r="R8" s="677"/>
      <c r="S8" s="677"/>
      <c r="T8" s="677"/>
      <c r="U8" s="677"/>
      <c r="V8" s="677"/>
      <c r="W8" s="677"/>
      <c r="X8" s="677"/>
    </row>
    <row r="9" spans="1:44" ht="13.5" thickBot="1" x14ac:dyDescent="0.25">
      <c r="A9" s="726"/>
      <c r="B9" s="731" t="s">
        <v>773</v>
      </c>
      <c r="AJ9" s="174" t="s">
        <v>720</v>
      </c>
      <c r="AK9" s="176">
        <f>SUM(AK13:AK613)</f>
        <v>60.24230204234324</v>
      </c>
    </row>
    <row r="10" spans="1:44" ht="15" x14ac:dyDescent="0.25">
      <c r="A10" s="729"/>
      <c r="B10" s="263" t="s">
        <v>777</v>
      </c>
      <c r="G10" s="840" t="s">
        <v>721</v>
      </c>
      <c r="H10" s="843" t="s">
        <v>771</v>
      </c>
      <c r="I10" s="845" t="s">
        <v>722</v>
      </c>
      <c r="J10" s="846"/>
      <c r="K10" s="846"/>
      <c r="L10" s="846"/>
      <c r="M10" s="846"/>
      <c r="N10" s="847"/>
      <c r="O10" s="845" t="s">
        <v>723</v>
      </c>
      <c r="P10" s="846"/>
      <c r="Q10" s="846"/>
      <c r="R10" s="846"/>
      <c r="S10" s="846"/>
      <c r="T10" s="847"/>
      <c r="U10" s="825" t="s">
        <v>775</v>
      </c>
      <c r="V10" s="848"/>
      <c r="W10" s="825" t="s">
        <v>724</v>
      </c>
      <c r="X10" s="826"/>
      <c r="Y10" s="827"/>
      <c r="AD10" s="828" t="s">
        <v>725</v>
      </c>
      <c r="AE10" s="829"/>
      <c r="AG10" s="828" t="s">
        <v>726</v>
      </c>
      <c r="AH10" s="829"/>
      <c r="AM10" s="337" t="s">
        <v>776</v>
      </c>
    </row>
    <row r="11" spans="1:44" x14ac:dyDescent="0.2">
      <c r="G11" s="841"/>
      <c r="H11" s="844"/>
      <c r="I11" s="830" t="s">
        <v>710</v>
      </c>
      <c r="J11" s="831"/>
      <c r="K11" s="831" t="s">
        <v>705</v>
      </c>
      <c r="L11" s="832"/>
      <c r="M11" s="833" t="s">
        <v>727</v>
      </c>
      <c r="N11" s="834"/>
      <c r="O11" s="830" t="s">
        <v>728</v>
      </c>
      <c r="P11" s="831"/>
      <c r="Q11" s="831" t="s">
        <v>729</v>
      </c>
      <c r="R11" s="832"/>
      <c r="S11" s="833" t="s">
        <v>730</v>
      </c>
      <c r="T11" s="834"/>
      <c r="U11" s="830" t="s">
        <v>706</v>
      </c>
      <c r="V11" s="832"/>
      <c r="W11" s="657"/>
      <c r="X11" s="175"/>
      <c r="Y11" s="679"/>
      <c r="AD11" s="657"/>
      <c r="AE11" s="654"/>
      <c r="AG11" s="657"/>
      <c r="AH11" s="654"/>
    </row>
    <row r="12" spans="1:44" ht="13.5" thickBot="1" x14ac:dyDescent="0.25">
      <c r="A12" s="677"/>
      <c r="B12" s="677"/>
      <c r="C12" s="677"/>
      <c r="D12" s="677"/>
      <c r="E12" s="677"/>
      <c r="F12" s="722"/>
      <c r="G12" s="842"/>
      <c r="H12" s="680"/>
      <c r="I12" s="681" t="s">
        <v>731</v>
      </c>
      <c r="J12" s="682" t="s">
        <v>732</v>
      </c>
      <c r="K12" s="682" t="s">
        <v>731</v>
      </c>
      <c r="L12" s="683" t="s">
        <v>732</v>
      </c>
      <c r="M12" s="682" t="s">
        <v>731</v>
      </c>
      <c r="N12" s="683" t="s">
        <v>732</v>
      </c>
      <c r="O12" s="681" t="s">
        <v>731</v>
      </c>
      <c r="P12" s="682" t="s">
        <v>732</v>
      </c>
      <c r="Q12" s="682" t="s">
        <v>731</v>
      </c>
      <c r="R12" s="683" t="s">
        <v>732</v>
      </c>
      <c r="S12" s="681" t="s">
        <v>731</v>
      </c>
      <c r="T12" s="682" t="s">
        <v>732</v>
      </c>
      <c r="U12" s="681" t="s">
        <v>731</v>
      </c>
      <c r="V12" s="683" t="s">
        <v>732</v>
      </c>
      <c r="W12" s="684" t="s">
        <v>733</v>
      </c>
      <c r="X12" s="685" t="s">
        <v>734</v>
      </c>
      <c r="Y12" s="686" t="s">
        <v>735</v>
      </c>
      <c r="AB12" s="687" t="s">
        <v>736</v>
      </c>
      <c r="AD12" s="688" t="s">
        <v>737</v>
      </c>
      <c r="AE12" s="689" t="s">
        <v>738</v>
      </c>
      <c r="AG12" s="688" t="s">
        <v>737</v>
      </c>
      <c r="AH12" s="689" t="s">
        <v>738</v>
      </c>
    </row>
    <row r="13" spans="1:44" x14ac:dyDescent="0.2">
      <c r="A13" s="337" t="s">
        <v>754</v>
      </c>
      <c r="B13" s="725">
        <v>3</v>
      </c>
      <c r="D13" s="174" t="s">
        <v>781</v>
      </c>
      <c r="G13" s="690">
        <v>0.1</v>
      </c>
      <c r="H13" s="691">
        <f>G13/1000</f>
        <v>1E-4</v>
      </c>
      <c r="I13" s="692">
        <f t="shared" ref="I13:I76" si="0">SQRT(1+(G13/pole1)^2)</f>
        <v>1.0000000047593578</v>
      </c>
      <c r="J13" s="693">
        <f t="shared" ref="J13:J76" si="1">ATAN(G13/pole1)</f>
        <v>9.7563904765438948E-5</v>
      </c>
      <c r="K13" s="693">
        <f t="shared" ref="K13:K76" si="2">SQRT(1+(G13/Zero1)^2)</f>
        <v>1.0000000000000013</v>
      </c>
      <c r="L13" s="694">
        <f t="shared" ref="L13:L76" si="3">ATAN(G13/Zero1)</f>
        <v>5.4035393579999938E-8</v>
      </c>
      <c r="M13" s="693">
        <f t="shared" ref="M13:M76" si="4">SQRT(1+(G13/z_RHP)^2)</f>
        <v>1.000000000000008</v>
      </c>
      <c r="N13" s="694">
        <f t="shared" ref="N13:N76" si="5">-ATAN(G13/z_RHP)</f>
        <v>-1.2762720140624933E-7</v>
      </c>
      <c r="O13" s="692">
        <f t="shared" ref="O13:O76" si="6">SQRT(1+(G13/Pole2)^2)</f>
        <v>1.01624061059521</v>
      </c>
      <c r="P13" s="695">
        <f t="shared" ref="P13:P76" si="7">ATAN(G13/Pole2)</f>
        <v>0.17901852631309353</v>
      </c>
      <c r="Q13" s="693">
        <f t="shared" ref="Q13:Q76" si="8">SQRT(1+(G13/Zero2)^2)</f>
        <v>1.0000000028424461</v>
      </c>
      <c r="R13" s="694">
        <f t="shared" ref="R13:R76" si="9">ATAN(G13/Zero2)</f>
        <v>7.5398223457123084E-5</v>
      </c>
      <c r="S13" s="692">
        <f t="shared" ref="S13:S76" si="10">SQRT(1+(G13/pole4)^2)</f>
        <v>1.0000000000001263</v>
      </c>
      <c r="T13" s="695">
        <f t="shared" ref="T13:T76" si="11">ATAN(G13/pole4)</f>
        <v>5.0265482399995775E-7</v>
      </c>
      <c r="U13" s="696">
        <f>IMABS(IMPRODUCT(AO13, AR13))</f>
        <v>0.99959999999948101</v>
      </c>
      <c r="V13" s="697">
        <f>IMARGUMENT(IMPRODUCT(AO13, AR13))</f>
        <v>-1.2564591690226416E-6</v>
      </c>
      <c r="W13" s="698">
        <f t="shared" ref="W13:W76" si="12">20*LOG10(((K13*Q13*M13*U13)/(I13*O13*S13))*Adc)</f>
        <v>96.720751086805052</v>
      </c>
      <c r="X13" s="699">
        <f t="shared" ref="X13:X76" si="13">((L13+R13+N13+V13)-(J13+P13+T13))*radconv</f>
        <v>-10.25838103041032</v>
      </c>
      <c r="Y13" s="700">
        <f t="shared" ref="Y13:Y76" si="14">IF(X13&gt;0,X13,X13+180)</f>
        <v>169.74161896958969</v>
      </c>
      <c r="AA13" s="174">
        <f t="shared" ref="AA13:AA76" si="15">IF(W13&lt;0,G13,1000000000)</f>
        <v>1000000000</v>
      </c>
      <c r="AB13" s="174">
        <f t="shared" ref="AB13:AB76" si="16">G13^2</f>
        <v>1.0000000000000002E-2</v>
      </c>
      <c r="AD13" s="701">
        <f t="shared" ref="AD13:AD76" si="17">20*LOG10((Q13/(O13*S13))*Aea)</f>
        <v>95.068518772731508</v>
      </c>
      <c r="AE13" s="702">
        <f t="shared" ref="AE13:AE76" si="18">(R13-(P13+T13))*radconv</f>
        <v>-10.252714824120456</v>
      </c>
      <c r="AG13" s="701">
        <f t="shared" ref="AG13:AG76" si="19">20*LOG10((K13*M13/(I13*U13))*Acs*Am)</f>
        <v>27.047125371804334</v>
      </c>
      <c r="AH13" s="702">
        <f t="shared" ref="AH13:AH76" si="20">(L13+N13-(J13+V13))*radconv</f>
        <v>-5.5222266746656852E-3</v>
      </c>
      <c r="AJ13" s="174">
        <f t="shared" ref="AJ13:AJ76" si="21">SUM((W14&lt;0)*(W13&gt;0))*G13</f>
        <v>0</v>
      </c>
      <c r="AK13" s="174">
        <f t="shared" ref="AK13:AK44" si="22">IF(AJ13&gt;0,Y11,0)</f>
        <v>0</v>
      </c>
      <c r="AM13" s="174" t="str">
        <f t="shared" ref="AM13" si="23">IMSUB(1,IMEXP(COMPLEX(0,-2*Pi*G13*Tsw)))</f>
        <v>1.61104463103356E-12+1.79519579999904E-06i</v>
      </c>
      <c r="AN13" s="174" t="str">
        <f t="shared" ref="AN13" si="24">COMPLEX(0, 2*Pi*G13*Tsw)</f>
        <v>0.0000017951958i</v>
      </c>
      <c r="AO13" s="174" t="str">
        <f>IMDIV(AM13, AN13)</f>
        <v>0.999999999999465-8.97420009022726E-07i</v>
      </c>
      <c r="AP13" s="174" t="str">
        <f t="shared" ref="AP13" si="25">IMDIV(IMEXP(COMPLEX(0,-2*Pi*G13*Tsw)),6)</f>
        <v>0.166666666666398-2.9919929999984E-07i</v>
      </c>
      <c r="AQ13" s="174" t="str">
        <f>IMSUB(1, AP13)</f>
        <v>0.833333333333602+2.9919929999984E-07i</v>
      </c>
      <c r="AR13" s="174" t="str">
        <f>IMDIV(0.833, AQ13)</f>
        <v>0.999599999999549-3.5889554433553E-07i</v>
      </c>
    </row>
    <row r="14" spans="1:44" x14ac:dyDescent="0.2">
      <c r="A14" s="337" t="s">
        <v>751</v>
      </c>
      <c r="B14" s="726">
        <v>5</v>
      </c>
      <c r="C14" s="174" t="s">
        <v>0</v>
      </c>
      <c r="D14" s="174" t="s">
        <v>778</v>
      </c>
      <c r="G14" s="703">
        <v>1.0965</v>
      </c>
      <c r="H14" s="691">
        <f t="shared" ref="H14:H77" si="26">G14/1000</f>
        <v>1.0965E-3</v>
      </c>
      <c r="I14" s="692">
        <f t="shared" si="0"/>
        <v>1.0000005722232532</v>
      </c>
      <c r="J14" s="693">
        <f t="shared" si="1"/>
        <v>1.0697878110424081E-3</v>
      </c>
      <c r="K14" s="693">
        <f t="shared" si="2"/>
        <v>1.0000000000001754</v>
      </c>
      <c r="L14" s="694">
        <f t="shared" si="3"/>
        <v>5.9249809060463054E-7</v>
      </c>
      <c r="M14" s="693">
        <f t="shared" si="4"/>
        <v>1.0000000000009792</v>
      </c>
      <c r="N14" s="694">
        <f t="shared" si="5"/>
        <v>-1.399432263418618E-6</v>
      </c>
      <c r="O14" s="692">
        <f t="shared" si="6"/>
        <v>2.2219290925754338</v>
      </c>
      <c r="P14" s="695">
        <f t="shared" si="7"/>
        <v>1.103964508822026</v>
      </c>
      <c r="Q14" s="704">
        <f t="shared" si="8"/>
        <v>1.0000003417507135</v>
      </c>
      <c r="R14" s="705">
        <f t="shared" si="9"/>
        <v>8.2674133341437519E-4</v>
      </c>
      <c r="S14" s="692">
        <f t="shared" si="10"/>
        <v>1.000000000015189</v>
      </c>
      <c r="T14" s="695">
        <f t="shared" si="11"/>
        <v>5.5116101451041907E-6</v>
      </c>
      <c r="U14" s="696">
        <f t="shared" ref="U14:U77" si="27">IMABS(IMPRODUCT(AO14, AR14))</f>
        <v>0.9995999999373828</v>
      </c>
      <c r="V14" s="697">
        <f t="shared" ref="V14:V77" si="28">IMARGUMENT(IMPRODUCT(AO14, AR14))</f>
        <v>-1.3779013270134601E-5</v>
      </c>
      <c r="W14" s="698">
        <f t="shared" si="12"/>
        <v>89.926076113730034</v>
      </c>
      <c r="X14" s="699">
        <f t="shared" si="13"/>
        <v>-63.267584202650703</v>
      </c>
      <c r="Y14" s="702">
        <f t="shared" si="14"/>
        <v>116.73241579734929</v>
      </c>
      <c r="AA14" s="174">
        <f t="shared" si="15"/>
        <v>1000000000</v>
      </c>
      <c r="AB14" s="174">
        <f t="shared" si="16"/>
        <v>1.2023122500000001</v>
      </c>
      <c r="AD14" s="701">
        <f t="shared" si="17"/>
        <v>88.273848729113467</v>
      </c>
      <c r="AE14" s="702">
        <f t="shared" si="18"/>
        <v>-63.205454162803761</v>
      </c>
      <c r="AG14" s="701">
        <f t="shared" si="19"/>
        <v>27.047120443426529</v>
      </c>
      <c r="AH14" s="702">
        <f t="shared" si="20"/>
        <v>-6.0551081232672145E-2</v>
      </c>
      <c r="AJ14" s="174">
        <f t="shared" si="21"/>
        <v>0</v>
      </c>
      <c r="AK14" s="174">
        <f t="shared" si="22"/>
        <v>0</v>
      </c>
      <c r="AM14" s="174" t="str">
        <f t="shared" ref="AM14:AM77" si="29">IMSUB(1,IMEXP(COMPLEX(0,-2*Pi*G14*Tsw)))</f>
        <v>1.93736027220837E-10+0.0000196843219457288i</v>
      </c>
      <c r="AN14" s="174" t="str">
        <f t="shared" ref="AN14:AN77" si="30">COMPLEX(0, 2*Pi*G14*Tsw)</f>
        <v>0.000019684321947i</v>
      </c>
      <c r="AO14" s="174" t="str">
        <f t="shared" ref="AO14:AO77" si="31">IMDIV(AM14, AN14)</f>
        <v>0.999999999935421-0.0000098421488808439i</v>
      </c>
      <c r="AP14" s="174" t="str">
        <f t="shared" ref="AP14:AP77" si="32">IMDIV(IMEXP(COMPLEX(0,-2*Pi*G14*Tsw)),6)</f>
        <v>0.166666666634377-3.28072032428813E-06i</v>
      </c>
      <c r="AQ14" s="174" t="str">
        <f t="shared" ref="AQ14:AQ77" si="33">IMSUB(1, AP14)</f>
        <v>0.833333333365623+3.28072032428813E-06i</v>
      </c>
      <c r="AR14" s="174" t="str">
        <f t="shared" ref="AR14:AR77" si="34">IMDIV(0.833, AQ14)</f>
        <v>0.999599999945775-3.93528964302414E-06i</v>
      </c>
    </row>
    <row r="15" spans="1:44" x14ac:dyDescent="0.2">
      <c r="A15" s="337" t="s">
        <v>750</v>
      </c>
      <c r="B15" s="726">
        <v>1</v>
      </c>
      <c r="C15" s="174" t="s">
        <v>1</v>
      </c>
      <c r="G15" s="703">
        <v>1.2022999999999999</v>
      </c>
      <c r="H15" s="691">
        <f t="shared" si="26"/>
        <v>1.2022999999999999E-3</v>
      </c>
      <c r="I15" s="692">
        <f t="shared" si="0"/>
        <v>1.0000006879769678</v>
      </c>
      <c r="J15" s="693">
        <f t="shared" si="1"/>
        <v>1.1730102927140272E-3</v>
      </c>
      <c r="K15" s="693">
        <f t="shared" si="2"/>
        <v>1.0000000000002109</v>
      </c>
      <c r="L15" s="694">
        <f t="shared" si="3"/>
        <v>6.4966753701224839E-7</v>
      </c>
      <c r="M15" s="693">
        <f t="shared" si="4"/>
        <v>1.0000000000011773</v>
      </c>
      <c r="N15" s="694">
        <f t="shared" si="5"/>
        <v>-1.5344618425061396E-6</v>
      </c>
      <c r="O15" s="692">
        <f t="shared" si="6"/>
        <v>2.3944455458403624</v>
      </c>
      <c r="P15" s="695">
        <f t="shared" si="7"/>
        <v>1.1399573920718153</v>
      </c>
      <c r="Q15" s="704">
        <f t="shared" si="8"/>
        <v>1.0000004108826823</v>
      </c>
      <c r="R15" s="705">
        <f t="shared" si="9"/>
        <v>9.065125940292527E-4</v>
      </c>
      <c r="S15" s="692">
        <f t="shared" si="10"/>
        <v>1.0000000000182614</v>
      </c>
      <c r="T15" s="695">
        <f t="shared" si="11"/>
        <v>6.0434189488784258E-6</v>
      </c>
      <c r="U15" s="696">
        <f t="shared" si="27"/>
        <v>0.9995999999247166</v>
      </c>
      <c r="V15" s="697">
        <f t="shared" si="28"/>
        <v>-1.5108559999369643E-5</v>
      </c>
      <c r="W15" s="698">
        <f t="shared" si="12"/>
        <v>89.276580319790909</v>
      </c>
      <c r="X15" s="699">
        <f t="shared" si="13"/>
        <v>-65.331279272593051</v>
      </c>
      <c r="Y15" s="702">
        <f t="shared" si="14"/>
        <v>114.66872072740695</v>
      </c>
      <c r="AA15" s="174">
        <f t="shared" si="15"/>
        <v>1000000000</v>
      </c>
      <c r="AB15" s="174">
        <f t="shared" si="16"/>
        <v>1.4455252899999997</v>
      </c>
      <c r="AD15" s="701">
        <f t="shared" si="17"/>
        <v>87.624353940705731</v>
      </c>
      <c r="AE15" s="702">
        <f t="shared" si="18"/>
        <v>-65.263154381715353</v>
      </c>
      <c r="AG15" s="701">
        <f t="shared" si="19"/>
        <v>27.047119438115264</v>
      </c>
      <c r="AH15" s="702">
        <f t="shared" si="20"/>
        <v>-6.6393577430742728E-2</v>
      </c>
      <c r="AJ15" s="174">
        <f t="shared" si="21"/>
        <v>0</v>
      </c>
      <c r="AK15" s="174">
        <f t="shared" si="22"/>
        <v>0</v>
      </c>
      <c r="AM15" s="174" t="str">
        <f t="shared" si="29"/>
        <v>2.32927011012407E-10+0.0000215836391017242i</v>
      </c>
      <c r="AN15" s="174" t="str">
        <f t="shared" si="30"/>
        <v>0.0000215836391034i</v>
      </c>
      <c r="AO15" s="174" t="str">
        <f t="shared" si="31"/>
        <v>0.999999999922358-0.0000107918321788338i</v>
      </c>
      <c r="AP15" s="174" t="str">
        <f t="shared" si="32"/>
        <v>0.166666666627845-0.0000035972731836207i</v>
      </c>
      <c r="AQ15" s="174" t="str">
        <f t="shared" si="33"/>
        <v>0.833333333372155+0.0000035972731836207i</v>
      </c>
      <c r="AR15" s="174" t="str">
        <f t="shared" si="34"/>
        <v>0.999599999934806-4.31500112873426E-06i</v>
      </c>
    </row>
    <row r="16" spans="1:44" x14ac:dyDescent="0.2">
      <c r="A16" s="337" t="s">
        <v>3</v>
      </c>
      <c r="B16" s="726">
        <v>24</v>
      </c>
      <c r="C16" s="174" t="s">
        <v>0</v>
      </c>
      <c r="G16" s="703">
        <v>1.3183</v>
      </c>
      <c r="H16" s="691">
        <f t="shared" si="26"/>
        <v>1.3183000000000001E-3</v>
      </c>
      <c r="I16" s="692">
        <f t="shared" si="0"/>
        <v>1.0000008271355343</v>
      </c>
      <c r="J16" s="693">
        <f t="shared" si="1"/>
        <v>1.2861842513712789E-3</v>
      </c>
      <c r="K16" s="693">
        <f t="shared" si="2"/>
        <v>1.0000000000002536</v>
      </c>
      <c r="L16" s="694">
        <f t="shared" si="3"/>
        <v>7.1234859356501939E-7</v>
      </c>
      <c r="M16" s="693">
        <f t="shared" si="4"/>
        <v>1.0000000000014153</v>
      </c>
      <c r="N16" s="694">
        <f t="shared" si="5"/>
        <v>-1.6825093961370065E-6</v>
      </c>
      <c r="O16" s="692">
        <f t="shared" si="6"/>
        <v>2.5866578034504899</v>
      </c>
      <c r="P16" s="695">
        <f t="shared" si="7"/>
        <v>1.1738550408729236</v>
      </c>
      <c r="Q16" s="704">
        <f t="shared" si="8"/>
        <v>1.0000004939928113</v>
      </c>
      <c r="R16" s="705">
        <f t="shared" si="9"/>
        <v>9.939744543746487E-4</v>
      </c>
      <c r="S16" s="692">
        <f t="shared" si="10"/>
        <v>1.0000000000219553</v>
      </c>
      <c r="T16" s="695">
        <f t="shared" si="11"/>
        <v>6.6264985446950098E-6</v>
      </c>
      <c r="U16" s="696">
        <f t="shared" si="27"/>
        <v>0.99959999990948811</v>
      </c>
      <c r="V16" s="697">
        <f t="shared" si="28"/>
        <v>-1.6566231359821008E-5</v>
      </c>
      <c r="W16" s="698">
        <f t="shared" si="12"/>
        <v>88.605899560770638</v>
      </c>
      <c r="X16" s="699">
        <f t="shared" si="13"/>
        <v>-67.275066498806865</v>
      </c>
      <c r="Y16" s="702">
        <f t="shared" si="14"/>
        <v>112.72493350119314</v>
      </c>
      <c r="AA16" s="174">
        <f t="shared" si="15"/>
        <v>1000000000</v>
      </c>
      <c r="AB16" s="174">
        <f t="shared" si="16"/>
        <v>1.7379148900000001</v>
      </c>
      <c r="AD16" s="701">
        <f t="shared" si="17"/>
        <v>86.953674390530381</v>
      </c>
      <c r="AE16" s="702">
        <f t="shared" si="18"/>
        <v>-67.200368808182958</v>
      </c>
      <c r="AG16" s="701">
        <f t="shared" si="19"/>
        <v>27.047118229534991</v>
      </c>
      <c r="AH16" s="702">
        <f t="shared" si="20"/>
        <v>-7.279934034303441E-2</v>
      </c>
      <c r="AJ16" s="174">
        <f t="shared" si="21"/>
        <v>0</v>
      </c>
      <c r="AK16" s="174">
        <f t="shared" si="22"/>
        <v>0</v>
      </c>
      <c r="AM16" s="174" t="str">
        <f t="shared" si="29"/>
        <v>2.80040990396913E-10+0.0000236660662291908i</v>
      </c>
      <c r="AN16" s="174" t="str">
        <f t="shared" si="30"/>
        <v>0.0000236660662314i</v>
      </c>
      <c r="AO16" s="174" t="str">
        <f t="shared" si="31"/>
        <v>0.999999999906651-0.000011833018113731i</v>
      </c>
      <c r="AP16" s="174" t="str">
        <f t="shared" si="32"/>
        <v>0.166666666619993-0.0000039443443715318i</v>
      </c>
      <c r="AQ16" s="174" t="str">
        <f t="shared" si="33"/>
        <v>0.833333333380007+0.0000039443443715318i</v>
      </c>
      <c r="AR16" s="174" t="str">
        <f t="shared" si="34"/>
        <v>0.99959999992162-4.73131995990384E-06i</v>
      </c>
    </row>
    <row r="17" spans="1:44" x14ac:dyDescent="0.2">
      <c r="G17" s="703">
        <v>1.4454</v>
      </c>
      <c r="H17" s="691">
        <f t="shared" si="26"/>
        <v>1.4454000000000001E-3</v>
      </c>
      <c r="I17" s="692">
        <f t="shared" si="0"/>
        <v>1.0000009943155679</v>
      </c>
      <c r="J17" s="693">
        <f t="shared" si="1"/>
        <v>1.4101877491729921E-3</v>
      </c>
      <c r="K17" s="693">
        <f t="shared" si="2"/>
        <v>1.0000000000003051</v>
      </c>
      <c r="L17" s="694">
        <f t="shared" si="3"/>
        <v>7.8102757880516104E-7</v>
      </c>
      <c r="M17" s="693">
        <f t="shared" si="4"/>
        <v>1.0000000000017015</v>
      </c>
      <c r="N17" s="694">
        <f t="shared" si="5"/>
        <v>-1.8447235691238453E-6</v>
      </c>
      <c r="O17" s="692">
        <f t="shared" si="6"/>
        <v>2.8001820016494952</v>
      </c>
      <c r="P17" s="695">
        <f t="shared" si="7"/>
        <v>1.2056139573674829</v>
      </c>
      <c r="Q17" s="704">
        <f t="shared" si="8"/>
        <v>1.0000005938382996</v>
      </c>
      <c r="R17" s="705">
        <f t="shared" si="9"/>
        <v>1.0898054924689149E-3</v>
      </c>
      <c r="S17" s="692">
        <f t="shared" si="10"/>
        <v>1.0000000000263927</v>
      </c>
      <c r="T17" s="695">
        <f t="shared" si="11"/>
        <v>7.2653728259681645E-6</v>
      </c>
      <c r="U17" s="696">
        <f t="shared" si="27"/>
        <v>0.99959999989119519</v>
      </c>
      <c r="V17" s="697">
        <f t="shared" si="28"/>
        <v>-1.816342897589975E-5</v>
      </c>
      <c r="W17" s="698">
        <f t="shared" si="12"/>
        <v>87.916953347786361</v>
      </c>
      <c r="X17" s="699">
        <f t="shared" si="13"/>
        <v>-69.09646601762843</v>
      </c>
      <c r="Y17" s="702">
        <f t="shared" si="14"/>
        <v>110.90353398237157</v>
      </c>
      <c r="AA17" s="174">
        <f t="shared" si="15"/>
        <v>1000000000</v>
      </c>
      <c r="AB17" s="174">
        <f t="shared" si="16"/>
        <v>2.0891811599999999</v>
      </c>
      <c r="AD17" s="701">
        <f t="shared" si="17"/>
        <v>86.264729629808116</v>
      </c>
      <c r="AE17" s="702">
        <f t="shared" si="18"/>
        <v>-69.014566578073442</v>
      </c>
      <c r="AG17" s="701">
        <f t="shared" si="19"/>
        <v>27.04711677759088</v>
      </c>
      <c r="AH17" s="702">
        <f t="shared" si="20"/>
        <v>-7.9818063908996595E-2</v>
      </c>
      <c r="AJ17" s="174">
        <f t="shared" si="21"/>
        <v>0</v>
      </c>
      <c r="AK17" s="174">
        <f t="shared" si="22"/>
        <v>0</v>
      </c>
      <c r="AM17" s="174" t="str">
        <f t="shared" si="29"/>
        <v>3.36643046772167E-10+0.0000259477600902883i</v>
      </c>
      <c r="AN17" s="174" t="str">
        <f t="shared" si="30"/>
        <v>0.0000259477600932i</v>
      </c>
      <c r="AO17" s="174" t="str">
        <f t="shared" si="31"/>
        <v>0.999999999887786-0.0000129738769575101i</v>
      </c>
      <c r="AP17" s="174" t="str">
        <f t="shared" si="32"/>
        <v>0.166666666610559-4.32462668171472E-06i</v>
      </c>
      <c r="AQ17" s="174" t="str">
        <f t="shared" si="33"/>
        <v>0.833333333389441+4.32462668171472E-06i</v>
      </c>
      <c r="AR17" s="174" t="str">
        <f t="shared" si="34"/>
        <v>0.999599999905777-0.0000051874761964122i</v>
      </c>
    </row>
    <row r="18" spans="1:44" x14ac:dyDescent="0.2">
      <c r="A18" s="174" t="s">
        <v>757</v>
      </c>
      <c r="B18" s="730">
        <f>Vout_eff*Npri_sec/Vin_eff</f>
        <v>0.625</v>
      </c>
      <c r="C18" s="174" t="s">
        <v>701</v>
      </c>
      <c r="G18" s="703">
        <v>1.5849</v>
      </c>
      <c r="H18" s="691">
        <f t="shared" si="26"/>
        <v>1.5849E-3</v>
      </c>
      <c r="I18" s="692">
        <f t="shared" si="0"/>
        <v>1.0000011955061801</v>
      </c>
      <c r="J18" s="693">
        <f t="shared" si="1"/>
        <v>1.5462890991349409E-3</v>
      </c>
      <c r="K18" s="693">
        <f t="shared" si="2"/>
        <v>1.0000000000003668</v>
      </c>
      <c r="L18" s="694">
        <f t="shared" si="3"/>
        <v>8.5640695284921044E-7</v>
      </c>
      <c r="M18" s="693">
        <f t="shared" si="4"/>
        <v>1.0000000000020459</v>
      </c>
      <c r="N18" s="694">
        <f t="shared" si="5"/>
        <v>-2.0227635150848979E-6</v>
      </c>
      <c r="O18" s="692">
        <f t="shared" si="6"/>
        <v>3.0373075920987023</v>
      </c>
      <c r="P18" s="695">
        <f t="shared" si="7"/>
        <v>1.2352988383748154</v>
      </c>
      <c r="Q18" s="704">
        <f t="shared" si="8"/>
        <v>1.0000007139960481</v>
      </c>
      <c r="R18" s="705">
        <f t="shared" si="9"/>
        <v>1.1949858770262845E-3</v>
      </c>
      <c r="S18" s="692">
        <f t="shared" si="10"/>
        <v>1.0000000000317333</v>
      </c>
      <c r="T18" s="695">
        <f t="shared" si="11"/>
        <v>7.9665763054074652E-6</v>
      </c>
      <c r="U18" s="696">
        <f t="shared" si="27"/>
        <v>0.99959999986917814</v>
      </c>
      <c r="V18" s="697">
        <f t="shared" si="28"/>
        <v>-1.9916447596534588E-5</v>
      </c>
      <c r="W18" s="698">
        <f t="shared" si="12"/>
        <v>87.210902325876262</v>
      </c>
      <c r="X18" s="699">
        <f t="shared" si="13"/>
        <v>-70.79920255604425</v>
      </c>
      <c r="Y18" s="702">
        <f t="shared" si="14"/>
        <v>109.20079744395575</v>
      </c>
      <c r="AA18" s="174">
        <f t="shared" si="15"/>
        <v>1000000000</v>
      </c>
      <c r="AB18" s="174">
        <f t="shared" si="16"/>
        <v>2.51190801</v>
      </c>
      <c r="AD18" s="701">
        <f t="shared" si="17"/>
        <v>85.558680355603357</v>
      </c>
      <c r="AE18" s="702">
        <f t="shared" si="18"/>
        <v>-70.709398760955509</v>
      </c>
      <c r="AG18" s="701">
        <f t="shared" si="19"/>
        <v>27.047115030268181</v>
      </c>
      <c r="AH18" s="702">
        <f t="shared" si="20"/>
        <v>-8.752153830577479E-2</v>
      </c>
      <c r="AJ18" s="174">
        <f t="shared" si="21"/>
        <v>0</v>
      </c>
      <c r="AK18" s="174">
        <f t="shared" si="22"/>
        <v>0</v>
      </c>
      <c r="AM18" s="174" t="str">
        <f t="shared" si="29"/>
        <v>4.04760003291926E-10+0.0000284520582303612i</v>
      </c>
      <c r="AN18" s="174" t="str">
        <f t="shared" si="30"/>
        <v>0.0000284520582342i</v>
      </c>
      <c r="AO18" s="174" t="str">
        <f t="shared" si="31"/>
        <v>0.999999999865078-0.0000142260359500247i</v>
      </c>
      <c r="AP18" s="174" t="str">
        <f t="shared" si="32"/>
        <v>0.166666666599207-0.0000047420097050602i</v>
      </c>
      <c r="AQ18" s="174" t="str">
        <f t="shared" si="33"/>
        <v>0.833333333400793+0.0000047420097050602i</v>
      </c>
      <c r="AR18" s="174" t="str">
        <f t="shared" si="34"/>
        <v>0.999599999886713-0.0000056881354803087i</v>
      </c>
    </row>
    <row r="19" spans="1:44" x14ac:dyDescent="0.2">
      <c r="A19" s="174" t="s">
        <v>774</v>
      </c>
      <c r="B19" s="174">
        <f>1/350000</f>
        <v>2.8571428571428573E-6</v>
      </c>
      <c r="G19" s="703">
        <v>1.7378</v>
      </c>
      <c r="H19" s="691">
        <f t="shared" si="26"/>
        <v>1.7378000000000001E-3</v>
      </c>
      <c r="I19" s="692">
        <f t="shared" si="0"/>
        <v>1.0000014373006698</v>
      </c>
      <c r="J19" s="693">
        <f t="shared" si="1"/>
        <v>1.6954639177991443E-3</v>
      </c>
      <c r="K19" s="693">
        <f t="shared" si="2"/>
        <v>1.000000000000441</v>
      </c>
      <c r="L19" s="694">
        <f t="shared" si="3"/>
        <v>9.3902706963296376E-7</v>
      </c>
      <c r="M19" s="693">
        <f t="shared" si="4"/>
        <v>1.0000000000024596</v>
      </c>
      <c r="N19" s="694">
        <f t="shared" si="5"/>
        <v>-2.2179055060341759E-6</v>
      </c>
      <c r="O19" s="692">
        <f t="shared" si="6"/>
        <v>3.2998206043378668</v>
      </c>
      <c r="P19" s="695">
        <f t="shared" si="7"/>
        <v>1.2629081711968904</v>
      </c>
      <c r="Q19" s="704">
        <f t="shared" si="8"/>
        <v>1.0000008584038</v>
      </c>
      <c r="R19" s="705">
        <f t="shared" si="9"/>
        <v>1.3102695798938972E-3</v>
      </c>
      <c r="S19" s="692">
        <f t="shared" si="10"/>
        <v>1.0000000000381513</v>
      </c>
      <c r="T19" s="695">
        <f t="shared" si="11"/>
        <v>8.7351355312498297E-6</v>
      </c>
      <c r="U19" s="696">
        <f t="shared" si="27"/>
        <v>0.9995999998427203</v>
      </c>
      <c r="V19" s="697">
        <f t="shared" si="28"/>
        <v>-2.1837847966147028E-5</v>
      </c>
      <c r="W19" s="698">
        <f t="shared" si="12"/>
        <v>86.490870394385482</v>
      </c>
      <c r="X19" s="699">
        <f t="shared" si="13"/>
        <v>-72.383203191989665</v>
      </c>
      <c r="Y19" s="702">
        <f t="shared" si="14"/>
        <v>107.61679680801033</v>
      </c>
      <c r="AA19" s="174">
        <f t="shared" si="15"/>
        <v>1000000000</v>
      </c>
      <c r="AB19" s="174">
        <f t="shared" si="16"/>
        <v>3.0199488400000001</v>
      </c>
      <c r="AD19" s="701">
        <f t="shared" si="17"/>
        <v>84.838650524535723</v>
      </c>
      <c r="AE19" s="702">
        <f t="shared" si="18"/>
        <v>-72.284735774211526</v>
      </c>
      <c r="AG19" s="701">
        <f t="shared" si="19"/>
        <v>27.047112930304831</v>
      </c>
      <c r="AH19" s="702">
        <f t="shared" si="20"/>
        <v>-9.5964984731069986E-2</v>
      </c>
      <c r="AJ19" s="174">
        <f t="shared" si="21"/>
        <v>0</v>
      </c>
      <c r="AK19" s="174">
        <f t="shared" si="22"/>
        <v>0</v>
      </c>
      <c r="AM19" s="174" t="str">
        <f t="shared" si="29"/>
        <v>4.86623963347199E-10+0.0000311969126073396i</v>
      </c>
      <c r="AN19" s="174" t="str">
        <f t="shared" si="30"/>
        <v>0.0000311969126124i</v>
      </c>
      <c r="AO19" s="174" t="str">
        <f t="shared" si="31"/>
        <v>0.999999999837791-0.0000155984654441022i</v>
      </c>
      <c r="AP19" s="174" t="str">
        <f t="shared" si="32"/>
        <v>0.166666666585563-0.0000051994854345566i</v>
      </c>
      <c r="AQ19" s="174" t="str">
        <f t="shared" si="33"/>
        <v>0.833333333414437+0.0000051994854345566i</v>
      </c>
      <c r="AR19" s="174" t="str">
        <f t="shared" si="34"/>
        <v>0.9995999998638-6.23688676700253E-06i</v>
      </c>
    </row>
    <row r="20" spans="1:44" x14ac:dyDescent="0.2">
      <c r="G20" s="703">
        <v>1.9055</v>
      </c>
      <c r="H20" s="691">
        <f t="shared" si="26"/>
        <v>1.9055000000000001E-3</v>
      </c>
      <c r="I20" s="692">
        <f t="shared" si="0"/>
        <v>1.0000017280881226</v>
      </c>
      <c r="J20" s="693">
        <f t="shared" si="1"/>
        <v>1.8590780694370938E-3</v>
      </c>
      <c r="K20" s="693">
        <f t="shared" si="2"/>
        <v>1.0000000000005302</v>
      </c>
      <c r="L20" s="694">
        <f t="shared" si="3"/>
        <v>1.029644424666536E-6</v>
      </c>
      <c r="M20" s="693">
        <f t="shared" si="4"/>
        <v>1.0000000000029572</v>
      </c>
      <c r="N20" s="694">
        <f t="shared" si="5"/>
        <v>-2.4319363227912997E-6</v>
      </c>
      <c r="O20" s="692">
        <f t="shared" si="6"/>
        <v>3.5901912681301797</v>
      </c>
      <c r="P20" s="695">
        <f t="shared" si="7"/>
        <v>1.2885261585073087</v>
      </c>
      <c r="Q20" s="704">
        <f t="shared" si="8"/>
        <v>1.000001032071806</v>
      </c>
      <c r="R20" s="705">
        <f t="shared" si="9"/>
        <v>1.43671216217129E-3</v>
      </c>
      <c r="S20" s="692">
        <f t="shared" si="10"/>
        <v>1.00000000004587</v>
      </c>
      <c r="T20" s="695">
        <f t="shared" si="11"/>
        <v>9.5780876710271039E-6</v>
      </c>
      <c r="U20" s="696">
        <f t="shared" si="27"/>
        <v>0.99959999981090097</v>
      </c>
      <c r="V20" s="697">
        <f t="shared" si="28"/>
        <v>-2.3945218199043176E-5</v>
      </c>
      <c r="W20" s="698">
        <f t="shared" si="12"/>
        <v>85.758324250023762</v>
      </c>
      <c r="X20" s="699">
        <f t="shared" si="13"/>
        <v>-73.853311632309058</v>
      </c>
      <c r="Y20" s="702">
        <f t="shared" si="14"/>
        <v>106.14668836769094</v>
      </c>
      <c r="AA20" s="174">
        <f t="shared" si="15"/>
        <v>1000000000</v>
      </c>
      <c r="AB20" s="174">
        <f t="shared" si="16"/>
        <v>3.63093025</v>
      </c>
      <c r="AD20" s="701">
        <f t="shared" si="17"/>
        <v>84.106106906189126</v>
      </c>
      <c r="AE20" s="702">
        <f t="shared" si="18"/>
        <v>-73.745341999671879</v>
      </c>
      <c r="AG20" s="701">
        <f t="shared" si="19"/>
        <v>27.047110404842694</v>
      </c>
      <c r="AH20" s="702">
        <f t="shared" si="20"/>
        <v>-0.10522571274939529</v>
      </c>
      <c r="AJ20" s="174">
        <f t="shared" si="21"/>
        <v>0</v>
      </c>
      <c r="AK20" s="174">
        <f t="shared" si="22"/>
        <v>0</v>
      </c>
      <c r="AM20" s="174" t="str">
        <f t="shared" si="29"/>
        <v>5.85074988457279E-10+0.0000342074559623287i</v>
      </c>
      <c r="AN20" s="174" t="str">
        <f t="shared" si="30"/>
        <v>0.000034207455969i</v>
      </c>
      <c r="AO20" s="174" t="str">
        <f t="shared" si="31"/>
        <v>0.999999999804975-0.0000171037270058169i</v>
      </c>
      <c r="AP20" s="174" t="str">
        <f t="shared" si="32"/>
        <v>0.166666666569154-5.70124266038812E-06i</v>
      </c>
      <c r="AQ20" s="174" t="str">
        <f t="shared" si="33"/>
        <v>0.833333333430846+5.70124266038812E-06i</v>
      </c>
      <c r="AR20" s="174" t="str">
        <f t="shared" si="34"/>
        <v>0.999599999836244-6.83875459406818E-06i</v>
      </c>
    </row>
    <row r="21" spans="1:44" x14ac:dyDescent="0.2">
      <c r="A21" s="337" t="s">
        <v>753</v>
      </c>
      <c r="B21" s="733">
        <f>Vout_eff/Iout_eff</f>
        <v>5</v>
      </c>
      <c r="C21" s="721" t="s">
        <v>45</v>
      </c>
      <c r="D21" s="721"/>
      <c r="E21" s="721"/>
      <c r="G21" s="703">
        <v>2.0893000000000002</v>
      </c>
      <c r="H21" s="691">
        <f t="shared" si="26"/>
        <v>2.0893000000000001E-3</v>
      </c>
      <c r="I21" s="692">
        <f t="shared" si="0"/>
        <v>1.0000020775405618</v>
      </c>
      <c r="J21" s="693">
        <f t="shared" si="1"/>
        <v>2.0383998454932633E-3</v>
      </c>
      <c r="K21" s="693">
        <f t="shared" si="2"/>
        <v>1.0000000000006373</v>
      </c>
      <c r="L21" s="694">
        <f t="shared" si="3"/>
        <v>1.1289614780664603E-6</v>
      </c>
      <c r="M21" s="693">
        <f t="shared" si="4"/>
        <v>1.0000000000035552</v>
      </c>
      <c r="N21" s="694">
        <f t="shared" si="5"/>
        <v>-2.6665151189744621E-6</v>
      </c>
      <c r="O21" s="692">
        <f t="shared" si="6"/>
        <v>3.9107230196012055</v>
      </c>
      <c r="P21" s="695">
        <f t="shared" si="7"/>
        <v>1.312217183181589</v>
      </c>
      <c r="Q21" s="704">
        <f t="shared" si="8"/>
        <v>1.0000012407765337</v>
      </c>
      <c r="R21" s="705">
        <f t="shared" si="9"/>
        <v>1.5752937826164816E-3</v>
      </c>
      <c r="S21" s="692">
        <f t="shared" si="10"/>
        <v>1.0000000000551457</v>
      </c>
      <c r="T21" s="695">
        <f t="shared" si="11"/>
        <v>1.050196723744591E-5</v>
      </c>
      <c r="U21" s="696">
        <f t="shared" si="27"/>
        <v>0.99959999977266123</v>
      </c>
      <c r="V21" s="697">
        <f t="shared" si="28"/>
        <v>-2.6254905308657155E-5</v>
      </c>
      <c r="W21" s="698">
        <f t="shared" si="12"/>
        <v>85.015533598384508</v>
      </c>
      <c r="X21" s="699">
        <f t="shared" si="13"/>
        <v>-75.21323461866308</v>
      </c>
      <c r="Y21" s="702">
        <f t="shared" si="14"/>
        <v>104.78676538133692</v>
      </c>
      <c r="AA21" s="174">
        <f t="shared" si="15"/>
        <v>1000000000</v>
      </c>
      <c r="AB21" s="174">
        <f t="shared" si="16"/>
        <v>4.3651744900000002</v>
      </c>
      <c r="AD21" s="701">
        <f t="shared" si="17"/>
        <v>83.363319290175554</v>
      </c>
      <c r="AE21" s="702">
        <f t="shared" si="18"/>
        <v>-75.09485051982081</v>
      </c>
      <c r="AG21" s="701">
        <f t="shared" si="19"/>
        <v>27.047107369881548</v>
      </c>
      <c r="AH21" s="702">
        <f t="shared" si="20"/>
        <v>-0.11537550830741614</v>
      </c>
      <c r="AJ21" s="174">
        <f t="shared" si="21"/>
        <v>0</v>
      </c>
      <c r="AK21" s="174">
        <f t="shared" si="22"/>
        <v>0</v>
      </c>
      <c r="AM21" s="174" t="str">
        <f t="shared" si="29"/>
        <v>7.03388014500206E-10+0.000037507025840606i</v>
      </c>
      <c r="AN21" s="174" t="str">
        <f t="shared" si="30"/>
        <v>0.0000375070258494i</v>
      </c>
      <c r="AO21" s="174" t="str">
        <f t="shared" si="31"/>
        <v>0.999999999765537-0.0000187535001395334i</v>
      </c>
      <c r="AP21" s="174" t="str">
        <f t="shared" si="32"/>
        <v>0.166666666549435-6.25117097343433E-06i</v>
      </c>
      <c r="AQ21" s="174" t="str">
        <f t="shared" si="33"/>
        <v>0.833333333450565+6.25117097343433E-06i</v>
      </c>
      <c r="AR21" s="174" t="str">
        <f t="shared" si="34"/>
        <v>0.99959999980313-7.49840460352228E-06i</v>
      </c>
    </row>
    <row r="22" spans="1:44" x14ac:dyDescent="0.2">
      <c r="A22" s="174" t="s">
        <v>752</v>
      </c>
      <c r="B22" s="733">
        <f>Rload_sec*(Npri_sec^2)</f>
        <v>45</v>
      </c>
      <c r="C22" s="721" t="s">
        <v>45</v>
      </c>
      <c r="D22" s="721"/>
      <c r="E22" s="721"/>
      <c r="G22" s="703">
        <v>2.2909000000000002</v>
      </c>
      <c r="H22" s="691">
        <f t="shared" si="26"/>
        <v>2.2909000000000002E-3</v>
      </c>
      <c r="I22" s="692">
        <f t="shared" si="0"/>
        <v>1.0000024978138902</v>
      </c>
      <c r="J22" s="693">
        <f t="shared" si="1"/>
        <v>2.2350877794746165E-3</v>
      </c>
      <c r="K22" s="693">
        <f t="shared" si="2"/>
        <v>1.0000000000007661</v>
      </c>
      <c r="L22" s="694">
        <f t="shared" si="3"/>
        <v>1.2378968315235876E-6</v>
      </c>
      <c r="M22" s="693">
        <f t="shared" si="4"/>
        <v>1.0000000000042744</v>
      </c>
      <c r="N22" s="694">
        <f t="shared" si="5"/>
        <v>-2.9238115570074507E-6</v>
      </c>
      <c r="O22" s="692">
        <f t="shared" si="6"/>
        <v>4.2644219270822346</v>
      </c>
      <c r="P22" s="695">
        <f t="shared" si="7"/>
        <v>1.3340938070388086</v>
      </c>
      <c r="Q22" s="704">
        <f t="shared" si="8"/>
        <v>1.0000014917779125</v>
      </c>
      <c r="R22" s="705">
        <f t="shared" si="9"/>
        <v>1.7272961866242858E-3</v>
      </c>
      <c r="S22" s="692">
        <f t="shared" si="10"/>
        <v>1.0000000000663012</v>
      </c>
      <c r="T22" s="695">
        <f t="shared" si="11"/>
        <v>1.1515319362507015E-5</v>
      </c>
      <c r="U22" s="696">
        <f t="shared" si="27"/>
        <v>0.99959999972667246</v>
      </c>
      <c r="V22" s="697">
        <f t="shared" si="28"/>
        <v>-2.8788304507345347E-5</v>
      </c>
      <c r="W22" s="698">
        <f t="shared" si="12"/>
        <v>84.263469927321552</v>
      </c>
      <c r="X22" s="699">
        <f t="shared" si="13"/>
        <v>-76.469444843731011</v>
      </c>
      <c r="Y22" s="702">
        <f t="shared" si="14"/>
        <v>103.53055515626899</v>
      </c>
      <c r="AA22" s="174">
        <f t="shared" si="15"/>
        <v>1000000000</v>
      </c>
      <c r="AB22" s="174">
        <f t="shared" si="16"/>
        <v>5.2482228100000006</v>
      </c>
      <c r="AD22" s="701">
        <f t="shared" si="17"/>
        <v>82.611259269944242</v>
      </c>
      <c r="AE22" s="702">
        <f t="shared" si="18"/>
        <v>-76.339637702831524</v>
      </c>
      <c r="AG22" s="701">
        <f t="shared" si="19"/>
        <v>27.04710371984913</v>
      </c>
      <c r="AH22" s="702">
        <f t="shared" si="20"/>
        <v>-0.12650824420049997</v>
      </c>
      <c r="AJ22" s="174">
        <f t="shared" si="21"/>
        <v>0</v>
      </c>
      <c r="AK22" s="174">
        <f t="shared" si="22"/>
        <v>0</v>
      </c>
      <c r="AM22" s="174" t="str">
        <f t="shared" si="29"/>
        <v>8.45679970495894E-10+0.0000411261405706068i</v>
      </c>
      <c r="AN22" s="174" t="str">
        <f t="shared" si="30"/>
        <v>0.0000411261405822i</v>
      </c>
      <c r="AO22" s="174" t="str">
        <f t="shared" si="31"/>
        <v>0.999999999718106-0.0000205630763919024i</v>
      </c>
      <c r="AP22" s="174" t="str">
        <f t="shared" si="32"/>
        <v>0.16666666652572-0.0000068543567617678i</v>
      </c>
      <c r="AQ22" s="174" t="str">
        <f t="shared" si="33"/>
        <v>0.83333333347428+0.0000068543567617678i</v>
      </c>
      <c r="AR22" s="174" t="str">
        <f t="shared" si="34"/>
        <v>0.999599999763304-8.22193801953821E-06i</v>
      </c>
    </row>
    <row r="23" spans="1:44" x14ac:dyDescent="0.2">
      <c r="B23" s="647"/>
      <c r="G23" s="703">
        <v>2.5118999999999998</v>
      </c>
      <c r="H23" s="691">
        <f t="shared" si="26"/>
        <v>2.5118999999999996E-3</v>
      </c>
      <c r="I23" s="692">
        <f t="shared" si="0"/>
        <v>1.0000030029796838</v>
      </c>
      <c r="J23" s="693">
        <f t="shared" si="1"/>
        <v>2.4507028253055512E-3</v>
      </c>
      <c r="K23" s="693">
        <f t="shared" si="2"/>
        <v>1.000000000000921</v>
      </c>
      <c r="L23" s="694">
        <f t="shared" si="3"/>
        <v>1.3573150513351862E-6</v>
      </c>
      <c r="M23" s="693">
        <f t="shared" si="4"/>
        <v>1.0000000000051388</v>
      </c>
      <c r="N23" s="694">
        <f t="shared" si="5"/>
        <v>-3.205867672112611E-6</v>
      </c>
      <c r="O23" s="692">
        <f t="shared" si="6"/>
        <v>4.654128056228882</v>
      </c>
      <c r="P23" s="695">
        <f t="shared" si="7"/>
        <v>1.354244757022478</v>
      </c>
      <c r="Q23" s="704">
        <f t="shared" si="8"/>
        <v>1.0000017934799859</v>
      </c>
      <c r="R23" s="705">
        <f t="shared" si="9"/>
        <v>1.8939257141299601E-3</v>
      </c>
      <c r="S23" s="692">
        <f t="shared" si="10"/>
        <v>1.0000000000797102</v>
      </c>
      <c r="T23" s="695">
        <f t="shared" si="11"/>
        <v>1.2626186523385041E-5</v>
      </c>
      <c r="U23" s="696">
        <f t="shared" si="27"/>
        <v>0.99959999967139201</v>
      </c>
      <c r="V23" s="697">
        <f t="shared" si="28"/>
        <v>-3.1565469086903788E-5</v>
      </c>
      <c r="W23" s="698">
        <f t="shared" si="12"/>
        <v>83.503904944202901</v>
      </c>
      <c r="X23" s="699">
        <f t="shared" si="13"/>
        <v>-77.62704798202887</v>
      </c>
      <c r="Y23" s="702">
        <f t="shared" si="14"/>
        <v>102.37295201797113</v>
      </c>
      <c r="AA23" s="174">
        <f t="shared" si="15"/>
        <v>1000000000</v>
      </c>
      <c r="AB23" s="174">
        <f t="shared" si="16"/>
        <v>6.309641609999999</v>
      </c>
      <c r="AD23" s="701">
        <f t="shared" si="17"/>
        <v>81.851698675099385</v>
      </c>
      <c r="AE23" s="702">
        <f t="shared" si="18"/>
        <v>-77.484718570715032</v>
      </c>
      <c r="AG23" s="701">
        <f t="shared" si="19"/>
        <v>27.047099332536074</v>
      </c>
      <c r="AH23" s="702">
        <f t="shared" si="20"/>
        <v>-0.13871227499564479</v>
      </c>
      <c r="AJ23" s="174">
        <f t="shared" si="21"/>
        <v>0</v>
      </c>
      <c r="AK23" s="174">
        <f t="shared" si="22"/>
        <v>0</v>
      </c>
      <c r="AM23" s="174" t="str">
        <f t="shared" si="29"/>
        <v>1.01671304708617E-09+0.0000450935232849176i</v>
      </c>
      <c r="AN23" s="174" t="str">
        <f t="shared" si="30"/>
        <v>0.0000450935233002i</v>
      </c>
      <c r="AO23" s="174" t="str">
        <f t="shared" si="31"/>
        <v>0.999999999661095-0.0000225467644281781i</v>
      </c>
      <c r="AP23" s="174" t="str">
        <f t="shared" si="32"/>
        <v>0.166666666497214-7.51558721415293E-06i</v>
      </c>
      <c r="AQ23" s="174" t="str">
        <f t="shared" si="33"/>
        <v>0.833333333502786+7.51558721415293E-06i</v>
      </c>
      <c r="AR23" s="174" t="str">
        <f t="shared" si="34"/>
        <v>0.999599999715433-9.01509717072114E-06i</v>
      </c>
    </row>
    <row r="24" spans="1:44" x14ac:dyDescent="0.2">
      <c r="D24" s="727"/>
      <c r="E24" s="193"/>
      <c r="G24" s="703">
        <v>2.7542</v>
      </c>
      <c r="H24" s="691">
        <f t="shared" si="26"/>
        <v>2.7542000000000001E-3</v>
      </c>
      <c r="I24" s="692">
        <f t="shared" si="0"/>
        <v>1.0000036102603214</v>
      </c>
      <c r="J24" s="693">
        <f t="shared" si="1"/>
        <v>2.6870986061594427E-3</v>
      </c>
      <c r="K24" s="693">
        <f t="shared" si="2"/>
        <v>1.0000000000011076</v>
      </c>
      <c r="L24" s="694">
        <f t="shared" si="3"/>
        <v>1.4882428099792609E-6</v>
      </c>
      <c r="M24" s="693">
        <f t="shared" si="4"/>
        <v>1.0000000000061779</v>
      </c>
      <c r="N24" s="694">
        <f t="shared" si="5"/>
        <v>-3.5151083811164605E-6</v>
      </c>
      <c r="O24" s="692">
        <f t="shared" si="6"/>
        <v>5.0832163780768091</v>
      </c>
      <c r="P24" s="695">
        <f t="shared" si="7"/>
        <v>1.3727789512250499</v>
      </c>
      <c r="Q24" s="704">
        <f t="shared" si="8"/>
        <v>1.0000021561685737</v>
      </c>
      <c r="R24" s="705">
        <f t="shared" si="9"/>
        <v>2.076614889370239E-3</v>
      </c>
      <c r="S24" s="692">
        <f t="shared" si="10"/>
        <v>1.0000000000958298</v>
      </c>
      <c r="T24" s="695">
        <f t="shared" si="11"/>
        <v>1.3844119161723547E-5</v>
      </c>
      <c r="U24" s="696">
        <f t="shared" si="27"/>
        <v>0.99959999960494061</v>
      </c>
      <c r="V24" s="697">
        <f t="shared" si="28"/>
        <v>-3.4610296297529158E-5</v>
      </c>
      <c r="W24" s="698">
        <f t="shared" si="12"/>
        <v>82.737897454071842</v>
      </c>
      <c r="X24" s="699">
        <f t="shared" si="13"/>
        <v>-78.692310704290847</v>
      </c>
      <c r="Y24" s="702">
        <f t="shared" si="14"/>
        <v>101.30768929570915</v>
      </c>
      <c r="AA24" s="174">
        <f t="shared" si="15"/>
        <v>1000000000</v>
      </c>
      <c r="AB24" s="174">
        <f t="shared" si="16"/>
        <v>7.5856176399999997</v>
      </c>
      <c r="AD24" s="701">
        <f t="shared" si="17"/>
        <v>81.085696460290237</v>
      </c>
      <c r="AE24" s="702">
        <f t="shared" si="18"/>
        <v>-78.536252140095698</v>
      </c>
      <c r="AG24" s="701">
        <f t="shared" si="19"/>
        <v>27.047094058368984</v>
      </c>
      <c r="AH24" s="702">
        <f t="shared" si="20"/>
        <v>-0.15209251637953417</v>
      </c>
      <c r="AJ24" s="174">
        <f t="shared" si="21"/>
        <v>0</v>
      </c>
      <c r="AK24" s="174">
        <f t="shared" si="22"/>
        <v>0</v>
      </c>
      <c r="AM24" s="174" t="str">
        <f t="shared" si="29"/>
        <v>1.22231902377479E-09+0.0000494432827034548i</v>
      </c>
      <c r="AN24" s="174" t="str">
        <f t="shared" si="30"/>
        <v>0.0000494432827236i</v>
      </c>
      <c r="AO24" s="174" t="str">
        <f t="shared" si="31"/>
        <v>0.999999999592559-0.0000247216397545416i</v>
      </c>
      <c r="AP24" s="174" t="str">
        <f t="shared" si="32"/>
        <v>0.166666666462947-8.24054711724247E-06i</v>
      </c>
      <c r="AQ24" s="174" t="str">
        <f t="shared" si="33"/>
        <v>0.833333333537053+8.24054711724247E-06i</v>
      </c>
      <c r="AR24" s="174" t="str">
        <f t="shared" si="34"/>
        <v>0.999599999657888-9.88470107227521E-06i</v>
      </c>
    </row>
    <row r="25" spans="1:44" x14ac:dyDescent="0.2">
      <c r="A25" s="337" t="s">
        <v>766</v>
      </c>
      <c r="B25" s="726">
        <v>43</v>
      </c>
      <c r="C25" s="174" t="s">
        <v>764</v>
      </c>
      <c r="D25" s="724">
        <f>Cout_sec*0.000001</f>
        <v>4.2999999999999995E-5</v>
      </c>
      <c r="E25" s="174" t="s">
        <v>13</v>
      </c>
      <c r="G25" s="703">
        <v>3.02</v>
      </c>
      <c r="H25" s="691">
        <f t="shared" si="26"/>
        <v>3.0200000000000001E-3</v>
      </c>
      <c r="I25" s="692">
        <f t="shared" si="0"/>
        <v>1.000004340715255</v>
      </c>
      <c r="J25" s="693">
        <f t="shared" si="1"/>
        <v>2.9464214068820006E-3</v>
      </c>
      <c r="K25" s="693">
        <f t="shared" si="2"/>
        <v>1.0000000000013314</v>
      </c>
      <c r="L25" s="694">
        <f t="shared" si="3"/>
        <v>1.631868886114551E-6</v>
      </c>
      <c r="M25" s="693">
        <f t="shared" si="4"/>
        <v>1.0000000000074278</v>
      </c>
      <c r="N25" s="694">
        <f t="shared" si="5"/>
        <v>-3.8543414824496635E-6</v>
      </c>
      <c r="O25" s="692">
        <f t="shared" si="6"/>
        <v>5.5556035048635852</v>
      </c>
      <c r="P25" s="695">
        <f t="shared" si="7"/>
        <v>1.3898114548882707</v>
      </c>
      <c r="Q25" s="704">
        <f t="shared" si="8"/>
        <v>1.0000025924211451</v>
      </c>
      <c r="R25" s="705">
        <f t="shared" si="9"/>
        <v>2.2770224173862983E-3</v>
      </c>
      <c r="S25" s="692">
        <f t="shared" si="10"/>
        <v>1.0000000001152189</v>
      </c>
      <c r="T25" s="695">
        <f t="shared" si="11"/>
        <v>1.5180175683633972E-5</v>
      </c>
      <c r="U25" s="696">
        <f t="shared" si="27"/>
        <v>0.99959999952501044</v>
      </c>
      <c r="V25" s="697">
        <f t="shared" si="28"/>
        <v>-3.7950431285647563E-5</v>
      </c>
      <c r="W25" s="698">
        <f t="shared" si="12"/>
        <v>81.966041968950407</v>
      </c>
      <c r="X25" s="699">
        <f t="shared" si="13"/>
        <v>-79.671856009823458</v>
      </c>
      <c r="Y25" s="702">
        <f t="shared" si="14"/>
        <v>100.32814399017654</v>
      </c>
      <c r="AA25" s="174">
        <f t="shared" si="15"/>
        <v>1000000000</v>
      </c>
      <c r="AB25" s="174">
        <f t="shared" si="16"/>
        <v>9.1204000000000001</v>
      </c>
      <c r="AD25" s="701">
        <f t="shared" si="17"/>
        <v>80.31384732047627</v>
      </c>
      <c r="AE25" s="702">
        <f t="shared" si="18"/>
        <v>-79.500736760503372</v>
      </c>
      <c r="AG25" s="701">
        <f t="shared" si="19"/>
        <v>27.047087714450612</v>
      </c>
      <c r="AH25" s="702">
        <f t="shared" si="20"/>
        <v>-0.16677045022838458</v>
      </c>
      <c r="AJ25" s="174">
        <f t="shared" si="21"/>
        <v>0</v>
      </c>
      <c r="AK25" s="174">
        <f t="shared" si="22"/>
        <v>0</v>
      </c>
      <c r="AM25" s="174" t="str">
        <f t="shared" si="29"/>
        <v>1.46962797487049E-09+0.0000542149131334414i</v>
      </c>
      <c r="AN25" s="174" t="str">
        <f t="shared" si="30"/>
        <v>0.00005421491316i</v>
      </c>
      <c r="AO25" s="174" t="str">
        <f t="shared" si="31"/>
        <v>0.999999999510124-0.0000271074486559316i</v>
      </c>
      <c r="AP25" s="174" t="str">
        <f t="shared" si="32"/>
        <v>0.166666666421729-9.03581885557357E-06i</v>
      </c>
      <c r="AQ25" s="174" t="str">
        <f t="shared" si="33"/>
        <v>0.833333333578271+9.03581885557357E-06i</v>
      </c>
      <c r="AR25" s="174" t="str">
        <f t="shared" si="34"/>
        <v>0.999599999588669-0.0000108386454259918i</v>
      </c>
    </row>
    <row r="26" spans="1:44" x14ac:dyDescent="0.2">
      <c r="A26" s="337" t="s">
        <v>761</v>
      </c>
      <c r="B26" s="726">
        <v>2</v>
      </c>
      <c r="C26" s="174" t="s">
        <v>763</v>
      </c>
      <c r="D26" s="193">
        <f>B26*0.001</f>
        <v>2E-3</v>
      </c>
      <c r="E26" s="721" t="s">
        <v>45</v>
      </c>
      <c r="G26" s="703">
        <v>3.3113000000000001</v>
      </c>
      <c r="H26" s="691">
        <f t="shared" si="26"/>
        <v>3.3113000000000001E-3</v>
      </c>
      <c r="I26" s="692">
        <f t="shared" si="0"/>
        <v>1.0000052184830761</v>
      </c>
      <c r="J26" s="693">
        <f t="shared" si="1"/>
        <v>3.2306223494517252E-3</v>
      </c>
      <c r="K26" s="693">
        <f t="shared" si="2"/>
        <v>1.0000000000016007</v>
      </c>
      <c r="L26" s="694">
        <f t="shared" si="3"/>
        <v>1.7892739876126303E-6</v>
      </c>
      <c r="M26" s="693">
        <f t="shared" si="4"/>
        <v>1.0000000000089302</v>
      </c>
      <c r="N26" s="694">
        <f t="shared" si="5"/>
        <v>-4.2261195201399973E-6</v>
      </c>
      <c r="O26" s="692">
        <f t="shared" si="6"/>
        <v>6.0748590017849127</v>
      </c>
      <c r="P26" s="695">
        <f t="shared" si="7"/>
        <v>1.4054308083695586</v>
      </c>
      <c r="Q26" s="704">
        <f t="shared" si="8"/>
        <v>1.0000031166541616</v>
      </c>
      <c r="R26" s="705">
        <f t="shared" si="9"/>
        <v>2.4966561905914015E-3</v>
      </c>
      <c r="S26" s="692">
        <f t="shared" si="10"/>
        <v>1.0000000001385181</v>
      </c>
      <c r="T26" s="695">
        <f t="shared" si="11"/>
        <v>1.6644409185574965E-5</v>
      </c>
      <c r="U26" s="696">
        <f t="shared" si="27"/>
        <v>0.99959999942895783</v>
      </c>
      <c r="V26" s="697">
        <f t="shared" si="28"/>
        <v>-4.1611015003353457E-5</v>
      </c>
      <c r="W26" s="698">
        <f t="shared" si="12"/>
        <v>81.189939714436562</v>
      </c>
      <c r="X26" s="699">
        <f t="shared" si="13"/>
        <v>-80.570784383413056</v>
      </c>
      <c r="Y26" s="702">
        <f t="shared" si="14"/>
        <v>99.429215616586944</v>
      </c>
      <c r="AA26" s="174">
        <f t="shared" si="15"/>
        <v>1000000000</v>
      </c>
      <c r="AB26" s="174">
        <f t="shared" si="16"/>
        <v>10.964707690000001</v>
      </c>
      <c r="AD26" s="701">
        <f t="shared" si="17"/>
        <v>79.537752690939655</v>
      </c>
      <c r="AE26" s="702">
        <f t="shared" si="18"/>
        <v>-80.383159600869149</v>
      </c>
      <c r="AG26" s="701">
        <f t="shared" si="19"/>
        <v>27.047080091142654</v>
      </c>
      <c r="AH26" s="702">
        <f t="shared" si="20"/>
        <v>-0.18285651145655749</v>
      </c>
      <c r="AJ26" s="174">
        <f t="shared" si="21"/>
        <v>0</v>
      </c>
      <c r="AK26" s="174">
        <f t="shared" si="22"/>
        <v>0</v>
      </c>
      <c r="AM26" s="174" t="str">
        <f t="shared" si="29"/>
        <v>1.76681302921367E-09+0.000059444318490391i</v>
      </c>
      <c r="AN26" s="174" t="str">
        <f t="shared" si="30"/>
        <v>0.0000594443185254i</v>
      </c>
      <c r="AO26" s="174" t="str">
        <f t="shared" si="31"/>
        <v>0.999999999411062-0.0000297221513012842i</v>
      </c>
      <c r="AP26" s="174" t="str">
        <f t="shared" si="32"/>
        <v>0.166666666372198-9.90738641506517E-06i</v>
      </c>
      <c r="AQ26" s="174" t="str">
        <f t="shared" si="33"/>
        <v>0.833333333627802+9.90738641506517E-06i</v>
      </c>
      <c r="AR26" s="174" t="str">
        <f t="shared" si="34"/>
        <v>0.99959999950549-0.0000118841081425204i</v>
      </c>
    </row>
    <row r="27" spans="1:44" x14ac:dyDescent="0.2">
      <c r="A27" s="174" t="s">
        <v>755</v>
      </c>
      <c r="B27" s="732">
        <f>Cout_sec/Npri_sec^2</f>
        <v>4.7777777777777777</v>
      </c>
      <c r="C27" s="174" t="s">
        <v>764</v>
      </c>
      <c r="D27" s="724">
        <f>Cout_pri*0.000001</f>
        <v>4.7777777777777774E-6</v>
      </c>
      <c r="E27" s="174" t="s">
        <v>13</v>
      </c>
      <c r="G27" s="703">
        <v>3.6307999999999998</v>
      </c>
      <c r="H27" s="691">
        <f t="shared" si="26"/>
        <v>3.6308E-3</v>
      </c>
      <c r="I27" s="692">
        <f t="shared" si="0"/>
        <v>1.0000062741030193</v>
      </c>
      <c r="J27" s="693">
        <f t="shared" si="1"/>
        <v>3.542335448814507E-3</v>
      </c>
      <c r="K27" s="693">
        <f t="shared" si="2"/>
        <v>1.0000000000019247</v>
      </c>
      <c r="L27" s="694">
        <f t="shared" si="3"/>
        <v>1.9619170701001219E-6</v>
      </c>
      <c r="M27" s="693">
        <f t="shared" si="4"/>
        <v>1.0000000000107363</v>
      </c>
      <c r="N27" s="694">
        <f t="shared" si="5"/>
        <v>-4.6338884286249576E-6</v>
      </c>
      <c r="O27" s="692">
        <f t="shared" si="6"/>
        <v>6.6458070436106498</v>
      </c>
      <c r="P27" s="695">
        <f t="shared" si="7"/>
        <v>1.419751834369589</v>
      </c>
      <c r="Q27" s="704">
        <f t="shared" si="8"/>
        <v>1.0000037471068044</v>
      </c>
      <c r="R27" s="705">
        <f t="shared" si="9"/>
        <v>2.7375518638701767E-3</v>
      </c>
      <c r="S27" s="692">
        <f t="shared" si="10"/>
        <v>1.0000000001665383</v>
      </c>
      <c r="T27" s="695">
        <f t="shared" si="11"/>
        <v>1.8250391347765737E-5</v>
      </c>
      <c r="U27" s="696">
        <f t="shared" si="27"/>
        <v>0.99959999931344434</v>
      </c>
      <c r="V27" s="697">
        <f t="shared" si="28"/>
        <v>-4.5625975924113933E-5</v>
      </c>
      <c r="W27" s="698">
        <f t="shared" si="12"/>
        <v>80.409705513733925</v>
      </c>
      <c r="X27" s="699">
        <f t="shared" si="13"/>
        <v>-81.395711800118136</v>
      </c>
      <c r="Y27" s="702">
        <f t="shared" si="14"/>
        <v>98.604288199881864</v>
      </c>
      <c r="AA27" s="174">
        <f t="shared" si="15"/>
        <v>1000000000</v>
      </c>
      <c r="AB27" s="174">
        <f t="shared" si="16"/>
        <v>13.182708639999998</v>
      </c>
      <c r="AD27" s="701">
        <f t="shared" si="17"/>
        <v>78.757527660167895</v>
      </c>
      <c r="AE27" s="702">
        <f t="shared" si="18"/>
        <v>-81.189983660507977</v>
      </c>
      <c r="AG27" s="701">
        <f t="shared" si="19"/>
        <v>27.047070923219255</v>
      </c>
      <c r="AH27" s="702">
        <f t="shared" si="20"/>
        <v>-0.20049978789096198</v>
      </c>
      <c r="AJ27" s="174">
        <f t="shared" si="21"/>
        <v>0</v>
      </c>
      <c r="AK27" s="174">
        <f t="shared" si="22"/>
        <v>0</v>
      </c>
      <c r="AM27" s="174" t="str">
        <f t="shared" si="29"/>
        <v>2.12421402689955E-09+0.0000651799690602479i</v>
      </c>
      <c r="AN27" s="174" t="str">
        <f t="shared" si="30"/>
        <v>0.0000651799691064i</v>
      </c>
      <c r="AO27" s="174" t="str">
        <f t="shared" si="31"/>
        <v>0.999999999291928-0.000032589982106803i</v>
      </c>
      <c r="AP27" s="174" t="str">
        <f t="shared" si="32"/>
        <v>0.166666666312631-0.000010863328176708i</v>
      </c>
      <c r="AQ27" s="174" t="str">
        <f t="shared" si="33"/>
        <v>0.833333333687369+0.000010863328176708i</v>
      </c>
      <c r="AR27" s="174" t="str">
        <f t="shared" si="34"/>
        <v>0.999599999405458-0.0000130307794012383i</v>
      </c>
    </row>
    <row r="28" spans="1:44" x14ac:dyDescent="0.2">
      <c r="B28" s="647"/>
      <c r="D28" s="193"/>
      <c r="G28" s="703">
        <v>3.9811000000000001</v>
      </c>
      <c r="H28" s="691">
        <f t="shared" si="26"/>
        <v>3.9811000000000004E-3</v>
      </c>
      <c r="I28" s="692">
        <f t="shared" si="0"/>
        <v>1.0000075431525286</v>
      </c>
      <c r="J28" s="693">
        <f t="shared" si="1"/>
        <v>3.8840970927211979E-3</v>
      </c>
      <c r="K28" s="693">
        <f t="shared" si="2"/>
        <v>1.0000000000023137</v>
      </c>
      <c r="L28" s="694">
        <f t="shared" si="3"/>
        <v>2.1512030538100614E-6</v>
      </c>
      <c r="M28" s="693">
        <f t="shared" si="4"/>
        <v>1.0000000000129081</v>
      </c>
      <c r="N28" s="694">
        <f t="shared" si="5"/>
        <v>-5.0809665151404956E-6</v>
      </c>
      <c r="O28" s="692">
        <f t="shared" si="6"/>
        <v>7.2731032856190643</v>
      </c>
      <c r="P28" s="695">
        <f t="shared" si="7"/>
        <v>1.4328665071659983</v>
      </c>
      <c r="Q28" s="704">
        <f t="shared" si="8"/>
        <v>1.0000045050273005</v>
      </c>
      <c r="R28" s="705">
        <f t="shared" si="9"/>
        <v>3.0016696646717632E-3</v>
      </c>
      <c r="S28" s="692">
        <f t="shared" si="10"/>
        <v>1.0000000002002238</v>
      </c>
      <c r="T28" s="695">
        <f t="shared" si="11"/>
        <v>2.0011191195592858E-5</v>
      </c>
      <c r="U28" s="696">
        <f t="shared" si="27"/>
        <v>0.99959999917457765</v>
      </c>
      <c r="V28" s="697">
        <f t="shared" si="28"/>
        <v>-5.0027976523267685E-5</v>
      </c>
      <c r="W28" s="698">
        <f t="shared" si="12"/>
        <v>79.626260525483872</v>
      </c>
      <c r="X28" s="699">
        <f t="shared" si="13"/>
        <v>-82.151943739281734</v>
      </c>
      <c r="Y28" s="702">
        <f t="shared" si="14"/>
        <v>97.848056260718266</v>
      </c>
      <c r="AA28" s="174">
        <f t="shared" si="15"/>
        <v>1000000000</v>
      </c>
      <c r="AB28" s="174">
        <f t="shared" si="16"/>
        <v>15.849157210000001</v>
      </c>
      <c r="AD28" s="701">
        <f t="shared" si="17"/>
        <v>77.974093695850087</v>
      </c>
      <c r="AE28" s="702">
        <f t="shared" si="18"/>
        <v>-81.926367113398342</v>
      </c>
      <c r="AG28" s="701">
        <f t="shared" si="19"/>
        <v>27.047059901700333</v>
      </c>
      <c r="AH28" s="702">
        <f t="shared" si="20"/>
        <v>-0.21984384205210908</v>
      </c>
      <c r="AJ28" s="174">
        <f t="shared" si="21"/>
        <v>0</v>
      </c>
      <c r="AK28" s="174">
        <f t="shared" si="22"/>
        <v>0</v>
      </c>
      <c r="AM28" s="174" t="str">
        <f t="shared" si="29"/>
        <v>2.55387599956691E-09+0.0000714685399329594i</v>
      </c>
      <c r="AN28" s="174" t="str">
        <f t="shared" si="30"/>
        <v>0.0000714685399938i</v>
      </c>
      <c r="AO28" s="174" t="str">
        <f t="shared" si="31"/>
        <v>0.999999999148708-0.00003573426852974i</v>
      </c>
      <c r="AP28" s="174" t="str">
        <f t="shared" si="32"/>
        <v>0.166666666241021-0.0000119114233221599i</v>
      </c>
      <c r="AQ28" s="174" t="str">
        <f t="shared" si="33"/>
        <v>0.833333333758979+0.0000119114233221599i</v>
      </c>
      <c r="AR28" s="174" t="str">
        <f t="shared" si="34"/>
        <v>0.999599999285201-0.0000142879904858822i</v>
      </c>
    </row>
    <row r="29" spans="1:44" x14ac:dyDescent="0.2">
      <c r="B29" s="647"/>
      <c r="D29" s="193"/>
      <c r="G29" s="703">
        <v>4.3651999999999997</v>
      </c>
      <c r="H29" s="691">
        <f t="shared" si="26"/>
        <v>4.3651999999999996E-3</v>
      </c>
      <c r="I29" s="692">
        <f t="shared" si="0"/>
        <v>1.000009068901357</v>
      </c>
      <c r="J29" s="693">
        <f t="shared" si="1"/>
        <v>4.2588338357123804E-3</v>
      </c>
      <c r="K29" s="693">
        <f t="shared" si="2"/>
        <v>1.0000000000027818</v>
      </c>
      <c r="L29" s="694">
        <f t="shared" si="3"/>
        <v>2.3587530005497849E-6</v>
      </c>
      <c r="M29" s="693">
        <f t="shared" si="4"/>
        <v>1.0000000000155191</v>
      </c>
      <c r="N29" s="694">
        <f t="shared" si="5"/>
        <v>-5.5711825957279856E-6</v>
      </c>
      <c r="O29" s="692">
        <f t="shared" si="6"/>
        <v>7.9621267219584979</v>
      </c>
      <c r="P29" s="695">
        <f t="shared" si="7"/>
        <v>1.4448691877879409</v>
      </c>
      <c r="Q29" s="704">
        <f t="shared" si="8"/>
        <v>1.0000054162580696</v>
      </c>
      <c r="R29" s="705">
        <f t="shared" si="9"/>
        <v>3.2912713723392594E-3</v>
      </c>
      <c r="S29" s="692">
        <f t="shared" si="10"/>
        <v>1.0000000002407232</v>
      </c>
      <c r="T29" s="695">
        <f t="shared" si="11"/>
        <v>2.194188837372672E-5</v>
      </c>
      <c r="U29" s="696">
        <f t="shared" si="27"/>
        <v>0.99959999900761798</v>
      </c>
      <c r="V29" s="697">
        <f t="shared" si="28"/>
        <v>-5.4854715939761435E-5</v>
      </c>
      <c r="W29" s="698">
        <f t="shared" si="12"/>
        <v>78.840068579964381</v>
      </c>
      <c r="X29" s="699">
        <f t="shared" si="13"/>
        <v>-82.844927928940777</v>
      </c>
      <c r="Y29" s="702">
        <f t="shared" si="14"/>
        <v>97.155072071059223</v>
      </c>
      <c r="AA29" s="174">
        <f t="shared" si="15"/>
        <v>1000000000</v>
      </c>
      <c r="AB29" s="174">
        <f t="shared" si="16"/>
        <v>19.054971039999998</v>
      </c>
      <c r="AD29" s="701">
        <f t="shared" si="17"/>
        <v>77.187915004130488</v>
      </c>
      <c r="AE29" s="702">
        <f t="shared" si="18"/>
        <v>-82.597587721856797</v>
      </c>
      <c r="AG29" s="701">
        <f t="shared" si="19"/>
        <v>27.047046650801988</v>
      </c>
      <c r="AH29" s="702">
        <f t="shared" si="20"/>
        <v>-0.24105431965732518</v>
      </c>
      <c r="AJ29" s="174">
        <f t="shared" si="21"/>
        <v>0</v>
      </c>
      <c r="AK29" s="174">
        <f t="shared" si="22"/>
        <v>0</v>
      </c>
      <c r="AM29" s="174" t="str">
        <f t="shared" si="29"/>
        <v>3.07044900615949E-09+0.0000783638869813959i</v>
      </c>
      <c r="AN29" s="174" t="str">
        <f t="shared" si="30"/>
        <v>0.0000783638870616i</v>
      </c>
      <c r="AO29" s="174" t="str">
        <f t="shared" si="31"/>
        <v>0.999999998976517-0.0000391819385343389i</v>
      </c>
      <c r="AP29" s="174" t="str">
        <f t="shared" si="32"/>
        <v>0.166666666154925-0.0000130606478302327i</v>
      </c>
      <c r="AQ29" s="174" t="str">
        <f t="shared" si="33"/>
        <v>0.833333333845075+0.0000130606478302327i</v>
      </c>
      <c r="AR29" s="174" t="str">
        <f t="shared" si="34"/>
        <v>0.999599999140618-0.0000156665082622312i</v>
      </c>
    </row>
    <row r="30" spans="1:44" x14ac:dyDescent="0.2">
      <c r="A30" s="174" t="s">
        <v>18</v>
      </c>
      <c r="B30" s="729">
        <v>1.21</v>
      </c>
      <c r="C30" s="174" t="s">
        <v>0</v>
      </c>
      <c r="D30" s="193"/>
      <c r="G30" s="703">
        <v>4.7862999999999998</v>
      </c>
      <c r="H30" s="691">
        <f t="shared" si="26"/>
        <v>4.7862999999999994E-3</v>
      </c>
      <c r="I30" s="692">
        <f t="shared" si="0"/>
        <v>1.0000109029951578</v>
      </c>
      <c r="J30" s="693">
        <f t="shared" si="1"/>
        <v>4.6696672463774746E-3</v>
      </c>
      <c r="K30" s="693">
        <f t="shared" si="2"/>
        <v>1.0000000000033444</v>
      </c>
      <c r="L30" s="694">
        <f t="shared" si="3"/>
        <v>2.5862960429137727E-6</v>
      </c>
      <c r="M30" s="693">
        <f t="shared" si="4"/>
        <v>1.0000000000186575</v>
      </c>
      <c r="N30" s="694">
        <f t="shared" si="5"/>
        <v>-6.1086207408313634E-6</v>
      </c>
      <c r="O30" s="692">
        <f t="shared" si="6"/>
        <v>8.7186227914088796</v>
      </c>
      <c r="P30" s="695">
        <f t="shared" si="7"/>
        <v>1.4558463313782672</v>
      </c>
      <c r="Q30" s="704">
        <f t="shared" si="8"/>
        <v>1.0000065116440231</v>
      </c>
      <c r="R30" s="705">
        <f t="shared" si="9"/>
        <v>3.6087695101552596E-3</v>
      </c>
      <c r="S30" s="692">
        <f t="shared" si="10"/>
        <v>1.0000000002894074</v>
      </c>
      <c r="T30" s="695">
        <f t="shared" si="11"/>
        <v>2.4058567836470182E-5</v>
      </c>
      <c r="U30" s="696">
        <f t="shared" si="27"/>
        <v>0.9995999988069183</v>
      </c>
      <c r="V30" s="697">
        <f t="shared" si="28"/>
        <v>-6.0146416713929446E-5</v>
      </c>
      <c r="W30" s="698">
        <f t="shared" si="12"/>
        <v>78.051686099733985</v>
      </c>
      <c r="X30" s="699">
        <f t="shared" si="13"/>
        <v>-83.479661870316875</v>
      </c>
      <c r="Y30" s="702">
        <f t="shared" si="14"/>
        <v>96.520338129683125</v>
      </c>
      <c r="AA30" s="174">
        <f t="shared" si="15"/>
        <v>1000000000</v>
      </c>
      <c r="AB30" s="174">
        <f t="shared" si="16"/>
        <v>22.908667689999998</v>
      </c>
      <c r="AD30" s="701">
        <f t="shared" si="17"/>
        <v>76.399548456189152</v>
      </c>
      <c r="AE30" s="702">
        <f t="shared" si="18"/>
        <v>-83.20846169488928</v>
      </c>
      <c r="AG30" s="701">
        <f t="shared" si="19"/>
        <v>27.047030722000827</v>
      </c>
      <c r="AH30" s="702">
        <f t="shared" si="20"/>
        <v>-0.26430790375864394</v>
      </c>
      <c r="AJ30" s="174">
        <f t="shared" si="21"/>
        <v>0</v>
      </c>
      <c r="AK30" s="174">
        <f t="shared" si="22"/>
        <v>0</v>
      </c>
      <c r="AM30" s="174" t="str">
        <f t="shared" si="29"/>
        <v>3.69141994749356E-09+0.0000859234564696735i</v>
      </c>
      <c r="AN30" s="174" t="str">
        <f t="shared" si="30"/>
        <v>0.0000859234565754i</v>
      </c>
      <c r="AO30" s="174" t="str">
        <f t="shared" si="31"/>
        <v>0.999999998769527-0.000042961725407942i</v>
      </c>
      <c r="AP30" s="174" t="str">
        <f t="shared" si="32"/>
        <v>0.16666666605143-0.0000143205760782789i</v>
      </c>
      <c r="AQ30" s="174" t="str">
        <f t="shared" si="33"/>
        <v>0.83333333394857+0.0000143205760782789i</v>
      </c>
      <c r="AR30" s="174" t="str">
        <f t="shared" si="34"/>
        <v>0.999599998966816-0.00001717781738698i</v>
      </c>
    </row>
    <row r="31" spans="1:44" x14ac:dyDescent="0.2">
      <c r="A31" s="174" t="s">
        <v>760</v>
      </c>
      <c r="B31" s="729">
        <v>12</v>
      </c>
      <c r="C31" s="174" t="s">
        <v>768</v>
      </c>
      <c r="D31" s="723">
        <f>B31*0.000001</f>
        <v>1.2E-5</v>
      </c>
      <c r="E31" s="174" t="s">
        <v>769</v>
      </c>
      <c r="G31" s="703">
        <v>5.2481</v>
      </c>
      <c r="H31" s="691">
        <f t="shared" si="26"/>
        <v>5.2481000000000003E-3</v>
      </c>
      <c r="I31" s="692">
        <f t="shared" si="0"/>
        <v>1.0000131084007839</v>
      </c>
      <c r="J31" s="693">
        <f t="shared" si="1"/>
        <v>5.1202065571141929E-3</v>
      </c>
      <c r="K31" s="693">
        <f t="shared" si="2"/>
        <v>1.000000000004021</v>
      </c>
      <c r="L31" s="694">
        <f t="shared" si="3"/>
        <v>2.8358314904643775E-6</v>
      </c>
      <c r="M31" s="693">
        <f t="shared" si="4"/>
        <v>1.0000000000224316</v>
      </c>
      <c r="N31" s="694">
        <f t="shared" si="5"/>
        <v>-6.6980031569012423E-6</v>
      </c>
      <c r="O31" s="692">
        <f t="shared" si="6"/>
        <v>9.5492425311132241</v>
      </c>
      <c r="P31" s="695">
        <f t="shared" si="7"/>
        <v>1.4658836281353009</v>
      </c>
      <c r="Q31" s="704">
        <f t="shared" si="8"/>
        <v>1.0000078287916569</v>
      </c>
      <c r="R31" s="705">
        <f t="shared" si="9"/>
        <v>3.9569535206471834E-3</v>
      </c>
      <c r="S31" s="692">
        <f t="shared" si="10"/>
        <v>1.0000000003479477</v>
      </c>
      <c r="T31" s="695">
        <f t="shared" si="11"/>
        <v>2.6379827812224801E-5</v>
      </c>
      <c r="U31" s="696">
        <f t="shared" si="27"/>
        <v>0.99959999856558601</v>
      </c>
      <c r="V31" s="697">
        <f t="shared" si="28"/>
        <v>-6.5949570715437787E-5</v>
      </c>
      <c r="W31" s="698">
        <f t="shared" si="12"/>
        <v>77.261257677661888</v>
      </c>
      <c r="X31" s="699">
        <f t="shared" si="13"/>
        <v>-84.06110610602336</v>
      </c>
      <c r="Y31" s="702">
        <f t="shared" si="14"/>
        <v>95.93889389397664</v>
      </c>
      <c r="AA31" s="174">
        <f t="shared" si="15"/>
        <v>1000000000</v>
      </c>
      <c r="AB31" s="174">
        <f t="shared" si="16"/>
        <v>27.542553609999999</v>
      </c>
      <c r="AD31" s="701">
        <f t="shared" si="17"/>
        <v>75.60913919185532</v>
      </c>
      <c r="AE31" s="702">
        <f t="shared" si="18"/>
        <v>-83.763739961526781</v>
      </c>
      <c r="AG31" s="701">
        <f t="shared" si="19"/>
        <v>27.047011568456615</v>
      </c>
      <c r="AH31" s="702">
        <f t="shared" si="20"/>
        <v>-0.28980888036255575</v>
      </c>
      <c r="AJ31" s="174">
        <f t="shared" si="21"/>
        <v>0</v>
      </c>
      <c r="AK31" s="174">
        <f t="shared" si="22"/>
        <v>0</v>
      </c>
      <c r="AM31" s="174" t="str">
        <f t="shared" si="29"/>
        <v>4.43810799222177E-09+0.0000942136706404232i</v>
      </c>
      <c r="AN31" s="174" t="str">
        <f t="shared" si="30"/>
        <v>0.0000942136707798i</v>
      </c>
      <c r="AO31" s="174" t="str">
        <f t="shared" si="31"/>
        <v>0.999999998520631-0.0000471068365714642i</v>
      </c>
      <c r="AP31" s="174" t="str">
        <f t="shared" si="32"/>
        <v>0.166666665926982-0.0000157022784400705i</v>
      </c>
      <c r="AQ31" s="174" t="str">
        <f t="shared" si="33"/>
        <v>0.833333334073018+0.0000157022784400705i</v>
      </c>
      <c r="AR31" s="174" t="str">
        <f t="shared" si="34"/>
        <v>0.999599998757827-0.0000188351969943089i</v>
      </c>
    </row>
    <row r="32" spans="1:44" x14ac:dyDescent="0.2">
      <c r="A32" s="174" t="s">
        <v>756</v>
      </c>
      <c r="B32" s="729">
        <v>4800</v>
      </c>
      <c r="C32" s="721" t="s">
        <v>762</v>
      </c>
      <c r="D32" s="723">
        <f>B32*1000000</f>
        <v>4800000000</v>
      </c>
      <c r="E32" s="721" t="s">
        <v>45</v>
      </c>
      <c r="G32" s="703">
        <v>5.7544000000000004</v>
      </c>
      <c r="H32" s="691">
        <f t="shared" si="26"/>
        <v>5.7544000000000007E-3</v>
      </c>
      <c r="I32" s="692">
        <f t="shared" si="0"/>
        <v>1.0000157595940646</v>
      </c>
      <c r="J32" s="693">
        <f t="shared" si="1"/>
        <v>5.6141583690955104E-3</v>
      </c>
      <c r="K32" s="693">
        <f t="shared" si="2"/>
        <v>1.0000000000048344</v>
      </c>
      <c r="L32" s="694">
        <f t="shared" si="3"/>
        <v>3.1094126881574983E-6</v>
      </c>
      <c r="M32" s="693">
        <f t="shared" si="4"/>
        <v>1.0000000000269686</v>
      </c>
      <c r="N32" s="694">
        <f t="shared" si="5"/>
        <v>-7.3441796775892111E-6</v>
      </c>
      <c r="O32" s="692">
        <f t="shared" si="6"/>
        <v>10.460823990401355</v>
      </c>
      <c r="P32" s="695">
        <f t="shared" si="7"/>
        <v>1.4750553643012305</v>
      </c>
      <c r="Q32" s="704">
        <f t="shared" si="8"/>
        <v>1.0000094121812746</v>
      </c>
      <c r="R32" s="705">
        <f t="shared" si="9"/>
        <v>4.3386881545006721E-3</v>
      </c>
      <c r="S32" s="692">
        <f t="shared" si="10"/>
        <v>1.0000000004183212</v>
      </c>
      <c r="T32" s="695">
        <f t="shared" si="11"/>
        <v>2.8924769184189442E-5</v>
      </c>
      <c r="U32" s="696">
        <f t="shared" si="27"/>
        <v>0.99959999827547041</v>
      </c>
      <c r="V32" s="697">
        <f t="shared" si="28"/>
        <v>-7.2311924794366011E-5</v>
      </c>
      <c r="W32" s="698">
        <f t="shared" si="12"/>
        <v>76.46930897543406</v>
      </c>
      <c r="X32" s="699">
        <f t="shared" si="13"/>
        <v>-84.593569149018336</v>
      </c>
      <c r="Y32" s="702">
        <f t="shared" si="14"/>
        <v>95.406430850981664</v>
      </c>
      <c r="AA32" s="174">
        <f t="shared" si="15"/>
        <v>1000000000</v>
      </c>
      <c r="AB32" s="174">
        <f t="shared" si="16"/>
        <v>33.113119360000006</v>
      </c>
      <c r="AD32" s="701">
        <f t="shared" si="17"/>
        <v>74.817213519741813</v>
      </c>
      <c r="AE32" s="702">
        <f t="shared" si="18"/>
        <v>-84.267515766203644</v>
      </c>
      <c r="AG32" s="701">
        <f t="shared" si="19"/>
        <v>27.046988543384142</v>
      </c>
      <c r="AH32" s="702">
        <f t="shared" si="20"/>
        <v>-0.31776704660685512</v>
      </c>
      <c r="AJ32" s="174">
        <f t="shared" si="21"/>
        <v>0</v>
      </c>
      <c r="AK32" s="174">
        <f t="shared" si="22"/>
        <v>0</v>
      </c>
      <c r="AM32" s="174" t="str">
        <f t="shared" si="29"/>
        <v>5.33572896976864E-09+0.000103302746931468i</v>
      </c>
      <c r="AN32" s="174" t="str">
        <f t="shared" si="30"/>
        <v>0.0001033027471152i</v>
      </c>
      <c r="AO32" s="174" t="str">
        <f t="shared" si="31"/>
        <v>0.999999998221422-0.0000516513753871269i</v>
      </c>
      <c r="AP32" s="174" t="str">
        <f t="shared" si="32"/>
        <v>0.166666665777379-0.000017217124488578i</v>
      </c>
      <c r="AQ32" s="174" t="str">
        <f t="shared" si="33"/>
        <v>0.833333334222621+0.000017217124488578i</v>
      </c>
      <c r="AR32" s="174" t="str">
        <f t="shared" si="34"/>
        <v>0.999599998506594-0.0000206522851136455i</v>
      </c>
    </row>
    <row r="33" spans="1:44" x14ac:dyDescent="0.2">
      <c r="B33" s="647"/>
      <c r="D33" s="193"/>
      <c r="G33" s="703">
        <v>6.3095999999999997</v>
      </c>
      <c r="H33" s="691">
        <f t="shared" si="26"/>
        <v>6.3095999999999994E-3</v>
      </c>
      <c r="I33" s="692">
        <f t="shared" si="0"/>
        <v>1.0000189473246091</v>
      </c>
      <c r="J33" s="693">
        <f t="shared" si="1"/>
        <v>6.1558143971855621E-3</v>
      </c>
      <c r="K33" s="693">
        <f t="shared" si="2"/>
        <v>1.000000000005812</v>
      </c>
      <c r="L33" s="694">
        <f t="shared" si="3"/>
        <v>3.4094171933104688E-6</v>
      </c>
      <c r="M33" s="693">
        <f t="shared" si="4"/>
        <v>1.0000000000324234</v>
      </c>
      <c r="N33" s="694">
        <f t="shared" si="5"/>
        <v>-8.0527658997546863E-6</v>
      </c>
      <c r="O33" s="692">
        <f t="shared" si="6"/>
        <v>11.461291602325428</v>
      </c>
      <c r="P33" s="695">
        <f t="shared" si="7"/>
        <v>1.4834350443858584</v>
      </c>
      <c r="Q33" s="704">
        <f t="shared" si="8"/>
        <v>1.0000113160128137</v>
      </c>
      <c r="R33" s="705">
        <f t="shared" si="9"/>
        <v>4.7572904272395163E-3</v>
      </c>
      <c r="S33" s="692">
        <f t="shared" si="10"/>
        <v>1.0000000005029368</v>
      </c>
      <c r="T33" s="695">
        <f t="shared" si="11"/>
        <v>3.1715508764470071E-5</v>
      </c>
      <c r="U33" s="696">
        <f t="shared" si="27"/>
        <v>0.99959999792664056</v>
      </c>
      <c r="V33" s="697">
        <f t="shared" si="28"/>
        <v>-7.9288775636818815E-5</v>
      </c>
      <c r="W33" s="698">
        <f t="shared" si="12"/>
        <v>75.675944475149763</v>
      </c>
      <c r="X33" s="699">
        <f t="shared" si="13"/>
        <v>-85.08132296464477</v>
      </c>
      <c r="Y33" s="702">
        <f t="shared" si="14"/>
        <v>94.91867703535523</v>
      </c>
      <c r="AA33" s="174">
        <f t="shared" si="15"/>
        <v>1000000000</v>
      </c>
      <c r="AB33" s="174">
        <f t="shared" si="16"/>
        <v>39.811052159999996</v>
      </c>
      <c r="AD33" s="701">
        <f t="shared" si="17"/>
        <v>74.023876710227967</v>
      </c>
      <c r="AE33" s="702">
        <f t="shared" si="18"/>
        <v>-84.723811823321199</v>
      </c>
      <c r="AG33" s="701">
        <f t="shared" si="19"/>
        <v>27.046960858675895</v>
      </c>
      <c r="AH33" s="702">
        <f t="shared" si="20"/>
        <v>-0.34842531689967304</v>
      </c>
      <c r="AJ33" s="174">
        <f t="shared" si="21"/>
        <v>0</v>
      </c>
      <c r="AK33" s="174">
        <f t="shared" si="22"/>
        <v>0</v>
      </c>
      <c r="AM33" s="174" t="str">
        <f t="shared" si="29"/>
        <v>6.41500996767519E-09+0.000113269673954591i</v>
      </c>
      <c r="AN33" s="174" t="str">
        <f t="shared" si="30"/>
        <v>0.0001132696741968i</v>
      </c>
      <c r="AO33" s="174" t="str">
        <f t="shared" si="31"/>
        <v>0.999999997861661-0.0000566348408182887i</v>
      </c>
      <c r="AP33" s="174" t="str">
        <f t="shared" si="32"/>
        <v>0.166666665597498-0.0000188782789924318i</v>
      </c>
      <c r="AQ33" s="174" t="str">
        <f t="shared" si="33"/>
        <v>0.833333334402502+0.0000188782789924318i</v>
      </c>
      <c r="AR33" s="174" t="str">
        <f t="shared" si="34"/>
        <v>0.999599998204515-0.0000226448731472736i</v>
      </c>
    </row>
    <row r="34" spans="1:44" x14ac:dyDescent="0.2">
      <c r="A34" s="174" t="s">
        <v>767</v>
      </c>
      <c r="B34" s="730">
        <f>0.8/1.2</f>
        <v>0.66666666666666674</v>
      </c>
      <c r="C34" s="721" t="s">
        <v>45</v>
      </c>
      <c r="D34" s="193" t="s">
        <v>788</v>
      </c>
      <c r="E34" s="721"/>
      <c r="G34" s="703">
        <v>6.9183000000000003</v>
      </c>
      <c r="H34" s="691">
        <f t="shared" si="26"/>
        <v>6.9183000000000005E-3</v>
      </c>
      <c r="I34" s="692">
        <f t="shared" si="0"/>
        <v>1.0000227793951799</v>
      </c>
      <c r="J34" s="693">
        <f t="shared" si="1"/>
        <v>6.7496611427492192E-3</v>
      </c>
      <c r="K34" s="693">
        <f t="shared" si="2"/>
        <v>1.0000000000069875</v>
      </c>
      <c r="L34" s="694">
        <f t="shared" si="3"/>
        <v>3.7383306340277249E-6</v>
      </c>
      <c r="M34" s="693">
        <f t="shared" si="4"/>
        <v>1.0000000000389813</v>
      </c>
      <c r="N34" s="694">
        <f t="shared" si="5"/>
        <v>-8.8296326746591355E-6</v>
      </c>
      <c r="O34" s="692">
        <f t="shared" si="6"/>
        <v>12.558936320822658</v>
      </c>
      <c r="P34" s="695">
        <f t="shared" si="7"/>
        <v>1.4910873705992786</v>
      </c>
      <c r="Q34" s="704">
        <f t="shared" si="8"/>
        <v>1.0000136046714765</v>
      </c>
      <c r="R34" s="705">
        <f t="shared" si="9"/>
        <v>5.2162279932947923E-3</v>
      </c>
      <c r="S34" s="692">
        <f t="shared" si="10"/>
        <v>1.0000000006046561</v>
      </c>
      <c r="T34" s="695">
        <f t="shared" si="11"/>
        <v>3.4775168674773989E-5</v>
      </c>
      <c r="U34" s="696">
        <f t="shared" si="27"/>
        <v>0.99959999750730311</v>
      </c>
      <c r="V34" s="697">
        <f t="shared" si="28"/>
        <v>-8.6937919702997392E-5</v>
      </c>
      <c r="W34" s="698">
        <f t="shared" si="12"/>
        <v>74.8815451404745</v>
      </c>
      <c r="X34" s="699">
        <f t="shared" si="13"/>
        <v>-85.528137922351959</v>
      </c>
      <c r="Y34" s="702">
        <f t="shared" si="14"/>
        <v>94.471862077648041</v>
      </c>
      <c r="AA34" s="174">
        <f t="shared" si="15"/>
        <v>1000000000</v>
      </c>
      <c r="AB34" s="174">
        <f t="shared" si="16"/>
        <v>47.862874890000008</v>
      </c>
      <c r="AD34" s="701">
        <f t="shared" si="17"/>
        <v>73.229510663376971</v>
      </c>
      <c r="AE34" s="702">
        <f t="shared" si="18"/>
        <v>-85.136137939283287</v>
      </c>
      <c r="AG34" s="701">
        <f t="shared" si="19"/>
        <v>27.046927578139201</v>
      </c>
      <c r="AH34" s="702">
        <f t="shared" si="20"/>
        <v>-0.3820376313000457</v>
      </c>
      <c r="AJ34" s="174">
        <f t="shared" si="21"/>
        <v>0</v>
      </c>
      <c r="AK34" s="174">
        <f t="shared" si="22"/>
        <v>0</v>
      </c>
      <c r="AM34" s="174" t="str">
        <f t="shared" si="29"/>
        <v>7.71245101116591E-09+0.000124197030712112i</v>
      </c>
      <c r="AN34" s="174" t="str">
        <f t="shared" si="30"/>
        <v>0.0001241970310314i</v>
      </c>
      <c r="AO34" s="174" t="str">
        <f t="shared" si="31"/>
        <v>0.999999997429182-0.0000620985135241761i</v>
      </c>
      <c r="AP34" s="174" t="str">
        <f t="shared" si="32"/>
        <v>0.166666665381258-0.0000206995051186853i</v>
      </c>
      <c r="AQ34" s="174" t="str">
        <f t="shared" si="33"/>
        <v>0.833333334618742+0.0000206995051186853i</v>
      </c>
      <c r="AR34" s="174" t="str">
        <f t="shared" si="34"/>
        <v>0.999599997841377-0.0000248294702880473i</v>
      </c>
    </row>
    <row r="35" spans="1:44" x14ac:dyDescent="0.2">
      <c r="B35" s="647"/>
      <c r="D35" s="193"/>
      <c r="G35" s="703">
        <v>7.5857999999999999</v>
      </c>
      <c r="H35" s="691">
        <f t="shared" si="26"/>
        <v>7.5858000000000002E-3</v>
      </c>
      <c r="I35" s="692">
        <f t="shared" si="0"/>
        <v>1.0000273870455403</v>
      </c>
      <c r="J35" s="693">
        <f t="shared" si="1"/>
        <v>7.4008675860376232E-3</v>
      </c>
      <c r="K35" s="693">
        <f t="shared" si="2"/>
        <v>1.0000000000084008</v>
      </c>
      <c r="L35" s="694">
        <f t="shared" si="3"/>
        <v>4.0990168861686821E-6</v>
      </c>
      <c r="M35" s="693">
        <f t="shared" si="4"/>
        <v>1.0000000000468661</v>
      </c>
      <c r="N35" s="694">
        <f t="shared" si="5"/>
        <v>-9.6815442439728233E-6</v>
      </c>
      <c r="O35" s="692">
        <f t="shared" si="6"/>
        <v>13.763316794187613</v>
      </c>
      <c r="P35" s="695">
        <f t="shared" si="7"/>
        <v>1.4980753432335874</v>
      </c>
      <c r="Q35" s="704">
        <f t="shared" si="8"/>
        <v>1.0000163565406395</v>
      </c>
      <c r="R35" s="705">
        <f t="shared" si="9"/>
        <v>5.7194960784361076E-3</v>
      </c>
      <c r="S35" s="692">
        <f t="shared" si="10"/>
        <v>1.0000000007269632</v>
      </c>
      <c r="T35" s="695">
        <f t="shared" si="11"/>
        <v>3.8130389620512403E-5</v>
      </c>
      <c r="U35" s="696">
        <f t="shared" si="27"/>
        <v>0.99959999700309499</v>
      </c>
      <c r="V35" s="697">
        <f t="shared" si="28"/>
        <v>-9.5325972859908422E-5</v>
      </c>
      <c r="W35" s="698">
        <f t="shared" si="12"/>
        <v>74.086124058933322</v>
      </c>
      <c r="X35" s="699">
        <f t="shared" si="13"/>
        <v>-85.937696490849888</v>
      </c>
      <c r="Y35" s="702">
        <f t="shared" si="14"/>
        <v>94.062303509150112</v>
      </c>
      <c r="AA35" s="174">
        <f t="shared" si="15"/>
        <v>1000000000</v>
      </c>
      <c r="AB35" s="174">
        <f t="shared" si="16"/>
        <v>57.544361639999998</v>
      </c>
      <c r="AD35" s="701">
        <f t="shared" si="17"/>
        <v>72.434129606674944</v>
      </c>
      <c r="AE35" s="702">
        <f t="shared" si="18"/>
        <v>-85.507876381764149</v>
      </c>
      <c r="AG35" s="701">
        <f t="shared" si="19"/>
        <v>27.046887562062537</v>
      </c>
      <c r="AH35" s="702">
        <f t="shared" si="20"/>
        <v>-0.41889655722755564</v>
      </c>
      <c r="AJ35" s="174">
        <f t="shared" si="21"/>
        <v>0</v>
      </c>
      <c r="AK35" s="174">
        <f t="shared" si="22"/>
        <v>0</v>
      </c>
      <c r="AM35" s="174" t="str">
        <f t="shared" si="29"/>
        <v>9.27249099724747E-09+0.000136179962575491i</v>
      </c>
      <c r="AN35" s="174" t="str">
        <f t="shared" si="30"/>
        <v>0.0001361799629964i</v>
      </c>
      <c r="AO35" s="174" t="str">
        <f t="shared" si="31"/>
        <v>0.999999996909171-0.0000680899802968267i</v>
      </c>
      <c r="AP35" s="174" t="str">
        <f t="shared" si="32"/>
        <v>0.166666665121252-0.0000226966604292485i</v>
      </c>
      <c r="AQ35" s="174" t="str">
        <f t="shared" si="33"/>
        <v>0.833333334878748+0.0000226966604292485i</v>
      </c>
      <c r="AR35" s="174" t="str">
        <f t="shared" si="34"/>
        <v>0.999599997404741-0.0000272250979969188i</v>
      </c>
    </row>
    <row r="36" spans="1:44" x14ac:dyDescent="0.2">
      <c r="B36" s="647"/>
      <c r="D36" s="193"/>
      <c r="G36" s="703">
        <v>8.3176000000000005</v>
      </c>
      <c r="H36" s="691">
        <f t="shared" si="26"/>
        <v>8.3176000000000014E-3</v>
      </c>
      <c r="I36" s="692">
        <f t="shared" si="0"/>
        <v>1.0000329258705594</v>
      </c>
      <c r="J36" s="693">
        <f t="shared" si="1"/>
        <v>8.1147972442045715E-3</v>
      </c>
      <c r="K36" s="693">
        <f t="shared" si="2"/>
        <v>1.0000000000100999</v>
      </c>
      <c r="L36" s="694">
        <f t="shared" si="3"/>
        <v>4.4944478963798161E-6</v>
      </c>
      <c r="M36" s="693">
        <f t="shared" si="4"/>
        <v>1.0000000000563447</v>
      </c>
      <c r="N36" s="694">
        <f t="shared" si="5"/>
        <v>-1.0615520103767501E-5</v>
      </c>
      <c r="O36" s="692">
        <f t="shared" si="6"/>
        <v>15.084357770128493</v>
      </c>
      <c r="P36" s="695">
        <f t="shared" si="7"/>
        <v>1.5044538317056748</v>
      </c>
      <c r="Q36" s="704">
        <f t="shared" si="8"/>
        <v>1.0000196645505188</v>
      </c>
      <c r="R36" s="705">
        <f t="shared" si="9"/>
        <v>6.2712404321246286E-3</v>
      </c>
      <c r="S36" s="692">
        <f t="shared" si="10"/>
        <v>1.0000000008739887</v>
      </c>
      <c r="T36" s="695">
        <f t="shared" si="11"/>
        <v>4.1808817616663721E-5</v>
      </c>
      <c r="U36" s="696">
        <f t="shared" si="27"/>
        <v>0.99959999639698494</v>
      </c>
      <c r="V36" s="697">
        <f t="shared" si="28"/>
        <v>-1.0452204420353853E-4</v>
      </c>
      <c r="W36" s="698">
        <f t="shared" si="12"/>
        <v>73.290030313565836</v>
      </c>
      <c r="X36" s="699">
        <f t="shared" si="13"/>
        <v>-86.313218004670588</v>
      </c>
      <c r="Y36" s="702">
        <f t="shared" si="14"/>
        <v>93.686781995329412</v>
      </c>
      <c r="AA36" s="174">
        <f t="shared" si="15"/>
        <v>1000000000</v>
      </c>
      <c r="AB36" s="174">
        <f t="shared" si="16"/>
        <v>69.182469760000004</v>
      </c>
      <c r="AD36" s="701">
        <f t="shared" si="17"/>
        <v>71.638083974649163</v>
      </c>
      <c r="AE36" s="702">
        <f t="shared" si="18"/>
        <v>-85.841934986832243</v>
      </c>
      <c r="AG36" s="701">
        <f t="shared" si="19"/>
        <v>27.046839459254265</v>
      </c>
      <c r="AH36" s="702">
        <f t="shared" si="20"/>
        <v>-0.45930567382678189</v>
      </c>
      <c r="AJ36" s="174">
        <f t="shared" si="21"/>
        <v>0</v>
      </c>
      <c r="AK36" s="174">
        <f t="shared" si="22"/>
        <v>0</v>
      </c>
      <c r="AM36" s="174" t="str">
        <f t="shared" si="29"/>
        <v>1.11478140052412E-08+0.000149317205305947i</v>
      </c>
      <c r="AN36" s="174" t="str">
        <f t="shared" si="30"/>
        <v>0.0001493172058608i</v>
      </c>
      <c r="AO36" s="174" t="str">
        <f t="shared" si="31"/>
        <v>0.999999996284065-0.0000746586030790964i</v>
      </c>
      <c r="AP36" s="174" t="str">
        <f t="shared" si="32"/>
        <v>0.166666664808698-0.0000248862008843245i</v>
      </c>
      <c r="AQ36" s="174" t="str">
        <f t="shared" si="33"/>
        <v>0.833333335191302+0.0000248862008843245i</v>
      </c>
      <c r="AR36" s="174" t="str">
        <f t="shared" si="34"/>
        <v>0.999599996879861-0.0000298514955250311i</v>
      </c>
    </row>
    <row r="37" spans="1:44" x14ac:dyDescent="0.2">
      <c r="A37" s="193" t="s">
        <v>758</v>
      </c>
      <c r="B37" s="729">
        <v>2</v>
      </c>
      <c r="C37" s="721" t="s">
        <v>762</v>
      </c>
      <c r="D37" s="193">
        <f>B37*1000000</f>
        <v>2000000</v>
      </c>
      <c r="E37" s="721" t="s">
        <v>45</v>
      </c>
      <c r="G37" s="703">
        <v>9.1201000000000008</v>
      </c>
      <c r="H37" s="691">
        <f t="shared" si="26"/>
        <v>9.1201000000000008E-3</v>
      </c>
      <c r="I37" s="692">
        <f t="shared" si="0"/>
        <v>1.0000395857574254</v>
      </c>
      <c r="J37" s="693">
        <f t="shared" si="1"/>
        <v>8.8976908924993641E-3</v>
      </c>
      <c r="K37" s="693">
        <f t="shared" si="2"/>
        <v>1.000000000012143</v>
      </c>
      <c r="L37" s="694">
        <f t="shared" si="3"/>
        <v>4.9280819298496844E-6</v>
      </c>
      <c r="M37" s="693">
        <f t="shared" si="4"/>
        <v>1.0000000000677416</v>
      </c>
      <c r="N37" s="694">
        <f t="shared" si="5"/>
        <v>-1.1639728394925745E-5</v>
      </c>
      <c r="O37" s="692">
        <f t="shared" si="6"/>
        <v>16.533613268560128</v>
      </c>
      <c r="P37" s="695">
        <f t="shared" si="7"/>
        <v>1.5102765429218408</v>
      </c>
      <c r="Q37" s="704">
        <f t="shared" si="8"/>
        <v>1.000023642113556</v>
      </c>
      <c r="R37" s="705">
        <f t="shared" si="9"/>
        <v>6.8762850106883003E-3</v>
      </c>
      <c r="S37" s="692">
        <f t="shared" si="10"/>
        <v>1.000000001050773</v>
      </c>
      <c r="T37" s="695">
        <f t="shared" si="11"/>
        <v>4.5842622571510552E-5</v>
      </c>
      <c r="U37" s="696">
        <f t="shared" si="27"/>
        <v>0.99959999566819036</v>
      </c>
      <c r="V37" s="697">
        <f t="shared" si="28"/>
        <v>-1.1460655589455166E-4</v>
      </c>
      <c r="W37" s="698">
        <f t="shared" si="12"/>
        <v>72.493187997574054</v>
      </c>
      <c r="X37" s="699">
        <f t="shared" si="13"/>
        <v>-86.657867541530223</v>
      </c>
      <c r="Y37" s="702">
        <f t="shared" si="14"/>
        <v>93.342132458469777</v>
      </c>
      <c r="AA37" s="174">
        <f t="shared" si="15"/>
        <v>1000000000</v>
      </c>
      <c r="AB37" s="174">
        <f t="shared" si="16"/>
        <v>83.176224010000013</v>
      </c>
      <c r="AD37" s="701">
        <f t="shared" si="17"/>
        <v>70.841299509818498</v>
      </c>
      <c r="AE37" s="702">
        <f t="shared" si="18"/>
        <v>-86.141116384414218</v>
      </c>
      <c r="AG37" s="701">
        <f t="shared" si="19"/>
        <v>27.046781620758658</v>
      </c>
      <c r="AH37" s="702">
        <f t="shared" si="20"/>
        <v>-0.50361821318641664</v>
      </c>
      <c r="AJ37" s="174">
        <f t="shared" si="21"/>
        <v>0</v>
      </c>
      <c r="AK37" s="174">
        <f t="shared" si="22"/>
        <v>0</v>
      </c>
      <c r="AM37" s="174" t="str">
        <f t="shared" si="29"/>
        <v>1.34027170473061E-08+0.000163723651424353i</v>
      </c>
      <c r="AN37" s="174" t="str">
        <f t="shared" si="30"/>
        <v>0.0001637236521558i</v>
      </c>
      <c r="AO37" s="174" t="str">
        <f t="shared" si="31"/>
        <v>0.999999995532429-0.0000818618255262962i</v>
      </c>
      <c r="AP37" s="174" t="str">
        <f t="shared" si="32"/>
        <v>0.166666664432881-0.0000272872752373922i</v>
      </c>
      <c r="AQ37" s="174" t="str">
        <f t="shared" si="33"/>
        <v>0.833333335567119+0.0000272872752373922i</v>
      </c>
      <c r="AR37" s="174" t="str">
        <f t="shared" si="34"/>
        <v>0.999599996248741-0.0000327316321821842i</v>
      </c>
    </row>
    <row r="38" spans="1:44" x14ac:dyDescent="0.2">
      <c r="A38" s="193" t="s">
        <v>759</v>
      </c>
      <c r="B38" s="729">
        <v>60</v>
      </c>
      <c r="C38" s="174" t="s">
        <v>15</v>
      </c>
      <c r="D38" s="193">
        <f>B38*0.000000000001</f>
        <v>6E-11</v>
      </c>
      <c r="E38" s="174" t="s">
        <v>13</v>
      </c>
      <c r="G38" s="703">
        <v>10</v>
      </c>
      <c r="H38" s="691">
        <f t="shared" si="26"/>
        <v>0.01</v>
      </c>
      <c r="I38" s="692">
        <f t="shared" si="0"/>
        <v>1.0000475924453469</v>
      </c>
      <c r="J38" s="693">
        <f t="shared" si="1"/>
        <v>9.7560809641576533E-3</v>
      </c>
      <c r="K38" s="693">
        <f t="shared" si="2"/>
        <v>1.000000000014599</v>
      </c>
      <c r="L38" s="694">
        <f t="shared" si="3"/>
        <v>5.4035393579474076E-6</v>
      </c>
      <c r="M38" s="693">
        <f t="shared" si="4"/>
        <v>1.0000000000814435</v>
      </c>
      <c r="N38" s="694">
        <f t="shared" si="5"/>
        <v>-1.276272013993204E-5</v>
      </c>
      <c r="O38" s="692">
        <f t="shared" si="6"/>
        <v>18.123183667039584</v>
      </c>
      <c r="P38" s="695">
        <f t="shared" si="7"/>
        <v>1.5155903459306839</v>
      </c>
      <c r="Q38" s="704">
        <f t="shared" si="8"/>
        <v>1.0000284240566466</v>
      </c>
      <c r="R38" s="705">
        <f t="shared" si="9"/>
        <v>7.5396794879507897E-3</v>
      </c>
      <c r="S38" s="692">
        <f t="shared" si="10"/>
        <v>1.0000000012633092</v>
      </c>
      <c r="T38" s="695">
        <f t="shared" si="11"/>
        <v>5.0265482357666105E-5</v>
      </c>
      <c r="U38" s="696">
        <f t="shared" si="27"/>
        <v>0.99959999479200834</v>
      </c>
      <c r="V38" s="697">
        <f t="shared" si="28"/>
        <v>-1.2566370689858433E-4</v>
      </c>
      <c r="W38" s="698">
        <f t="shared" si="12"/>
        <v>71.695825644864172</v>
      </c>
      <c r="X38" s="699">
        <f t="shared" si="13"/>
        <v>-86.974422492313636</v>
      </c>
      <c r="Y38" s="702">
        <f t="shared" si="14"/>
        <v>93.025577507686364</v>
      </c>
      <c r="AA38" s="174">
        <f t="shared" si="15"/>
        <v>1000000000</v>
      </c>
      <c r="AB38" s="174">
        <f t="shared" si="16"/>
        <v>100</v>
      </c>
      <c r="AD38" s="701">
        <f t="shared" si="17"/>
        <v>70.044006706758111</v>
      </c>
      <c r="AE38" s="702">
        <f t="shared" si="18"/>
        <v>-86.4078185777893</v>
      </c>
      <c r="AG38" s="701">
        <f t="shared" si="19"/>
        <v>27.0467120863361</v>
      </c>
      <c r="AH38" s="702">
        <f t="shared" si="20"/>
        <v>-0.55220391442136507</v>
      </c>
      <c r="AJ38" s="174">
        <f t="shared" si="21"/>
        <v>0</v>
      </c>
      <c r="AK38" s="174">
        <f t="shared" si="22"/>
        <v>0</v>
      </c>
      <c r="AM38" s="174" t="str">
        <f t="shared" si="29"/>
        <v>1.61136399778883E-08+0.000179519579035762i</v>
      </c>
      <c r="AN38" s="174" t="str">
        <f t="shared" si="30"/>
        <v>0.00017951958i</v>
      </c>
      <c r="AO38" s="174" t="str">
        <f t="shared" si="31"/>
        <v>0.999999994628787-0.0000897597909815091i</v>
      </c>
      <c r="AP38" s="174" t="str">
        <f t="shared" si="32"/>
        <v>0.16666666398106-0.0000299199298392937i</v>
      </c>
      <c r="AQ38" s="174" t="str">
        <f t="shared" si="33"/>
        <v>0.83333333601894+0.0000299199298392937i</v>
      </c>
      <c r="AR38" s="174" t="str">
        <f t="shared" si="34"/>
        <v>0.999599995489986-0.0000358895539632401i</v>
      </c>
    </row>
    <row r="39" spans="1:44" x14ac:dyDescent="0.2">
      <c r="A39" s="193" t="s">
        <v>765</v>
      </c>
      <c r="B39" s="729">
        <v>0.4</v>
      </c>
      <c r="C39" s="174" t="s">
        <v>15</v>
      </c>
      <c r="D39" s="193">
        <f>B39*0.000000000001</f>
        <v>4.0000000000000001E-13</v>
      </c>
      <c r="E39" s="174" t="s">
        <v>13</v>
      </c>
      <c r="G39" s="703">
        <v>10.965</v>
      </c>
      <c r="H39" s="691">
        <f t="shared" si="26"/>
        <v>1.0964999999999999E-2</v>
      </c>
      <c r="I39" s="692">
        <f t="shared" si="0"/>
        <v>1.0000572207045868</v>
      </c>
      <c r="J39" s="693">
        <f t="shared" si="1"/>
        <v>1.0697474114247986E-2</v>
      </c>
      <c r="K39" s="693">
        <f t="shared" si="2"/>
        <v>1.0000000000175526</v>
      </c>
      <c r="L39" s="694">
        <f t="shared" si="3"/>
        <v>5.9249809059776654E-6</v>
      </c>
      <c r="M39" s="693">
        <f t="shared" si="4"/>
        <v>1.0000000000979206</v>
      </c>
      <c r="N39" s="694">
        <f t="shared" si="5"/>
        <v>-1.399432263328176E-5</v>
      </c>
      <c r="O39" s="692">
        <f t="shared" si="6"/>
        <v>19.866979872222881</v>
      </c>
      <c r="P39" s="695">
        <f t="shared" si="7"/>
        <v>1.5204402709900515</v>
      </c>
      <c r="Q39" s="704">
        <f t="shared" si="8"/>
        <v>1.0000341744932433</v>
      </c>
      <c r="R39" s="705">
        <f t="shared" si="9"/>
        <v>8.2672268657621121E-3</v>
      </c>
      <c r="S39" s="692">
        <f t="shared" si="10"/>
        <v>1.0000000015188923</v>
      </c>
      <c r="T39" s="695">
        <f t="shared" si="11"/>
        <v>5.5116101395789719E-5</v>
      </c>
      <c r="U39" s="696">
        <f t="shared" si="27"/>
        <v>0.99959999373836739</v>
      </c>
      <c r="V39" s="697">
        <f t="shared" si="28"/>
        <v>-1.3779025103602573E-4</v>
      </c>
      <c r="W39" s="698">
        <f t="shared" si="12"/>
        <v>70.897844753894944</v>
      </c>
      <c r="X39" s="699">
        <f t="shared" si="13"/>
        <v>-87.265568598744125</v>
      </c>
      <c r="Y39" s="702">
        <f t="shared" si="14"/>
        <v>92.734431401255875</v>
      </c>
      <c r="AA39" s="174">
        <f t="shared" si="15"/>
        <v>1000000000</v>
      </c>
      <c r="AB39" s="174">
        <f t="shared" si="16"/>
        <v>120.23122499999999</v>
      </c>
      <c r="AD39" s="701">
        <f t="shared" si="17"/>
        <v>69.246109450390207</v>
      </c>
      <c r="AE39" s="702">
        <f t="shared" si="18"/>
        <v>-86.644291340770508</v>
      </c>
      <c r="AG39" s="701">
        <f t="shared" si="19"/>
        <v>27.046628470045711</v>
      </c>
      <c r="AH39" s="702">
        <f t="shared" si="20"/>
        <v>-0.60548765827073969</v>
      </c>
      <c r="AJ39" s="174">
        <f t="shared" si="21"/>
        <v>0</v>
      </c>
      <c r="AK39" s="174">
        <f t="shared" si="22"/>
        <v>0</v>
      </c>
      <c r="AM39" s="174" t="str">
        <f t="shared" si="29"/>
        <v>1.93736260367672E-08+0.000196843218198811i</v>
      </c>
      <c r="AN39" s="174" t="str">
        <f t="shared" si="30"/>
        <v>0.00019684321947i</v>
      </c>
      <c r="AO39" s="174" t="str">
        <f t="shared" si="31"/>
        <v>0.999999993542125-0.0000984216072513478i</v>
      </c>
      <c r="AP39" s="174" t="str">
        <f t="shared" si="32"/>
        <v>0.166666663437729-0.0000328072030331352i</v>
      </c>
      <c r="AQ39" s="174" t="str">
        <f t="shared" si="33"/>
        <v>0.833333336562271+0.0000328072030331352i</v>
      </c>
      <c r="AR39" s="174" t="str">
        <f t="shared" si="34"/>
        <v>0.999599994577555-0.0000393528958163504i</v>
      </c>
    </row>
    <row r="40" spans="1:44" x14ac:dyDescent="0.2">
      <c r="B40" s="647"/>
      <c r="D40" s="193"/>
      <c r="G40" s="703">
        <v>12.023</v>
      </c>
      <c r="H40" s="691">
        <f t="shared" si="26"/>
        <v>1.2022999999999999E-2</v>
      </c>
      <c r="I40" s="692">
        <f t="shared" si="0"/>
        <v>1.0000687953540486</v>
      </c>
      <c r="J40" s="693">
        <f t="shared" si="1"/>
        <v>1.1729570348437513E-2</v>
      </c>
      <c r="K40" s="693">
        <f t="shared" si="2"/>
        <v>1.0000000000211033</v>
      </c>
      <c r="L40" s="694">
        <f t="shared" si="3"/>
        <v>6.4966753700319969E-6</v>
      </c>
      <c r="M40" s="693">
        <f t="shared" si="4"/>
        <v>1.0000000001177285</v>
      </c>
      <c r="N40" s="694">
        <f t="shared" si="5"/>
        <v>-1.5344618423869105E-5</v>
      </c>
      <c r="O40" s="692">
        <f t="shared" si="6"/>
        <v>21.779277931085666</v>
      </c>
      <c r="P40" s="695">
        <f t="shared" si="7"/>
        <v>1.5248649738551203</v>
      </c>
      <c r="Q40" s="704">
        <f t="shared" si="8"/>
        <v>1.000041087432578</v>
      </c>
      <c r="R40" s="705">
        <f t="shared" si="9"/>
        <v>9.0648801220008322E-3</v>
      </c>
      <c r="S40" s="692">
        <f t="shared" si="10"/>
        <v>1.0000000018261457</v>
      </c>
      <c r="T40" s="695">
        <f t="shared" si="11"/>
        <v>6.0434189415945586E-5</v>
      </c>
      <c r="U40" s="696">
        <f t="shared" si="27"/>
        <v>0.99959999247171483</v>
      </c>
      <c r="V40" s="697">
        <f t="shared" si="28"/>
        <v>-1.5108547434187055E-4</v>
      </c>
      <c r="W40" s="698">
        <f t="shared" si="12"/>
        <v>70.099571747394918</v>
      </c>
      <c r="X40" s="699">
        <f t="shared" si="13"/>
        <v>-87.533629066743046</v>
      </c>
      <c r="Y40" s="702">
        <f t="shared" si="14"/>
        <v>92.466370933256954</v>
      </c>
      <c r="AA40" s="174">
        <f t="shared" si="15"/>
        <v>1000000000</v>
      </c>
      <c r="AB40" s="174">
        <f t="shared" si="16"/>
        <v>144.55252899999999</v>
      </c>
      <c r="AD40" s="701">
        <f t="shared" si="17"/>
        <v>68.447936984487342</v>
      </c>
      <c r="AE40" s="702">
        <f t="shared" si="18"/>
        <v>-86.852410679677504</v>
      </c>
      <c r="AG40" s="701">
        <f t="shared" si="19"/>
        <v>27.046527951461368</v>
      </c>
      <c r="AH40" s="702">
        <f t="shared" si="20"/>
        <v>-0.66390526699472197</v>
      </c>
      <c r="AJ40" s="174">
        <f t="shared" si="21"/>
        <v>0</v>
      </c>
      <c r="AK40" s="174">
        <f t="shared" si="22"/>
        <v>0</v>
      </c>
      <c r="AM40" s="174" t="str">
        <f t="shared" si="29"/>
        <v>2.32926740117989E-08+0.000215836389358198i</v>
      </c>
      <c r="AN40" s="174" t="str">
        <f t="shared" si="30"/>
        <v>0.000215836391034i</v>
      </c>
      <c r="AO40" s="174" t="str">
        <f t="shared" si="31"/>
        <v>0.999999992235776-0.000107918196279189i</v>
      </c>
      <c r="AP40" s="174" t="str">
        <f t="shared" si="32"/>
        <v>0.166666662784554-0.0000359727315596997i</v>
      </c>
      <c r="AQ40" s="174" t="str">
        <f t="shared" si="33"/>
        <v>0.833333337215446+0.0000359727315596997i</v>
      </c>
      <c r="AR40" s="174" t="str">
        <f t="shared" si="34"/>
        <v>0.99959999348066-0.000043150010478053i</v>
      </c>
    </row>
    <row r="41" spans="1:44" x14ac:dyDescent="0.2">
      <c r="G41" s="703">
        <v>13.183</v>
      </c>
      <c r="H41" s="691">
        <f t="shared" si="26"/>
        <v>1.3183E-2</v>
      </c>
      <c r="I41" s="692">
        <f t="shared" si="0"/>
        <v>1.0000827101671583</v>
      </c>
      <c r="J41" s="693">
        <f t="shared" si="1"/>
        <v>1.2861140443275021E-2</v>
      </c>
      <c r="K41" s="693">
        <f t="shared" si="2"/>
        <v>1.0000000000253721</v>
      </c>
      <c r="L41" s="694">
        <f t="shared" si="3"/>
        <v>7.1234859355309067E-6</v>
      </c>
      <c r="M41" s="693">
        <f t="shared" si="4"/>
        <v>1.0000000001415419</v>
      </c>
      <c r="N41" s="694">
        <f t="shared" si="5"/>
        <v>-1.6825093959798301E-5</v>
      </c>
      <c r="O41" s="692">
        <f t="shared" si="6"/>
        <v>23.8763451812695</v>
      </c>
      <c r="P41" s="695">
        <f t="shared" si="7"/>
        <v>1.5289016155179775</v>
      </c>
      <c r="Q41" s="704">
        <f t="shared" si="8"/>
        <v>1.0000493980732499</v>
      </c>
      <c r="R41" s="705">
        <f t="shared" si="9"/>
        <v>9.9394204922459307E-3</v>
      </c>
      <c r="S41" s="692">
        <f t="shared" si="10"/>
        <v>1.000000002195524</v>
      </c>
      <c r="T41" s="695">
        <f t="shared" si="11"/>
        <v>6.6264985350929093E-5</v>
      </c>
      <c r="U41" s="696">
        <f t="shared" si="27"/>
        <v>0.99959999094895158</v>
      </c>
      <c r="V41" s="697">
        <f t="shared" si="28"/>
        <v>-1.6566246118299155E-4</v>
      </c>
      <c r="W41" s="698">
        <f t="shared" si="12"/>
        <v>69.301035624001656</v>
      </c>
      <c r="X41" s="699">
        <f t="shared" si="13"/>
        <v>-87.780856507364717</v>
      </c>
      <c r="Y41" s="702">
        <f t="shared" si="14"/>
        <v>92.219143492635283</v>
      </c>
      <c r="AA41" s="174">
        <f t="shared" si="15"/>
        <v>1000000000</v>
      </c>
      <c r="AB41" s="174">
        <f t="shared" si="16"/>
        <v>173.79148899999998</v>
      </c>
      <c r="AD41" s="701">
        <f t="shared" si="17"/>
        <v>67.649521727458051</v>
      </c>
      <c r="AE41" s="702">
        <f t="shared" si="18"/>
        <v>-87.033919818342724</v>
      </c>
      <c r="AG41" s="701">
        <f t="shared" si="19"/>
        <v>27.046407111561102</v>
      </c>
      <c r="AH41" s="702">
        <f t="shared" si="20"/>
        <v>-0.72795316930122467</v>
      </c>
      <c r="AJ41" s="174">
        <f t="shared" si="21"/>
        <v>0</v>
      </c>
      <c r="AK41" s="174">
        <f t="shared" si="22"/>
        <v>0</v>
      </c>
      <c r="AM41" s="174" t="str">
        <f t="shared" si="29"/>
        <v>2.80041340117165E-08+0.000236660660104841i</v>
      </c>
      <c r="AN41" s="174" t="str">
        <f t="shared" si="30"/>
        <v>0.000236660662314i</v>
      </c>
      <c r="AO41" s="174" t="str">
        <f t="shared" si="31"/>
        <v>0.999999990665288-0.000118330328910179i</v>
      </c>
      <c r="AP41" s="174" t="str">
        <f t="shared" si="32"/>
        <v>0.166666661999311-0.0000394434433508068i</v>
      </c>
      <c r="AQ41" s="174" t="str">
        <f t="shared" si="33"/>
        <v>0.833333338000689+0.0000394434433508068i</v>
      </c>
      <c r="AR41" s="174" t="str">
        <f t="shared" si="34"/>
        <v>0.999599992161979-0.0000473131985321765i</v>
      </c>
    </row>
    <row r="42" spans="1:44" x14ac:dyDescent="0.2">
      <c r="G42" s="703">
        <v>14.454000000000001</v>
      </c>
      <c r="H42" s="691">
        <f t="shared" si="26"/>
        <v>1.4454E-2</v>
      </c>
      <c r="I42" s="692">
        <f t="shared" si="0"/>
        <v>1.0000994266633869</v>
      </c>
      <c r="J42" s="693">
        <f t="shared" si="1"/>
        <v>1.4100952168888157E-2</v>
      </c>
      <c r="K42" s="693">
        <f t="shared" si="2"/>
        <v>1.0000000000305</v>
      </c>
      <c r="L42" s="694">
        <f t="shared" si="3"/>
        <v>7.810275787894388E-6</v>
      </c>
      <c r="M42" s="693">
        <f t="shared" si="4"/>
        <v>1.0000000001701501</v>
      </c>
      <c r="N42" s="694">
        <f t="shared" si="5"/>
        <v>-1.8447235689166844E-5</v>
      </c>
      <c r="O42" s="692">
        <f t="shared" si="6"/>
        <v>26.17445174662074</v>
      </c>
      <c r="P42" s="695">
        <f t="shared" si="7"/>
        <v>1.5325818326608081</v>
      </c>
      <c r="Q42" s="704">
        <f t="shared" si="8"/>
        <v>1.0000593820844741</v>
      </c>
      <c r="R42" s="705">
        <f t="shared" si="9"/>
        <v>1.0897627824093897E-2</v>
      </c>
      <c r="S42" s="692">
        <f t="shared" si="10"/>
        <v>1.0000000026392821</v>
      </c>
      <c r="T42" s="695">
        <f t="shared" si="11"/>
        <v>7.2653728133124226E-5</v>
      </c>
      <c r="U42" s="696">
        <f t="shared" si="27"/>
        <v>0.99959998911955839</v>
      </c>
      <c r="V42" s="697">
        <f t="shared" si="28"/>
        <v>-1.8163431775041836E-4</v>
      </c>
      <c r="W42" s="698">
        <f t="shared" si="12"/>
        <v>68.502782239799799</v>
      </c>
      <c r="X42" s="699">
        <f t="shared" si="13"/>
        <v>-88.009186920541609</v>
      </c>
      <c r="Y42" s="702">
        <f t="shared" si="14"/>
        <v>91.990813079458391</v>
      </c>
      <c r="AA42" s="174">
        <f t="shared" si="15"/>
        <v>1000000000</v>
      </c>
      <c r="AB42" s="174">
        <f t="shared" si="16"/>
        <v>208.91811600000003</v>
      </c>
      <c r="AD42" s="701">
        <f t="shared" si="17"/>
        <v>66.851413543279079</v>
      </c>
      <c r="AE42" s="702">
        <f t="shared" si="18"/>
        <v>-87.190245540481655</v>
      </c>
      <c r="AG42" s="701">
        <f t="shared" si="19"/>
        <v>27.046261943330734</v>
      </c>
      <c r="AH42" s="702">
        <f t="shared" si="20"/>
        <v>-0.7981276203924853</v>
      </c>
      <c r="AJ42" s="174">
        <f t="shared" si="21"/>
        <v>0</v>
      </c>
      <c r="AK42" s="174">
        <f t="shared" si="22"/>
        <v>0</v>
      </c>
      <c r="AM42" s="174" t="str">
        <f t="shared" si="29"/>
        <v>3.36643120046887E-08+0.000259477598020288i</v>
      </c>
      <c r="AN42" s="174" t="str">
        <f t="shared" si="30"/>
        <v>0.000259477600932i</v>
      </c>
      <c r="AO42" s="174" t="str">
        <f t="shared" si="31"/>
        <v>0.999999988778561-0.000129738797814425i</v>
      </c>
      <c r="AP42" s="174" t="str">
        <f t="shared" si="32"/>
        <v>0.166666661055948-0.0000432462663367147i</v>
      </c>
      <c r="AQ42" s="174" t="str">
        <f t="shared" si="33"/>
        <v>0.833333338944052+0.0000432462663367147i</v>
      </c>
      <c r="AR42" s="174" t="str">
        <f t="shared" si="34"/>
        <v>0.999599990577763-0.0000518747605579785i</v>
      </c>
    </row>
    <row r="43" spans="1:44" x14ac:dyDescent="0.2">
      <c r="G43" s="703">
        <v>15.849</v>
      </c>
      <c r="H43" s="691">
        <f t="shared" si="26"/>
        <v>1.5848999999999999E-2</v>
      </c>
      <c r="I43" s="692">
        <f t="shared" si="0"/>
        <v>1.0001195435441401</v>
      </c>
      <c r="J43" s="693">
        <f t="shared" si="1"/>
        <v>1.5461671091606049E-2</v>
      </c>
      <c r="K43" s="693">
        <f t="shared" si="2"/>
        <v>1.0000000000366716</v>
      </c>
      <c r="L43" s="694">
        <f t="shared" si="3"/>
        <v>8.5640695282848253E-6</v>
      </c>
      <c r="M43" s="693">
        <f t="shared" si="4"/>
        <v>1.0000000002045786</v>
      </c>
      <c r="N43" s="694">
        <f t="shared" si="5"/>
        <v>-2.0227635148117804E-5</v>
      </c>
      <c r="O43" s="692">
        <f t="shared" si="6"/>
        <v>28.697103353858587</v>
      </c>
      <c r="P43" s="695">
        <f t="shared" si="7"/>
        <v>1.5359425479768416</v>
      </c>
      <c r="Q43" s="704">
        <f t="shared" si="8"/>
        <v>1.0000713970815152</v>
      </c>
      <c r="R43" s="705">
        <f t="shared" si="9"/>
        <v>1.1949295696491603E-2</v>
      </c>
      <c r="S43" s="692">
        <f t="shared" si="10"/>
        <v>1.0000000031733169</v>
      </c>
      <c r="T43" s="695">
        <f t="shared" si="11"/>
        <v>7.9665762887223531E-5</v>
      </c>
      <c r="U43" s="696">
        <f t="shared" si="27"/>
        <v>0.99959998691800112</v>
      </c>
      <c r="V43" s="697">
        <f t="shared" si="28"/>
        <v>-1.9916440774226497E-4</v>
      </c>
      <c r="W43" s="698">
        <f t="shared" si="12"/>
        <v>67.70350249262782</v>
      </c>
      <c r="X43" s="699">
        <f t="shared" si="13"/>
        <v>-88.220914025717789</v>
      </c>
      <c r="Y43" s="702">
        <f t="shared" si="14"/>
        <v>91.779085974282211</v>
      </c>
      <c r="AA43" s="174">
        <f t="shared" si="15"/>
        <v>1000000000</v>
      </c>
      <c r="AB43" s="174">
        <f t="shared" si="16"/>
        <v>251.19080099999999</v>
      </c>
      <c r="AD43" s="701">
        <f t="shared" si="17"/>
        <v>66.052308528762111</v>
      </c>
      <c r="AE43" s="702">
        <f t="shared" si="18"/>
        <v>-87.322945973846316</v>
      </c>
      <c r="AG43" s="701">
        <f t="shared" si="19"/>
        <v>27.046087248935994</v>
      </c>
      <c r="AH43" s="702">
        <f t="shared" si="20"/>
        <v>-0.87514549185969437</v>
      </c>
      <c r="AJ43" s="174">
        <f t="shared" si="21"/>
        <v>0</v>
      </c>
      <c r="AK43" s="174">
        <f t="shared" si="22"/>
        <v>0</v>
      </c>
      <c r="AM43" s="174" t="str">
        <f t="shared" si="29"/>
        <v>4.0475981011312E-08+0.00028452057850325i</v>
      </c>
      <c r="AN43" s="174" t="str">
        <f t="shared" si="30"/>
        <v>0.000284520582342i</v>
      </c>
      <c r="AO43" s="174" t="str">
        <f t="shared" si="31"/>
        <v>0.999999986508006-0.000142260291603997i</v>
      </c>
      <c r="AP43" s="174" t="str">
        <f t="shared" si="32"/>
        <v>0.16666665992067-0.0000474200964172083i</v>
      </c>
      <c r="AQ43" s="174" t="str">
        <f t="shared" si="33"/>
        <v>0.83333334007933+0.0000474200964172083i</v>
      </c>
      <c r="AR43" s="174" t="str">
        <f t="shared" si="34"/>
        <v>0.999599988671259-0.000056881352949252i</v>
      </c>
    </row>
    <row r="44" spans="1:44" x14ac:dyDescent="0.2">
      <c r="G44" s="703">
        <v>17.378</v>
      </c>
      <c r="H44" s="691">
        <f t="shared" si="26"/>
        <v>1.7378000000000001E-2</v>
      </c>
      <c r="I44" s="692">
        <f t="shared" si="0"/>
        <v>1.0001437198425756</v>
      </c>
      <c r="J44" s="693">
        <f t="shared" si="1"/>
        <v>1.6953031107072972E-2</v>
      </c>
      <c r="K44" s="693">
        <f t="shared" si="2"/>
        <v>1.0000000000440887</v>
      </c>
      <c r="L44" s="694">
        <f t="shared" si="3"/>
        <v>9.3902706960563956E-6</v>
      </c>
      <c r="M44" s="693">
        <f t="shared" si="4"/>
        <v>1.0000000002459553</v>
      </c>
      <c r="N44" s="694">
        <f t="shared" si="5"/>
        <v>-2.2179055056741425E-5</v>
      </c>
      <c r="O44" s="692">
        <f t="shared" si="6"/>
        <v>31.462383922412375</v>
      </c>
      <c r="P44" s="695">
        <f t="shared" si="7"/>
        <v>1.5390069859312789</v>
      </c>
      <c r="Q44" s="704">
        <f t="shared" si="8"/>
        <v>1.0000858367328749</v>
      </c>
      <c r="R44" s="705">
        <f t="shared" si="9"/>
        <v>1.3101953546761917E-2</v>
      </c>
      <c r="S44" s="692">
        <f t="shared" si="10"/>
        <v>1.0000000038151295</v>
      </c>
      <c r="T44" s="695">
        <f t="shared" si="11"/>
        <v>8.7351355092548855E-5</v>
      </c>
      <c r="U44" s="696">
        <f t="shared" si="27"/>
        <v>0.99959998427212926</v>
      </c>
      <c r="V44" s="697">
        <f t="shared" si="28"/>
        <v>-2.1837838527938359E-4</v>
      </c>
      <c r="W44" s="698">
        <f t="shared" si="12"/>
        <v>66.904346622602716</v>
      </c>
      <c r="X44" s="699">
        <f t="shared" si="13"/>
        <v>-88.417505293990942</v>
      </c>
      <c r="Y44" s="702">
        <f t="shared" si="14"/>
        <v>91.582494706009058</v>
      </c>
      <c r="AA44" s="174">
        <f t="shared" si="15"/>
        <v>1000000000</v>
      </c>
      <c r="AB44" s="174">
        <f t="shared" si="16"/>
        <v>301.99488400000001</v>
      </c>
      <c r="AD44" s="701">
        <f t="shared" si="17"/>
        <v>65.253362646326167</v>
      </c>
      <c r="AE44" s="702">
        <f t="shared" si="18"/>
        <v>-87.432923257294249</v>
      </c>
      <c r="AG44" s="701">
        <f t="shared" si="19"/>
        <v>27.045877307328734</v>
      </c>
      <c r="AH44" s="702">
        <f t="shared" si="20"/>
        <v>-0.95955771704131299</v>
      </c>
      <c r="AJ44" s="174">
        <f t="shared" si="21"/>
        <v>0</v>
      </c>
      <c r="AK44" s="174">
        <f t="shared" si="22"/>
        <v>0</v>
      </c>
      <c r="AM44" s="174" t="str">
        <f t="shared" si="29"/>
        <v>4.86623670248321E-08+0.000311969121063615i</v>
      </c>
      <c r="AN44" s="174" t="str">
        <f t="shared" si="30"/>
        <v>0.000311969126124i</v>
      </c>
      <c r="AO44" s="174" t="str">
        <f t="shared" si="31"/>
        <v>0.999999983779212-0.000155984560489777i</v>
      </c>
      <c r="AP44" s="174" t="str">
        <f t="shared" si="32"/>
        <v>0.166666658556272-0.0000519948535106025i</v>
      </c>
      <c r="AQ44" s="174" t="str">
        <f t="shared" si="33"/>
        <v>0.833333341443728+0.0000519948535106025i</v>
      </c>
      <c r="AR44" s="174" t="str">
        <f t="shared" si="34"/>
        <v>0.999599986379987-0.0000623688652262299i</v>
      </c>
    </row>
    <row r="45" spans="1:44" x14ac:dyDescent="0.2">
      <c r="G45" s="703">
        <v>19.055</v>
      </c>
      <c r="H45" s="691">
        <f t="shared" si="26"/>
        <v>1.9054999999999999E-2</v>
      </c>
      <c r="I45" s="692">
        <f t="shared" si="0"/>
        <v>1.0001727940326957</v>
      </c>
      <c r="J45" s="693">
        <f t="shared" si="1"/>
        <v>1.8588660784600392E-2</v>
      </c>
      <c r="K45" s="693">
        <f t="shared" si="2"/>
        <v>1.0000000000530083</v>
      </c>
      <c r="L45" s="694">
        <f t="shared" si="3"/>
        <v>1.0296444246305132E-5</v>
      </c>
      <c r="M45" s="693">
        <f t="shared" si="4"/>
        <v>1.0000000002957157</v>
      </c>
      <c r="N45" s="694">
        <f t="shared" si="5"/>
        <v>-2.4319363223166529E-5</v>
      </c>
      <c r="O45" s="692">
        <f t="shared" si="6"/>
        <v>34.495613259888842</v>
      </c>
      <c r="P45" s="695">
        <f t="shared" si="7"/>
        <v>1.541803071690844</v>
      </c>
      <c r="Q45" s="704">
        <f t="shared" si="8"/>
        <v>1.0001032019085525</v>
      </c>
      <c r="R45" s="705">
        <f t="shared" si="9"/>
        <v>1.4366143101455519E-2</v>
      </c>
      <c r="S45" s="692">
        <f t="shared" si="10"/>
        <v>1.0000000045869881</v>
      </c>
      <c r="T45" s="695">
        <f t="shared" si="11"/>
        <v>9.5780876420302848E-5</v>
      </c>
      <c r="U45" s="696">
        <f t="shared" si="27"/>
        <v>0.9995999810901417</v>
      </c>
      <c r="V45" s="697">
        <f t="shared" si="28"/>
        <v>-2.3945219051000073E-4</v>
      </c>
      <c r="W45" s="698">
        <f t="shared" si="12"/>
        <v>66.104800032663206</v>
      </c>
      <c r="X45" s="699">
        <f t="shared" si="13"/>
        <v>-88.600752285558485</v>
      </c>
      <c r="Y45" s="702">
        <f t="shared" si="14"/>
        <v>91.399247714441515</v>
      </c>
      <c r="AA45" s="174">
        <f t="shared" si="15"/>
        <v>1000000000</v>
      </c>
      <c r="AB45" s="174">
        <f t="shared" si="16"/>
        <v>363.09302500000001</v>
      </c>
      <c r="AD45" s="701">
        <f t="shared" si="17"/>
        <v>64.454068578774027</v>
      </c>
      <c r="AE45" s="702">
        <f t="shared" si="18"/>
        <v>-87.521177420581751</v>
      </c>
      <c r="AG45" s="701">
        <f t="shared" si="19"/>
        <v>27.045624840240279</v>
      </c>
      <c r="AH45" s="702">
        <f t="shared" si="20"/>
        <v>-1.0521356651226266</v>
      </c>
      <c r="AJ45" s="174">
        <f t="shared" si="21"/>
        <v>0</v>
      </c>
      <c r="AK45" s="174">
        <f t="shared" ref="AK45:AK76" si="35">IF(AJ45&gt;0,Y43,0)</f>
        <v>0</v>
      </c>
      <c r="AM45" s="174" t="str">
        <f t="shared" si="29"/>
        <v>5.85075019543524E-08+0.000342074553018691i</v>
      </c>
      <c r="AN45" s="174" t="str">
        <f t="shared" si="30"/>
        <v>0.00034207455969i</v>
      </c>
      <c r="AO45" s="174" t="str">
        <f t="shared" si="31"/>
        <v>0.9999999804975-0.000171037279145733i</v>
      </c>
      <c r="AP45" s="174" t="str">
        <f t="shared" si="32"/>
        <v>0.166666656915416-0.0000570124255031152i</v>
      </c>
      <c r="AQ45" s="174" t="str">
        <f t="shared" si="33"/>
        <v>0.833333343084584+0.0000570124255031152i</v>
      </c>
      <c r="AR45" s="174" t="str">
        <f t="shared" si="34"/>
        <v>0.999599983624452-0.0000683875427189283i</v>
      </c>
    </row>
    <row r="46" spans="1:44" x14ac:dyDescent="0.2">
      <c r="G46" s="703">
        <v>20.893000000000001</v>
      </c>
      <c r="H46" s="691">
        <f t="shared" si="26"/>
        <v>2.0893000000000002E-2</v>
      </c>
      <c r="I46" s="692">
        <f t="shared" si="0"/>
        <v>1.0002077326955583</v>
      </c>
      <c r="J46" s="693">
        <f t="shared" si="1"/>
        <v>2.0381204145210725E-2</v>
      </c>
      <c r="K46" s="693">
        <f t="shared" si="2"/>
        <v>1.0000000000637277</v>
      </c>
      <c r="L46" s="694">
        <f t="shared" si="3"/>
        <v>1.1289614780189757E-5</v>
      </c>
      <c r="M46" s="693">
        <f t="shared" si="4"/>
        <v>1.0000000003555152</v>
      </c>
      <c r="N46" s="694">
        <f t="shared" si="5"/>
        <v>-2.6665151183487908E-5</v>
      </c>
      <c r="O46" s="692">
        <f t="shared" si="6"/>
        <v>37.820304779362594</v>
      </c>
      <c r="P46" s="695">
        <f t="shared" si="7"/>
        <v>1.5443524215426543</v>
      </c>
      <c r="Q46" s="704">
        <f t="shared" si="8"/>
        <v>1.0001240700336609</v>
      </c>
      <c r="R46" s="705">
        <f t="shared" si="9"/>
        <v>1.5751647990471473E-2</v>
      </c>
      <c r="S46" s="692">
        <f t="shared" si="10"/>
        <v>1.0000000055145657</v>
      </c>
      <c r="T46" s="695">
        <f t="shared" si="11"/>
        <v>1.0501967199222808E-4</v>
      </c>
      <c r="U46" s="696">
        <f t="shared" si="27"/>
        <v>0.99959997726620431</v>
      </c>
      <c r="V46" s="697">
        <f t="shared" si="28"/>
        <v>-2.6254917902756799E-4</v>
      </c>
      <c r="W46" s="698">
        <f t="shared" si="12"/>
        <v>65.305454731248304</v>
      </c>
      <c r="X46" s="699">
        <f t="shared" si="13"/>
        <v>-88.772071062512509</v>
      </c>
      <c r="Y46" s="702">
        <f t="shared" si="14"/>
        <v>91.227928937487491</v>
      </c>
      <c r="AA46" s="174">
        <f t="shared" si="15"/>
        <v>1000000000</v>
      </c>
      <c r="AB46" s="174">
        <f t="shared" si="16"/>
        <v>436.51744900000006</v>
      </c>
      <c r="AD46" s="701">
        <f t="shared" si="17"/>
        <v>63.655026725615052</v>
      </c>
      <c r="AE46" s="702">
        <f t="shared" si="18"/>
        <v>-87.588390169028273</v>
      </c>
      <c r="AG46" s="701">
        <f t="shared" si="19"/>
        <v>27.045321458439517</v>
      </c>
      <c r="AH46" s="702">
        <f t="shared" si="20"/>
        <v>-1.1535949737040421</v>
      </c>
      <c r="AJ46" s="174">
        <f t="shared" si="21"/>
        <v>0</v>
      </c>
      <c r="AK46" s="174">
        <f t="shared" si="35"/>
        <v>0</v>
      </c>
      <c r="AM46" s="174" t="str">
        <f t="shared" si="29"/>
        <v>7.0338848967566E-08+0.000375070249699997i</v>
      </c>
      <c r="AN46" s="174" t="str">
        <f t="shared" si="30"/>
        <v>0.000375070258494i</v>
      </c>
      <c r="AO46" s="174" t="str">
        <f t="shared" si="31"/>
        <v>0.999999976553718-0.000187535128085052i</v>
      </c>
      <c r="AP46" s="174" t="str">
        <f t="shared" si="32"/>
        <v>0.166666654943525-0.0000625117082833328i</v>
      </c>
      <c r="AQ46" s="174" t="str">
        <f t="shared" si="33"/>
        <v>0.833333345056475+0.0000625117082833328i</v>
      </c>
      <c r="AR46" s="174" t="str">
        <f t="shared" si="34"/>
        <v>0.999599980313001-0.0000749840417883635i</v>
      </c>
    </row>
    <row r="47" spans="1:44" x14ac:dyDescent="0.2">
      <c r="G47" s="703">
        <v>22.909000000000002</v>
      </c>
      <c r="H47" s="691">
        <f t="shared" si="26"/>
        <v>2.2909000000000002E-2</v>
      </c>
      <c r="I47" s="692">
        <f t="shared" si="0"/>
        <v>1.0002497505133139</v>
      </c>
      <c r="J47" s="693">
        <f t="shared" si="1"/>
        <v>2.2347194229115141E-2</v>
      </c>
      <c r="K47" s="693">
        <f t="shared" si="2"/>
        <v>1.0000000000766194</v>
      </c>
      <c r="L47" s="694">
        <f t="shared" si="3"/>
        <v>1.2378968314609885E-5</v>
      </c>
      <c r="M47" s="693">
        <f t="shared" si="4"/>
        <v>1.0000000004274336</v>
      </c>
      <c r="N47" s="694">
        <f t="shared" si="5"/>
        <v>-2.9238115561826249E-5</v>
      </c>
      <c r="O47" s="692">
        <f t="shared" si="6"/>
        <v>41.467209180483515</v>
      </c>
      <c r="P47" s="695">
        <f t="shared" si="7"/>
        <v>1.5466785486545018</v>
      </c>
      <c r="Q47" s="704">
        <f t="shared" si="8"/>
        <v>1.0001491667771727</v>
      </c>
      <c r="R47" s="705">
        <f t="shared" si="9"/>
        <v>1.7271261520783818E-2</v>
      </c>
      <c r="S47" s="692">
        <f t="shared" si="10"/>
        <v>1.0000000066301289</v>
      </c>
      <c r="T47" s="695">
        <f t="shared" si="11"/>
        <v>1.15153193121173E-4</v>
      </c>
      <c r="U47" s="696">
        <f t="shared" si="27"/>
        <v>0.99959997266729461</v>
      </c>
      <c r="V47" s="697">
        <f t="shared" si="28"/>
        <v>-2.878829806468537E-4</v>
      </c>
      <c r="W47" s="698">
        <f t="shared" si="12"/>
        <v>64.505712097570921</v>
      </c>
      <c r="X47" s="699">
        <f t="shared" si="13"/>
        <v>-88.93304095395456</v>
      </c>
      <c r="Y47" s="702">
        <f t="shared" si="14"/>
        <v>91.06695904604544</v>
      </c>
      <c r="AA47" s="174">
        <f t="shared" si="15"/>
        <v>1000000000</v>
      </c>
      <c r="AB47" s="174">
        <f t="shared" si="16"/>
        <v>524.82228100000009</v>
      </c>
      <c r="AD47" s="701">
        <f t="shared" si="17"/>
        <v>62.855649009827623</v>
      </c>
      <c r="AE47" s="702">
        <f t="shared" si="18"/>
        <v>-87.635180601415982</v>
      </c>
      <c r="AG47" s="701">
        <f t="shared" si="19"/>
        <v>27.044956620472792</v>
      </c>
      <c r="AH47" s="702">
        <f t="shared" si="20"/>
        <v>-1.264871392931477</v>
      </c>
      <c r="AJ47" s="174">
        <f t="shared" si="21"/>
        <v>0</v>
      </c>
      <c r="AK47" s="174">
        <f t="shared" si="35"/>
        <v>0</v>
      </c>
      <c r="AM47" s="174" t="str">
        <f t="shared" si="29"/>
        <v>8.45679709593483E-08+0.000411261394228819i</v>
      </c>
      <c r="AN47" s="174" t="str">
        <f t="shared" si="30"/>
        <v>0.000411261405822i</v>
      </c>
      <c r="AO47" s="174" t="str">
        <f t="shared" si="31"/>
        <v>0.999999971810676-0.000205630700479467i</v>
      </c>
      <c r="AP47" s="174" t="str">
        <f t="shared" si="32"/>
        <v>0.166666652572005-0.0000685435657048032i</v>
      </c>
      <c r="AQ47" s="174" t="str">
        <f t="shared" si="33"/>
        <v>0.833333347427995+0.0000685435657048032i</v>
      </c>
      <c r="AR47" s="174" t="str">
        <f t="shared" si="34"/>
        <v>0.999599976330441-0.0000822193745967252i</v>
      </c>
    </row>
    <row r="48" spans="1:44" x14ac:dyDescent="0.2">
      <c r="G48" s="703">
        <v>25.119</v>
      </c>
      <c r="H48" s="691">
        <f t="shared" si="26"/>
        <v>2.5118999999999999E-2</v>
      </c>
      <c r="I48" s="692">
        <f t="shared" si="0"/>
        <v>1.0003002533432459</v>
      </c>
      <c r="J48" s="693">
        <f t="shared" si="1"/>
        <v>2.45021727920001E-2</v>
      </c>
      <c r="K48" s="693">
        <f t="shared" si="2"/>
        <v>1.0000000000921152</v>
      </c>
      <c r="L48" s="694">
        <f t="shared" si="3"/>
        <v>1.3573150512526667E-5</v>
      </c>
      <c r="M48" s="693">
        <f t="shared" si="4"/>
        <v>1.0000000005138794</v>
      </c>
      <c r="N48" s="694">
        <f t="shared" si="5"/>
        <v>-3.2058676710253084E-5</v>
      </c>
      <c r="O48" s="692">
        <f t="shared" si="6"/>
        <v>45.465270222200189</v>
      </c>
      <c r="P48" s="695">
        <f t="shared" si="7"/>
        <v>1.5487997425607241</v>
      </c>
      <c r="Q48" s="704">
        <f t="shared" si="8"/>
        <v>1.0001793320794103</v>
      </c>
      <c r="R48" s="705">
        <f t="shared" si="9"/>
        <v>1.8937015790002839E-2</v>
      </c>
      <c r="S48" s="692">
        <f t="shared" si="10"/>
        <v>1.0000000079710292</v>
      </c>
      <c r="T48" s="695">
        <f t="shared" si="11"/>
        <v>1.2626186456960202E-4</v>
      </c>
      <c r="U48" s="696">
        <f t="shared" si="27"/>
        <v>0.99959996713943344</v>
      </c>
      <c r="V48" s="697">
        <f t="shared" si="28"/>
        <v>-3.1565465706889561E-4</v>
      </c>
      <c r="W48" s="698">
        <f t="shared" si="12"/>
        <v>63.706036084330748</v>
      </c>
      <c r="X48" s="699">
        <f t="shared" si="13"/>
        <v>-89.084927764234592</v>
      </c>
      <c r="Y48" s="702">
        <f t="shared" si="14"/>
        <v>90.915072235765408</v>
      </c>
      <c r="AA48" s="174">
        <f t="shared" si="15"/>
        <v>1000000000</v>
      </c>
      <c r="AB48" s="174">
        <f t="shared" si="16"/>
        <v>630.96416099999999</v>
      </c>
      <c r="AD48" s="701">
        <f t="shared" si="17"/>
        <v>62.056411585143152</v>
      </c>
      <c r="AE48" s="702">
        <f t="shared" si="18"/>
        <v>-87.661911850459774</v>
      </c>
      <c r="AG48" s="701">
        <f t="shared" si="19"/>
        <v>27.04451812798429</v>
      </c>
      <c r="AH48" s="702">
        <f t="shared" si="20"/>
        <v>-1.3868445544660946</v>
      </c>
      <c r="AJ48" s="174">
        <f t="shared" si="21"/>
        <v>0</v>
      </c>
      <c r="AK48" s="174">
        <f t="shared" si="35"/>
        <v>0</v>
      </c>
      <c r="AM48" s="174" t="str">
        <f t="shared" si="29"/>
        <v>1.01671290053673E-07+0.000450935217719611i</v>
      </c>
      <c r="AN48" s="174" t="str">
        <f t="shared" si="30"/>
        <v>0.000450935233002i</v>
      </c>
      <c r="AO48" s="174" t="str">
        <f t="shared" si="31"/>
        <v>0.99999996610957-0.000225467611782781i</v>
      </c>
      <c r="AP48" s="174" t="str">
        <f t="shared" si="32"/>
        <v>0.166666649721452-0.0000751558696199352i</v>
      </c>
      <c r="AQ48" s="174" t="str">
        <f t="shared" si="33"/>
        <v>0.833333350278548+0.0000751558696199352i</v>
      </c>
      <c r="AR48" s="174" t="str">
        <f t="shared" si="34"/>
        <v>0.999599971543428-0.0000901509643269376i</v>
      </c>
    </row>
    <row r="49" spans="7:44" x14ac:dyDescent="0.2">
      <c r="G49" s="703">
        <v>27.542000000000002</v>
      </c>
      <c r="H49" s="691">
        <f t="shared" si="26"/>
        <v>2.7542000000000001E-2</v>
      </c>
      <c r="I49" s="692">
        <f t="shared" si="0"/>
        <v>1.000360961537206</v>
      </c>
      <c r="J49" s="693">
        <f t="shared" si="1"/>
        <v>2.6864586091990855E-2</v>
      </c>
      <c r="K49" s="693">
        <f t="shared" si="2"/>
        <v>1.0000000001107434</v>
      </c>
      <c r="L49" s="694">
        <f t="shared" si="3"/>
        <v>1.4882428098704844E-5</v>
      </c>
      <c r="M49" s="693">
        <f t="shared" si="4"/>
        <v>1.0000000006177994</v>
      </c>
      <c r="N49" s="694">
        <f t="shared" si="5"/>
        <v>-3.5151083796831842E-5</v>
      </c>
      <c r="O49" s="692">
        <f t="shared" si="6"/>
        <v>49.848860314302385</v>
      </c>
      <c r="P49" s="695">
        <f t="shared" si="7"/>
        <v>1.5507343418792083</v>
      </c>
      <c r="Q49" s="704">
        <f t="shared" si="8"/>
        <v>1.0002155938494581</v>
      </c>
      <c r="R49" s="705">
        <f t="shared" si="9"/>
        <v>2.0763194487337166E-2</v>
      </c>
      <c r="S49" s="692">
        <f t="shared" si="10"/>
        <v>1.0000000095829817</v>
      </c>
      <c r="T49" s="695">
        <f t="shared" si="11"/>
        <v>1.3844119074162708E-4</v>
      </c>
      <c r="U49" s="696">
        <f t="shared" si="27"/>
        <v>0.99959996049415933</v>
      </c>
      <c r="V49" s="697">
        <f t="shared" si="28"/>
        <v>-3.4610297271191464E-4</v>
      </c>
      <c r="W49" s="698">
        <f t="shared" si="12"/>
        <v>62.906314648624075</v>
      </c>
      <c r="X49" s="699">
        <f t="shared" si="13"/>
        <v>-89.229040669719694</v>
      </c>
      <c r="Y49" s="702">
        <f t="shared" si="14"/>
        <v>90.770959330280306</v>
      </c>
      <c r="AA49" s="174">
        <f t="shared" si="15"/>
        <v>1000000000</v>
      </c>
      <c r="AB49" s="174">
        <f t="shared" si="16"/>
        <v>758.56176400000004</v>
      </c>
      <c r="AD49" s="701">
        <f t="shared" si="17"/>
        <v>61.257217336515055</v>
      </c>
      <c r="AE49" s="702">
        <f t="shared" si="18"/>
        <v>-87.668821718458716</v>
      </c>
      <c r="AG49" s="701">
        <f t="shared" si="19"/>
        <v>27.043991056392159</v>
      </c>
      <c r="AH49" s="702">
        <f t="shared" si="20"/>
        <v>-1.5205584719889995</v>
      </c>
      <c r="AJ49" s="174">
        <f t="shared" si="21"/>
        <v>0</v>
      </c>
      <c r="AK49" s="174">
        <f t="shared" si="35"/>
        <v>0</v>
      </c>
      <c r="AM49" s="174" t="str">
        <f t="shared" si="29"/>
        <v>1.22231908039616E-07+0.000494432807090844i</v>
      </c>
      <c r="AN49" s="174" t="str">
        <f t="shared" si="30"/>
        <v>0.000494432827236i</v>
      </c>
      <c r="AO49" s="174" t="str">
        <f t="shared" si="31"/>
        <v>0.99999995925603-0.000247216408997198i</v>
      </c>
      <c r="AP49" s="174" t="str">
        <f t="shared" si="32"/>
        <v>0.166666646294682-0.000082405467848474i</v>
      </c>
      <c r="AQ49" s="174" t="str">
        <f t="shared" si="33"/>
        <v>0.833333353705318+0.000082405467848474i</v>
      </c>
      <c r="AR49" s="174" t="str">
        <f t="shared" si="34"/>
        <v>0.999599965788758-0.0000988470009941179i</v>
      </c>
    </row>
    <row r="50" spans="7:44" x14ac:dyDescent="0.2">
      <c r="G50" s="703">
        <v>30.2</v>
      </c>
      <c r="H50" s="691">
        <f t="shared" si="26"/>
        <v>3.0199999999999998E-2</v>
      </c>
      <c r="I50" s="692">
        <f t="shared" si="0"/>
        <v>1.0004339782989999</v>
      </c>
      <c r="J50" s="693">
        <f t="shared" si="1"/>
        <v>2.9455777343791376E-2</v>
      </c>
      <c r="K50" s="693">
        <f t="shared" si="2"/>
        <v>1.0000000001331499</v>
      </c>
      <c r="L50" s="694">
        <f t="shared" si="3"/>
        <v>1.6318688859711442E-5</v>
      </c>
      <c r="M50" s="693">
        <f t="shared" si="4"/>
        <v>1.0000000007427974</v>
      </c>
      <c r="N50" s="694">
        <f t="shared" si="5"/>
        <v>-3.8543414805600872E-5</v>
      </c>
      <c r="O50" s="692">
        <f t="shared" si="6"/>
        <v>54.657781059289768</v>
      </c>
      <c r="P50" s="695">
        <f t="shared" si="7"/>
        <v>1.5524996492215892</v>
      </c>
      <c r="Q50" s="704">
        <f t="shared" si="8"/>
        <v>1.0002592088559337</v>
      </c>
      <c r="R50" s="705">
        <f t="shared" si="9"/>
        <v>2.2766329405052965E-2</v>
      </c>
      <c r="S50" s="692">
        <f t="shared" si="10"/>
        <v>1.0000000115218866</v>
      </c>
      <c r="T50" s="695">
        <f t="shared" si="11"/>
        <v>1.5180175568197161E-4</v>
      </c>
      <c r="U50" s="696">
        <f t="shared" si="27"/>
        <v>0.99959995250102551</v>
      </c>
      <c r="V50" s="697">
        <f t="shared" si="28"/>
        <v>-3.7950438349761714E-4</v>
      </c>
      <c r="W50" s="698">
        <f t="shared" si="12"/>
        <v>62.106124083110402</v>
      </c>
      <c r="X50" s="699">
        <f t="shared" si="13"/>
        <v>-89.366669814618248</v>
      </c>
      <c r="Y50" s="702">
        <f t="shared" si="14"/>
        <v>90.633330185381752</v>
      </c>
      <c r="AA50" s="174">
        <f t="shared" si="15"/>
        <v>1000000000</v>
      </c>
      <c r="AB50" s="174">
        <f t="shared" si="16"/>
        <v>912.04</v>
      </c>
      <c r="AD50" s="701">
        <f t="shared" si="17"/>
        <v>60.457660802729819</v>
      </c>
      <c r="AE50" s="702">
        <f t="shared" si="18"/>
        <v>-87.655960706108488</v>
      </c>
      <c r="AG50" s="701">
        <f t="shared" si="19"/>
        <v>27.04335716357425</v>
      </c>
      <c r="AH50" s="702">
        <f t="shared" si="20"/>
        <v>-1.6672211094978007</v>
      </c>
      <c r="AJ50" s="174">
        <f t="shared" si="21"/>
        <v>0</v>
      </c>
      <c r="AK50" s="174">
        <f t="shared" si="35"/>
        <v>0</v>
      </c>
      <c r="AM50" s="174" t="str">
        <f t="shared" si="29"/>
        <v>1.46962837010989E-07+0.000542149105041408i</v>
      </c>
      <c r="AN50" s="174" t="str">
        <f t="shared" si="30"/>
        <v>0.0005421491316i</v>
      </c>
      <c r="AO50" s="174" t="str">
        <f t="shared" si="31"/>
        <v>0.999999951012387-0.000271074559461655i</v>
      </c>
      <c r="AP50" s="174" t="str">
        <f t="shared" si="32"/>
        <v>0.166666642172861-0.000090358184173568i</v>
      </c>
      <c r="AQ50" s="174" t="str">
        <f t="shared" si="33"/>
        <v>0.833333357827139+0.000090358184173568i</v>
      </c>
      <c r="AR50" s="174" t="str">
        <f t="shared" si="34"/>
        <v>0.999599958866869-0.000108386441434065i</v>
      </c>
    </row>
    <row r="51" spans="7:44" x14ac:dyDescent="0.2">
      <c r="G51" s="703">
        <v>33.113</v>
      </c>
      <c r="H51" s="691">
        <f t="shared" si="26"/>
        <v>3.3112999999999997E-2</v>
      </c>
      <c r="I51" s="692">
        <f t="shared" si="0"/>
        <v>1.0005217135767095</v>
      </c>
      <c r="J51" s="693">
        <f t="shared" si="1"/>
        <v>3.2295103553422522E-2</v>
      </c>
      <c r="K51" s="693">
        <f t="shared" si="2"/>
        <v>1.0000000001600751</v>
      </c>
      <c r="L51" s="694">
        <f t="shared" si="3"/>
        <v>1.7892739874235941E-5</v>
      </c>
      <c r="M51" s="693">
        <f t="shared" si="4"/>
        <v>1.0000000008930043</v>
      </c>
      <c r="N51" s="694">
        <f t="shared" si="5"/>
        <v>-4.2261195176491946E-5</v>
      </c>
      <c r="O51" s="692">
        <f t="shared" si="6"/>
        <v>59.928216969610546</v>
      </c>
      <c r="P51" s="695">
        <f t="shared" si="7"/>
        <v>1.5541089220353892</v>
      </c>
      <c r="Q51" s="704">
        <f t="shared" si="8"/>
        <v>1.0003116173491504</v>
      </c>
      <c r="R51" s="705">
        <f t="shared" si="9"/>
        <v>2.4961428225123063E-2</v>
      </c>
      <c r="S51" s="692">
        <f t="shared" si="10"/>
        <v>1.0000000138518179</v>
      </c>
      <c r="T51" s="695">
        <f t="shared" si="11"/>
        <v>1.6644409033408453E-4</v>
      </c>
      <c r="U51" s="696">
        <f t="shared" si="27"/>
        <v>0.99959994289588505</v>
      </c>
      <c r="V51" s="697">
        <f t="shared" si="28"/>
        <v>-4.1611021783751655E-4</v>
      </c>
      <c r="W51" s="698">
        <f t="shared" si="12"/>
        <v>61.306230175399477</v>
      </c>
      <c r="X51" s="699">
        <f t="shared" si="13"/>
        <v>-89.498844995989288</v>
      </c>
      <c r="Y51" s="702">
        <f t="shared" si="14"/>
        <v>90.501155004010712</v>
      </c>
      <c r="AA51" s="174">
        <f t="shared" si="15"/>
        <v>1000000000</v>
      </c>
      <c r="AB51" s="174">
        <f t="shared" si="16"/>
        <v>1096.470769</v>
      </c>
      <c r="AD51" s="701">
        <f t="shared" si="17"/>
        <v>59.658528671910112</v>
      </c>
      <c r="AE51" s="702">
        <f t="shared" si="18"/>
        <v>-87.623234292360593</v>
      </c>
      <c r="AG51" s="701">
        <f t="shared" si="19"/>
        <v>27.042595553608187</v>
      </c>
      <c r="AH51" s="702">
        <f t="shared" si="20"/>
        <v>-1.8279279849854839</v>
      </c>
      <c r="AJ51" s="174">
        <f t="shared" si="21"/>
        <v>0</v>
      </c>
      <c r="AK51" s="174">
        <f t="shared" si="35"/>
        <v>0</v>
      </c>
      <c r="AM51" s="174" t="str">
        <f t="shared" si="29"/>
        <v>1.76681344998819E-07+0.000594443150244992i</v>
      </c>
      <c r="AN51" s="174" t="str">
        <f t="shared" si="30"/>
        <v>0.000594443185254i</v>
      </c>
      <c r="AO51" s="174" t="str">
        <f t="shared" si="31"/>
        <v>0.999999941106217-0.000297221583797491i</v>
      </c>
      <c r="AP51" s="174" t="str">
        <f t="shared" si="32"/>
        <v>0.166666637219776-0.0000990738583741653i</v>
      </c>
      <c r="AQ51" s="174" t="str">
        <f t="shared" si="33"/>
        <v>0.833333362780224+0.0000990738583741653i</v>
      </c>
      <c r="AR51" s="174" t="str">
        <f t="shared" si="34"/>
        <v>0.999599950549016-0.000118841064518419i</v>
      </c>
    </row>
    <row r="52" spans="7:44" x14ac:dyDescent="0.2">
      <c r="G52" s="703">
        <v>36.308</v>
      </c>
      <c r="H52" s="691">
        <f t="shared" si="26"/>
        <v>3.6308E-2</v>
      </c>
      <c r="I52" s="692">
        <f t="shared" si="0"/>
        <v>1.0006272155704754</v>
      </c>
      <c r="J52" s="693">
        <f t="shared" si="1"/>
        <v>3.5408697039957533E-2</v>
      </c>
      <c r="K52" s="693">
        <f t="shared" si="2"/>
        <v>1.0000000001924558</v>
      </c>
      <c r="L52" s="694">
        <f t="shared" si="3"/>
        <v>1.9619170698509181E-5</v>
      </c>
      <c r="M52" s="693">
        <f t="shared" si="4"/>
        <v>1.0000000010736461</v>
      </c>
      <c r="N52" s="694">
        <f t="shared" si="5"/>
        <v>-4.6338884253413549E-5</v>
      </c>
      <c r="O52" s="692">
        <f t="shared" si="6"/>
        <v>65.709018605443291</v>
      </c>
      <c r="P52" s="695">
        <f t="shared" si="7"/>
        <v>1.5555771281785067</v>
      </c>
      <c r="Q52" s="704">
        <f t="shared" si="8"/>
        <v>1.0003746412044572</v>
      </c>
      <c r="R52" s="705">
        <f t="shared" si="9"/>
        <v>2.7368751468684262E-2</v>
      </c>
      <c r="S52" s="692">
        <f t="shared" si="10"/>
        <v>1.000000016653839</v>
      </c>
      <c r="T52" s="695">
        <f t="shared" si="11"/>
        <v>1.825039114716595E-4</v>
      </c>
      <c r="U52" s="696">
        <f t="shared" si="27"/>
        <v>0.99959993134455438</v>
      </c>
      <c r="V52" s="697">
        <f t="shared" si="28"/>
        <v>-4.5625976808664798E-4</v>
      </c>
      <c r="W52" s="698">
        <f t="shared" si="12"/>
        <v>60.505988941972177</v>
      </c>
      <c r="X52" s="699">
        <f t="shared" si="13"/>
        <v>-89.626788592633332</v>
      </c>
      <c r="Y52" s="702">
        <f t="shared" si="14"/>
        <v>90.373211407366668</v>
      </c>
      <c r="AA52" s="174">
        <f t="shared" si="15"/>
        <v>1000000000</v>
      </c>
      <c r="AB52" s="174">
        <f t="shared" si="16"/>
        <v>1318.2708640000001</v>
      </c>
      <c r="AD52" s="701">
        <f t="shared" si="17"/>
        <v>58.859203389556704</v>
      </c>
      <c r="AE52" s="702">
        <f t="shared" si="18"/>
        <v>-87.570347005947099</v>
      </c>
      <c r="AG52" s="701">
        <f t="shared" si="19"/>
        <v>27.041679803281763</v>
      </c>
      <c r="AH52" s="702">
        <f t="shared" si="20"/>
        <v>-2.0041580684805336</v>
      </c>
      <c r="AJ52" s="174">
        <f t="shared" si="21"/>
        <v>0</v>
      </c>
      <c r="AK52" s="174">
        <f t="shared" si="35"/>
        <v>0</v>
      </c>
      <c r="AM52" s="174" t="str">
        <f t="shared" si="29"/>
        <v>2.12421411016628E-07+0.000651799644911929i</v>
      </c>
      <c r="AN52" s="174" t="str">
        <f t="shared" si="30"/>
        <v>0.000651799691064i</v>
      </c>
      <c r="AO52" s="174" t="str">
        <f t="shared" si="31"/>
        <v>0.999999929192862-0.000325899833842926i</v>
      </c>
      <c r="AP52" s="174" t="str">
        <f t="shared" si="32"/>
        <v>0.166666631263098-0.000108633274151988i</v>
      </c>
      <c r="AQ52" s="174" t="str">
        <f t="shared" si="33"/>
        <v>0.833333368736902+0.000108633274151988i</v>
      </c>
      <c r="AR52" s="174" t="str">
        <f t="shared" si="34"/>
        <v>0.999599940545802-0.000130307771724315i</v>
      </c>
    </row>
    <row r="53" spans="7:44" x14ac:dyDescent="0.2">
      <c r="G53" s="703">
        <v>39.811</v>
      </c>
      <c r="H53" s="691">
        <f t="shared" si="26"/>
        <v>3.9810999999999999E-2</v>
      </c>
      <c r="I53" s="692">
        <f t="shared" si="0"/>
        <v>1.0007540338143106</v>
      </c>
      <c r="J53" s="693">
        <f t="shared" si="1"/>
        <v>3.8821651514318489E-2</v>
      </c>
      <c r="K53" s="693">
        <f t="shared" si="2"/>
        <v>1.0000000002313838</v>
      </c>
      <c r="L53" s="694">
        <f t="shared" si="3"/>
        <v>2.151203053481544E-5</v>
      </c>
      <c r="M53" s="693">
        <f t="shared" si="4"/>
        <v>1.000000001290811</v>
      </c>
      <c r="N53" s="694">
        <f t="shared" si="5"/>
        <v>-5.0809665108118409E-5</v>
      </c>
      <c r="O53" s="692">
        <f t="shared" si="6"/>
        <v>72.047228540231046</v>
      </c>
      <c r="P53" s="695">
        <f t="shared" si="7"/>
        <v>1.5569160966859112</v>
      </c>
      <c r="Q53" s="704">
        <f t="shared" si="8"/>
        <v>1.000450402313698</v>
      </c>
      <c r="R53" s="705">
        <f t="shared" si="9"/>
        <v>3.0007776551301057E-2</v>
      </c>
      <c r="S53" s="692">
        <f t="shared" si="10"/>
        <v>1.0000000200223884</v>
      </c>
      <c r="T53" s="695">
        <f t="shared" si="11"/>
        <v>2.0011190931149442E-4</v>
      </c>
      <c r="U53" s="696">
        <f t="shared" si="27"/>
        <v>0.99959991745771326</v>
      </c>
      <c r="V53" s="697">
        <f t="shared" si="28"/>
        <v>-5.0027976005271105E-4</v>
      </c>
      <c r="W53" s="698">
        <f t="shared" si="12"/>
        <v>59.705699836489586</v>
      </c>
      <c r="X53" s="699">
        <f t="shared" si="13"/>
        <v>-89.751527452649185</v>
      </c>
      <c r="Y53" s="702">
        <f t="shared" si="14"/>
        <v>90.248472547350815</v>
      </c>
      <c r="AA53" s="174">
        <f t="shared" si="15"/>
        <v>1000000000</v>
      </c>
      <c r="AB53" s="174">
        <f t="shared" si="16"/>
        <v>1584.9157210000001</v>
      </c>
      <c r="AD53" s="701">
        <f t="shared" si="17"/>
        <v>58.060015171570811</v>
      </c>
      <c r="AE53" s="702">
        <f t="shared" si="18"/>
        <v>-87.496868114937143</v>
      </c>
      <c r="AG53" s="701">
        <f t="shared" si="19"/>
        <v>27.040579157120774</v>
      </c>
      <c r="AH53" s="702">
        <f t="shared" si="20"/>
        <v>-2.197331499992857</v>
      </c>
      <c r="AJ53" s="174">
        <f t="shared" si="21"/>
        <v>0</v>
      </c>
      <c r="AK53" s="174">
        <f t="shared" si="35"/>
        <v>0</v>
      </c>
      <c r="AM53" s="174" t="str">
        <f t="shared" si="29"/>
        <v>2.55387599956691E-07+0.000714685339097403i</v>
      </c>
      <c r="AN53" s="174" t="str">
        <f t="shared" si="30"/>
        <v>0.000714685399938i</v>
      </c>
      <c r="AO53" s="174" t="str">
        <f t="shared" si="31"/>
        <v>0.999999914870799-0.0003573426852974i</v>
      </c>
      <c r="AP53" s="174" t="str">
        <f t="shared" si="32"/>
        <v>0.166666624102067-0.000119114223182901i</v>
      </c>
      <c r="AQ53" s="174" t="str">
        <f t="shared" si="33"/>
        <v>0.833333375897933+0.000119114223182901i</v>
      </c>
      <c r="AR53" s="174" t="str">
        <f t="shared" si="34"/>
        <v>0.999599928520085-0.000142879875477274i</v>
      </c>
    </row>
    <row r="54" spans="7:44" x14ac:dyDescent="0.2">
      <c r="G54" s="703">
        <v>43.652000000000001</v>
      </c>
      <c r="H54" s="691">
        <f t="shared" si="26"/>
        <v>4.3652000000000003E-2</v>
      </c>
      <c r="I54" s="692">
        <f t="shared" si="0"/>
        <v>1.0009064833918837</v>
      </c>
      <c r="J54" s="693">
        <f t="shared" si="1"/>
        <v>4.2562874927190616E-2</v>
      </c>
      <c r="K54" s="693">
        <f t="shared" si="2"/>
        <v>1.0000000002781859</v>
      </c>
      <c r="L54" s="694">
        <f t="shared" si="3"/>
        <v>2.3587530001167116E-5</v>
      </c>
      <c r="M54" s="693">
        <f t="shared" si="4"/>
        <v>1.0000000015519037</v>
      </c>
      <c r="N54" s="694">
        <f t="shared" si="5"/>
        <v>-5.5711825900216661E-5</v>
      </c>
      <c r="O54" s="692">
        <f t="shared" si="6"/>
        <v>78.997127755713734</v>
      </c>
      <c r="P54" s="695">
        <f t="shared" si="7"/>
        <v>1.5581373006074832</v>
      </c>
      <c r="Q54" s="704">
        <f t="shared" si="8"/>
        <v>1.0005414806730948</v>
      </c>
      <c r="R54" s="705">
        <f t="shared" si="9"/>
        <v>3.2900955958967158E-2</v>
      </c>
      <c r="S54" s="692">
        <f t="shared" si="10"/>
        <v>1.000000024072323</v>
      </c>
      <c r="T54" s="695">
        <f t="shared" si="11"/>
        <v>2.194188802511986E-4</v>
      </c>
      <c r="U54" s="696">
        <f t="shared" si="27"/>
        <v>0.99959990076186123</v>
      </c>
      <c r="V54" s="697">
        <f t="shared" si="28"/>
        <v>-5.4854718246253621E-4</v>
      </c>
      <c r="W54" s="698">
        <f t="shared" si="12"/>
        <v>58.905286865997112</v>
      </c>
      <c r="X54" s="699">
        <f t="shared" si="13"/>
        <v>-89.874120309066001</v>
      </c>
      <c r="Y54" s="702">
        <f t="shared" si="14"/>
        <v>90.125879690933999</v>
      </c>
      <c r="AA54" s="174">
        <f t="shared" si="15"/>
        <v>1000000000</v>
      </c>
      <c r="AB54" s="174">
        <f t="shared" si="16"/>
        <v>1905.497104</v>
      </c>
      <c r="AD54" s="701">
        <f t="shared" si="17"/>
        <v>57.260925405205711</v>
      </c>
      <c r="AE54" s="702">
        <f t="shared" si="18"/>
        <v>-87.402177183976434</v>
      </c>
      <c r="AG54" s="701">
        <f t="shared" si="19"/>
        <v>27.039256243146138</v>
      </c>
      <c r="AH54" s="702">
        <f t="shared" si="20"/>
        <v>-2.4090842481799424</v>
      </c>
      <c r="AJ54" s="174">
        <f t="shared" si="21"/>
        <v>0</v>
      </c>
      <c r="AK54" s="174">
        <f t="shared" si="35"/>
        <v>0</v>
      </c>
      <c r="AM54" s="174" t="str">
        <f t="shared" si="29"/>
        <v>3.07044924041655E-07+0.000783638790411886i</v>
      </c>
      <c r="AN54" s="174" t="str">
        <f t="shared" si="30"/>
        <v>0.000783638870616i</v>
      </c>
      <c r="AO54" s="174" t="str">
        <f t="shared" si="31"/>
        <v>0.99999989765169-0.000391819415236886i</v>
      </c>
      <c r="AP54" s="174" t="str">
        <f t="shared" si="32"/>
        <v>0.166666615492513-0.000130606465068648i</v>
      </c>
      <c r="AQ54" s="174" t="str">
        <f t="shared" si="33"/>
        <v>0.833333384507487+0.000130606465068648i</v>
      </c>
      <c r="AR54" s="174" t="str">
        <f t="shared" si="34"/>
        <v>0.999599914061823-0.000156665043889606i</v>
      </c>
    </row>
    <row r="55" spans="7:44" x14ac:dyDescent="0.2">
      <c r="G55" s="703">
        <v>47.863</v>
      </c>
      <c r="H55" s="691">
        <f t="shared" si="26"/>
        <v>4.7863000000000003E-2</v>
      </c>
      <c r="I55" s="692">
        <f t="shared" si="0"/>
        <v>1.0010897117237223</v>
      </c>
      <c r="J55" s="693">
        <f t="shared" si="1"/>
        <v>4.6663113555113142E-2</v>
      </c>
      <c r="K55" s="693">
        <f t="shared" si="2"/>
        <v>1.0000000003344462</v>
      </c>
      <c r="L55" s="694">
        <f t="shared" si="3"/>
        <v>2.5862960423428877E-5</v>
      </c>
      <c r="M55" s="693">
        <f t="shared" si="4"/>
        <v>1.0000000018657622</v>
      </c>
      <c r="N55" s="694">
        <f t="shared" si="5"/>
        <v>-6.1086207333091875E-5</v>
      </c>
      <c r="O55" s="692">
        <f t="shared" si="6"/>
        <v>86.616616984776286</v>
      </c>
      <c r="P55" s="695">
        <f t="shared" si="7"/>
        <v>1.5592509414965052</v>
      </c>
      <c r="Q55" s="704">
        <f t="shared" si="8"/>
        <v>1.0006509546514071</v>
      </c>
      <c r="R55" s="705">
        <f t="shared" si="9"/>
        <v>3.6072197857851679E-2</v>
      </c>
      <c r="S55" s="692">
        <f t="shared" si="10"/>
        <v>1.000000028940734</v>
      </c>
      <c r="T55" s="695">
        <f t="shared" si="11"/>
        <v>2.4058567376930269E-4</v>
      </c>
      <c r="U55" s="696">
        <f t="shared" si="27"/>
        <v>0.99959988069184147</v>
      </c>
      <c r="V55" s="697">
        <f t="shared" si="28"/>
        <v>-6.0146416072195713E-4</v>
      </c>
      <c r="W55" s="698">
        <f t="shared" si="12"/>
        <v>58.104848726586631</v>
      </c>
      <c r="X55" s="699">
        <f t="shared" si="13"/>
        <v>-89.99557706806138</v>
      </c>
      <c r="Y55" s="702">
        <f t="shared" si="14"/>
        <v>90.00442293193862</v>
      </c>
      <c r="AA55" s="174">
        <f t="shared" si="15"/>
        <v>1000000000</v>
      </c>
      <c r="AB55" s="174">
        <f t="shared" si="16"/>
        <v>2290.8667689999997</v>
      </c>
      <c r="AD55" s="701">
        <f t="shared" si="17"/>
        <v>56.462077351160076</v>
      </c>
      <c r="AE55" s="702">
        <f t="shared" si="18"/>
        <v>-87.285498097990541</v>
      </c>
      <c r="AG55" s="701">
        <f t="shared" si="19"/>
        <v>27.037666506572805</v>
      </c>
      <c r="AH55" s="702">
        <f t="shared" si="20"/>
        <v>-2.6411562541165705</v>
      </c>
      <c r="AJ55" s="174">
        <f t="shared" si="21"/>
        <v>0</v>
      </c>
      <c r="AK55" s="174">
        <f t="shared" si="35"/>
        <v>0</v>
      </c>
      <c r="AM55" s="174" t="str">
        <f t="shared" si="29"/>
        <v>3.69141996969802E-07+0.000859234460027476i</v>
      </c>
      <c r="AN55" s="174" t="str">
        <f t="shared" si="30"/>
        <v>0.000859234565754i</v>
      </c>
      <c r="AO55" s="174" t="str">
        <f t="shared" si="31"/>
        <v>0.999999876952664-0.000429617256663634i</v>
      </c>
      <c r="AP55" s="174" t="str">
        <f t="shared" si="32"/>
        <v>0.166666605143-0.000143205743337913i</v>
      </c>
      <c r="AQ55" s="174" t="str">
        <f t="shared" si="33"/>
        <v>0.833333394857+0.000143205743337913i</v>
      </c>
      <c r="AR55" s="174" t="str">
        <f t="shared" si="34"/>
        <v>0.999599896681602-0.000171778122811644i</v>
      </c>
    </row>
    <row r="56" spans="7:44" x14ac:dyDescent="0.2">
      <c r="G56" s="703">
        <v>52.481000000000002</v>
      </c>
      <c r="H56" s="691">
        <f t="shared" si="26"/>
        <v>5.2481E-2</v>
      </c>
      <c r="I56" s="692">
        <f t="shared" si="0"/>
        <v>1.001309990632177</v>
      </c>
      <c r="J56" s="693">
        <f t="shared" si="1"/>
        <v>5.1157837446158948E-2</v>
      </c>
      <c r="K56" s="693">
        <f t="shared" si="2"/>
        <v>1.000000000402097</v>
      </c>
      <c r="L56" s="694">
        <f t="shared" si="3"/>
        <v>2.8358314897117932E-5</v>
      </c>
      <c r="M56" s="693">
        <f t="shared" si="4"/>
        <v>1.0000000022431623</v>
      </c>
      <c r="N56" s="694">
        <f t="shared" si="5"/>
        <v>-6.6980031469849349E-5</v>
      </c>
      <c r="O56" s="692">
        <f t="shared" si="6"/>
        <v>94.97264496581198</v>
      </c>
      <c r="P56" s="695">
        <f t="shared" si="7"/>
        <v>1.56026678453415</v>
      </c>
      <c r="Q56" s="704">
        <f t="shared" si="8"/>
        <v>1.0007825760175795</v>
      </c>
      <c r="R56" s="705">
        <f t="shared" si="9"/>
        <v>3.9549108809389624E-2</v>
      </c>
      <c r="S56" s="692">
        <f t="shared" si="10"/>
        <v>1.0000000347947651</v>
      </c>
      <c r="T56" s="695">
        <f t="shared" si="11"/>
        <v>2.6379827206424075E-4</v>
      </c>
      <c r="U56" s="696">
        <f t="shared" si="27"/>
        <v>0.99959985655860728</v>
      </c>
      <c r="V56" s="697">
        <f t="shared" si="28"/>
        <v>-6.5949564838713691E-4</v>
      </c>
      <c r="W56" s="698">
        <f t="shared" si="12"/>
        <v>57.30413355763244</v>
      </c>
      <c r="X56" s="699">
        <f t="shared" si="13"/>
        <v>-90.116946633876864</v>
      </c>
      <c r="Y56" s="702">
        <f t="shared" si="14"/>
        <v>89.883053366123136</v>
      </c>
      <c r="AA56" s="174">
        <f t="shared" si="15"/>
        <v>1000000000</v>
      </c>
      <c r="AB56" s="174">
        <f t="shared" si="16"/>
        <v>2754.255361</v>
      </c>
      <c r="AD56" s="701">
        <f t="shared" si="17"/>
        <v>55.663273413392858</v>
      </c>
      <c r="AE56" s="702">
        <f t="shared" si="18"/>
        <v>-87.14581927718362</v>
      </c>
      <c r="AG56" s="701">
        <f t="shared" si="19"/>
        <v>27.035755694790854</v>
      </c>
      <c r="AH56" s="702">
        <f t="shared" si="20"/>
        <v>-2.8955547220872244</v>
      </c>
      <c r="AJ56" s="174">
        <f t="shared" si="21"/>
        <v>0</v>
      </c>
      <c r="AK56" s="174">
        <f t="shared" si="35"/>
        <v>0</v>
      </c>
      <c r="AM56" s="174" t="str">
        <f t="shared" si="29"/>
        <v>4.43810755035301E-07+0.000942136568421195i</v>
      </c>
      <c r="AN56" s="174" t="str">
        <f t="shared" si="30"/>
        <v>0.000942136707798i</v>
      </c>
      <c r="AO56" s="174" t="str">
        <f t="shared" si="31"/>
        <v>0.999999852063078-0.000471068318813937i</v>
      </c>
      <c r="AP56" s="174" t="str">
        <f t="shared" si="32"/>
        <v>0.166666592698207-0.000157022761403532i</v>
      </c>
      <c r="AQ56" s="174" t="str">
        <f t="shared" si="33"/>
        <v>0.833333407301793+0.000157022761403532i</v>
      </c>
      <c r="AR56" s="174" t="str">
        <f t="shared" si="34"/>
        <v>0.999599875782721-0.000188351902634316i</v>
      </c>
    </row>
    <row r="57" spans="7:44" x14ac:dyDescent="0.2">
      <c r="G57" s="703">
        <v>57.544000000000004</v>
      </c>
      <c r="H57" s="691">
        <f t="shared" si="26"/>
        <v>5.7544000000000005E-2</v>
      </c>
      <c r="I57" s="692">
        <f t="shared" si="0"/>
        <v>1.0015747319343606</v>
      </c>
      <c r="J57" s="693">
        <f t="shared" si="1"/>
        <v>5.6083299181723605E-2</v>
      </c>
      <c r="K57" s="693">
        <f t="shared" si="2"/>
        <v>1.0000000004834224</v>
      </c>
      <c r="L57" s="694">
        <f t="shared" si="3"/>
        <v>3.109412687165413E-5</v>
      </c>
      <c r="M57" s="693">
        <f t="shared" si="4"/>
        <v>1.0000000026968487</v>
      </c>
      <c r="N57" s="694">
        <f t="shared" si="5"/>
        <v>-7.3441796645171573E-5</v>
      </c>
      <c r="O57" s="692">
        <f t="shared" si="6"/>
        <v>104.13397070992566</v>
      </c>
      <c r="P57" s="695">
        <f t="shared" si="7"/>
        <v>1.5611931649883575</v>
      </c>
      <c r="Q57" s="704">
        <f t="shared" si="8"/>
        <v>1.0009407800234023</v>
      </c>
      <c r="R57" s="705">
        <f t="shared" si="9"/>
        <v>4.3359959851221298E-2</v>
      </c>
      <c r="S57" s="692">
        <f t="shared" si="10"/>
        <v>1.0000000418321129</v>
      </c>
      <c r="T57" s="695">
        <f t="shared" si="11"/>
        <v>2.8924768385599892E-4</v>
      </c>
      <c r="U57" s="696">
        <f t="shared" si="27"/>
        <v>0.99959982754715815</v>
      </c>
      <c r="V57" s="697">
        <f t="shared" si="28"/>
        <v>-7.2311916846192891E-4</v>
      </c>
      <c r="W57" s="698">
        <f t="shared" si="12"/>
        <v>56.503332096268899</v>
      </c>
      <c r="X57" s="699">
        <f t="shared" si="13"/>
        <v>-90.239203797274982</v>
      </c>
      <c r="Y57" s="702">
        <f t="shared" si="14"/>
        <v>89.760796202725018</v>
      </c>
      <c r="AA57" s="174">
        <f t="shared" si="15"/>
        <v>1000000000</v>
      </c>
      <c r="AB57" s="174">
        <f t="shared" si="16"/>
        <v>3311.3119360000005</v>
      </c>
      <c r="AD57" s="701">
        <f t="shared" si="17"/>
        <v>54.864768401267618</v>
      </c>
      <c r="AE57" s="702">
        <f t="shared" si="18"/>
        <v>-86.982009430082726</v>
      </c>
      <c r="AG57" s="701">
        <f t="shared" si="19"/>
        <v>27.033459749734799</v>
      </c>
      <c r="AH57" s="702">
        <f t="shared" si="20"/>
        <v>-3.174331014221826</v>
      </c>
      <c r="AJ57" s="174">
        <f t="shared" si="21"/>
        <v>0</v>
      </c>
      <c r="AK57" s="174">
        <f t="shared" si="35"/>
        <v>0</v>
      </c>
      <c r="AM57" s="174" t="str">
        <f t="shared" si="29"/>
        <v>5.33572831029616E-07+0.0010330272874202i</v>
      </c>
      <c r="AN57" s="174" t="str">
        <f t="shared" si="30"/>
        <v>0.001033027471152i</v>
      </c>
      <c r="AO57" s="174" t="str">
        <f t="shared" si="31"/>
        <v>0.999999822142387-0.000516513690032456i</v>
      </c>
      <c r="AP57" s="174" t="str">
        <f t="shared" si="32"/>
        <v>0.166666577737862-0.000172171214570033i</v>
      </c>
      <c r="AQ57" s="174" t="str">
        <f t="shared" si="33"/>
        <v>0.833333422262138+0.000172171214570033i</v>
      </c>
      <c r="AR57" s="174" t="str">
        <f t="shared" si="34"/>
        <v>0.999599850659406-0.000206522762407477i</v>
      </c>
    </row>
    <row r="58" spans="7:44" x14ac:dyDescent="0.2">
      <c r="G58" s="703">
        <v>63.095999999999997</v>
      </c>
      <c r="H58" s="691">
        <f t="shared" si="26"/>
        <v>6.3095999999999999E-2</v>
      </c>
      <c r="I58" s="692">
        <f t="shared" si="0"/>
        <v>1.0018929587645187</v>
      </c>
      <c r="J58" s="693">
        <f t="shared" si="1"/>
        <v>6.1481338675485844E-2</v>
      </c>
      <c r="K58" s="693">
        <f t="shared" si="2"/>
        <v>1.0000000005812062</v>
      </c>
      <c r="L58" s="694">
        <f t="shared" si="3"/>
        <v>3.4094171920026293E-5</v>
      </c>
      <c r="M58" s="693">
        <f t="shared" si="4"/>
        <v>1.0000000032423519</v>
      </c>
      <c r="N58" s="694">
        <f t="shared" si="5"/>
        <v>-8.0527658825221507E-5</v>
      </c>
      <c r="O58" s="692">
        <f t="shared" si="6"/>
        <v>114.18021071689058</v>
      </c>
      <c r="P58" s="695">
        <f t="shared" si="7"/>
        <v>1.5620381297468122</v>
      </c>
      <c r="Q58" s="704">
        <f t="shared" si="8"/>
        <v>1.0011309681395053</v>
      </c>
      <c r="R58" s="705">
        <f t="shared" si="9"/>
        <v>4.753742230599764E-2</v>
      </c>
      <c r="S58" s="692">
        <f t="shared" si="10"/>
        <v>1.0000000502936737</v>
      </c>
      <c r="T58" s="695">
        <f t="shared" si="11"/>
        <v>3.1715507711711072E-4</v>
      </c>
      <c r="U58" s="696">
        <f t="shared" si="27"/>
        <v>0.99959979266439047</v>
      </c>
      <c r="V58" s="697">
        <f t="shared" si="28"/>
        <v>-7.9288763792667745E-4</v>
      </c>
      <c r="W58" s="698">
        <f t="shared" si="12"/>
        <v>55.70225444072954</v>
      </c>
      <c r="X58" s="699">
        <f t="shared" si="13"/>
        <v>-90.363381139590089</v>
      </c>
      <c r="Y58" s="702">
        <f t="shared" si="14"/>
        <v>89.636618860409911</v>
      </c>
      <c r="AA58" s="174">
        <f t="shared" si="15"/>
        <v>1000000000</v>
      </c>
      <c r="AB58" s="174">
        <f t="shared" si="16"/>
        <v>3981.1052159999995</v>
      </c>
      <c r="AD58" s="701">
        <f t="shared" si="17"/>
        <v>54.066450342202124</v>
      </c>
      <c r="AE58" s="702">
        <f t="shared" si="18"/>
        <v>-86.792670352481139</v>
      </c>
      <c r="AG58" s="701">
        <f t="shared" si="19"/>
        <v>27.030700759479274</v>
      </c>
      <c r="AH58" s="702">
        <f t="shared" si="20"/>
        <v>-3.4798525564425371</v>
      </c>
      <c r="AJ58" s="174">
        <f t="shared" si="21"/>
        <v>0</v>
      </c>
      <c r="AK58" s="174">
        <f t="shared" si="35"/>
        <v>0</v>
      </c>
      <c r="AM58" s="174" t="str">
        <f t="shared" si="29"/>
        <v>6.41500885967261E-07+0.00113269649975934i</v>
      </c>
      <c r="AN58" s="174" t="str">
        <f t="shared" si="30"/>
        <v>0.001132696741968i</v>
      </c>
      <c r="AO58" s="174" t="str">
        <f t="shared" si="31"/>
        <v>0.999999786166366-0.000566348310363008i</v>
      </c>
      <c r="AP58" s="174" t="str">
        <f t="shared" si="32"/>
        <v>0.166666559749852-0.00018878274995989i</v>
      </c>
      <c r="AQ58" s="174" t="str">
        <f t="shared" si="33"/>
        <v>0.833333440250148+0.00018878274995989i</v>
      </c>
      <c r="AR58" s="174" t="str">
        <f t="shared" si="34"/>
        <v>0.999599820451655-0.000226448614503733i</v>
      </c>
    </row>
    <row r="59" spans="7:44" x14ac:dyDescent="0.2">
      <c r="G59" s="703">
        <v>69.183000000000007</v>
      </c>
      <c r="H59" s="691">
        <f t="shared" si="26"/>
        <v>6.9183000000000008E-2</v>
      </c>
      <c r="I59" s="692">
        <f t="shared" si="0"/>
        <v>1.00227537679326</v>
      </c>
      <c r="J59" s="693">
        <f t="shared" si="1"/>
        <v>6.7395410885993365E-2</v>
      </c>
      <c r="K59" s="693">
        <f t="shared" si="2"/>
        <v>1.0000000006987557</v>
      </c>
      <c r="L59" s="694">
        <f t="shared" si="3"/>
        <v>3.738330632303686E-5</v>
      </c>
      <c r="M59" s="693">
        <f t="shared" si="4"/>
        <v>1.0000000038981205</v>
      </c>
      <c r="N59" s="694">
        <f t="shared" si="5"/>
        <v>-8.8296326519426144E-5</v>
      </c>
      <c r="O59" s="692">
        <f t="shared" si="6"/>
        <v>125.19460112579878</v>
      </c>
      <c r="P59" s="695">
        <f t="shared" si="7"/>
        <v>1.5628086769693854</v>
      </c>
      <c r="Q59" s="704">
        <f t="shared" si="8"/>
        <v>1.0013595522108936</v>
      </c>
      <c r="R59" s="705">
        <f t="shared" si="9"/>
        <v>5.2115519325279247E-2</v>
      </c>
      <c r="S59" s="692">
        <f t="shared" si="10"/>
        <v>1.0000000604656161</v>
      </c>
      <c r="T59" s="695">
        <f t="shared" si="11"/>
        <v>3.4775167286990735E-4</v>
      </c>
      <c r="U59" s="696">
        <f t="shared" si="27"/>
        <v>0.9995997507305826</v>
      </c>
      <c r="V59" s="697">
        <f t="shared" si="28"/>
        <v>-8.6937911013192624E-4</v>
      </c>
      <c r="W59" s="698">
        <f t="shared" si="12"/>
        <v>54.901027035571914</v>
      </c>
      <c r="X59" s="699">
        <f t="shared" si="13"/>
        <v>-90.490468336177685</v>
      </c>
      <c r="Y59" s="702">
        <f t="shared" si="14"/>
        <v>89.509531663822315</v>
      </c>
      <c r="AA59" s="174">
        <f t="shared" si="15"/>
        <v>1000000000</v>
      </c>
      <c r="AB59" s="174">
        <f t="shared" si="16"/>
        <v>4786.2874890000012</v>
      </c>
      <c r="AD59" s="701">
        <f t="shared" si="17"/>
        <v>53.26853802708095</v>
      </c>
      <c r="AE59" s="702">
        <f t="shared" si="18"/>
        <v>-86.576266874400673</v>
      </c>
      <c r="AG59" s="701">
        <f t="shared" si="19"/>
        <v>27.02738639819934</v>
      </c>
      <c r="AH59" s="702">
        <f t="shared" si="20"/>
        <v>-3.8145779540483735</v>
      </c>
      <c r="AJ59" s="174">
        <f t="shared" si="21"/>
        <v>0</v>
      </c>
      <c r="AK59" s="174">
        <f t="shared" si="35"/>
        <v>0</v>
      </c>
      <c r="AM59" s="174" t="str">
        <f t="shared" si="29"/>
        <v>7.71245026953693E-07+0.00124196999102618i</v>
      </c>
      <c r="AN59" s="174" t="str">
        <f t="shared" si="30"/>
        <v>0.001241970310314i</v>
      </c>
      <c r="AO59" s="174" t="str">
        <f t="shared" si="31"/>
        <v>0.999999742918315-0.000620985075527855i</v>
      </c>
      <c r="AP59" s="174" t="str">
        <f t="shared" si="32"/>
        <v>0.166666538125829-0.000206994998504363i</v>
      </c>
      <c r="AQ59" s="174" t="str">
        <f t="shared" si="33"/>
        <v>0.833333461874171+0.000206994998504363i</v>
      </c>
      <c r="AR59" s="174" t="str">
        <f t="shared" si="34"/>
        <v>0.999599784137852-0.000248294548687904i</v>
      </c>
    </row>
    <row r="60" spans="7:44" x14ac:dyDescent="0.2">
      <c r="G60" s="703">
        <v>75.858000000000004</v>
      </c>
      <c r="H60" s="691">
        <f t="shared" si="26"/>
        <v>7.5858000000000009E-2</v>
      </c>
      <c r="I60" s="692">
        <f t="shared" si="0"/>
        <v>1.0027350019387418</v>
      </c>
      <c r="J60" s="693">
        <f t="shared" si="1"/>
        <v>7.3875339901132181E-2</v>
      </c>
      <c r="K60" s="693">
        <f t="shared" si="2"/>
        <v>1.0000000008400969</v>
      </c>
      <c r="L60" s="694">
        <f t="shared" si="3"/>
        <v>4.0990168838959244E-5</v>
      </c>
      <c r="M60" s="693">
        <f t="shared" si="4"/>
        <v>1.0000000046866149</v>
      </c>
      <c r="N60" s="694">
        <f t="shared" si="5"/>
        <v>-9.6815442140262012E-5</v>
      </c>
      <c r="O60" s="692">
        <f t="shared" si="6"/>
        <v>137.27304512436766</v>
      </c>
      <c r="P60" s="695">
        <f t="shared" si="7"/>
        <v>1.5635115110183866</v>
      </c>
      <c r="Q60" s="704">
        <f t="shared" si="8"/>
        <v>1.0016343319203611</v>
      </c>
      <c r="R60" s="705">
        <f t="shared" si="9"/>
        <v>5.7133337953547303E-2</v>
      </c>
      <c r="S60" s="692">
        <f t="shared" si="10"/>
        <v>1.0000000726963281</v>
      </c>
      <c r="T60" s="695">
        <f t="shared" si="11"/>
        <v>3.8130387791032559E-4</v>
      </c>
      <c r="U60" s="696">
        <f t="shared" si="27"/>
        <v>0.99959970030950407</v>
      </c>
      <c r="V60" s="697">
        <f t="shared" si="28"/>
        <v>-9.5325959974156774E-4</v>
      </c>
      <c r="W60" s="698">
        <f t="shared" si="12"/>
        <v>54.099434022963997</v>
      </c>
      <c r="X60" s="699">
        <f t="shared" si="13"/>
        <v>-90.621520364534348</v>
      </c>
      <c r="Y60" s="702">
        <f t="shared" si="14"/>
        <v>89.378479635465652</v>
      </c>
      <c r="AA60" s="174">
        <f t="shared" si="15"/>
        <v>1000000000</v>
      </c>
      <c r="AB60" s="174">
        <f t="shared" si="16"/>
        <v>5754.4361640000006</v>
      </c>
      <c r="AD60" s="701">
        <f t="shared" si="17"/>
        <v>52.470927721524362</v>
      </c>
      <c r="AE60" s="702">
        <f t="shared" si="18"/>
        <v>-86.330958868806533</v>
      </c>
      <c r="AG60" s="701">
        <f t="shared" si="19"/>
        <v>27.023404567402611</v>
      </c>
      <c r="AH60" s="702">
        <f t="shared" si="20"/>
        <v>-4.1813259919119501</v>
      </c>
      <c r="AJ60" s="174">
        <f t="shared" si="21"/>
        <v>0</v>
      </c>
      <c r="AK60" s="174">
        <f t="shared" si="35"/>
        <v>0</v>
      </c>
      <c r="AM60" s="174" t="str">
        <f t="shared" si="29"/>
        <v>0.0000009272489730483+0.00136179920905487i</v>
      </c>
      <c r="AN60" s="174" t="str">
        <f t="shared" si="30"/>
        <v>0.001361799629964i</v>
      </c>
      <c r="AO60" s="174" t="str">
        <f t="shared" si="31"/>
        <v>0.999999690916989-0.000680899709946912i</v>
      </c>
      <c r="AP60" s="174" t="str">
        <f t="shared" si="32"/>
        <v>0.166666512125171-0.000226966534842478i</v>
      </c>
      <c r="AQ60" s="174" t="str">
        <f t="shared" si="33"/>
        <v>0.833333487874829+0.000226966534842478i</v>
      </c>
      <c r="AR60" s="174" t="str">
        <f t="shared" si="34"/>
        <v>0.999599740474255-0.000272250776701008i</v>
      </c>
    </row>
    <row r="61" spans="7:44" x14ac:dyDescent="0.2">
      <c r="G61" s="703">
        <v>83.176000000000002</v>
      </c>
      <c r="H61" s="691">
        <f t="shared" si="26"/>
        <v>8.3176E-2</v>
      </c>
      <c r="I61" s="692">
        <f t="shared" si="0"/>
        <v>1.0032872382937827</v>
      </c>
      <c r="J61" s="693">
        <f t="shared" si="1"/>
        <v>8.0972322867002844E-2</v>
      </c>
      <c r="K61" s="693">
        <f t="shared" si="2"/>
        <v>1.000000001010003</v>
      </c>
      <c r="L61" s="694">
        <f t="shared" si="3"/>
        <v>4.4944478933838079E-5</v>
      </c>
      <c r="M61" s="693">
        <f t="shared" si="4"/>
        <v>1.0000000056344633</v>
      </c>
      <c r="N61" s="694">
        <f t="shared" si="5"/>
        <v>-1.0615520064291079E-4</v>
      </c>
      <c r="O61" s="692">
        <f t="shared" si="6"/>
        <v>150.51506547094741</v>
      </c>
      <c r="P61" s="695">
        <f t="shared" si="7"/>
        <v>1.564152424712306</v>
      </c>
      <c r="Q61" s="704">
        <f t="shared" si="8"/>
        <v>1.0019645446687302</v>
      </c>
      <c r="R61" s="705">
        <f t="shared" si="9"/>
        <v>6.2631203959864698E-2</v>
      </c>
      <c r="S61" s="692">
        <f t="shared" si="10"/>
        <v>1.0000000873988577</v>
      </c>
      <c r="T61" s="695">
        <f t="shared" si="11"/>
        <v>4.1808815204995547E-4</v>
      </c>
      <c r="U61" s="696">
        <f t="shared" si="27"/>
        <v>0.99959963969837462</v>
      </c>
      <c r="V61" s="697">
        <f t="shared" si="28"/>
        <v>-1.0452202544905193E-3</v>
      </c>
      <c r="W61" s="698">
        <f t="shared" si="12"/>
        <v>53.297620071476608</v>
      </c>
      <c r="X61" s="699">
        <f t="shared" si="13"/>
        <v>-90.757549771637258</v>
      </c>
      <c r="Y61" s="702">
        <f t="shared" si="14"/>
        <v>89.242450228362742</v>
      </c>
      <c r="AA61" s="174">
        <f t="shared" si="15"/>
        <v>1000000000</v>
      </c>
      <c r="AB61" s="174">
        <f t="shared" si="16"/>
        <v>6918.2469760000004</v>
      </c>
      <c r="AD61" s="701">
        <f t="shared" si="17"/>
        <v>51.673896551183994</v>
      </c>
      <c r="AE61" s="702">
        <f t="shared" si="18"/>
        <v>-86.05478358335489</v>
      </c>
      <c r="AG61" s="701">
        <f t="shared" si="19"/>
        <v>27.018622839600429</v>
      </c>
      <c r="AH61" s="702">
        <f t="shared" si="20"/>
        <v>-4.5829927696577242</v>
      </c>
      <c r="AJ61" s="174">
        <f t="shared" si="21"/>
        <v>0</v>
      </c>
      <c r="AK61" s="174">
        <f t="shared" si="35"/>
        <v>0</v>
      </c>
      <c r="AM61" s="174" t="str">
        <f t="shared" si="29"/>
        <v>1.11478119102504E-06+0.00149317150375458i</v>
      </c>
      <c r="AN61" s="174" t="str">
        <f t="shared" si="30"/>
        <v>0.001493172058608i</v>
      </c>
      <c r="AO61" s="174" t="str">
        <f t="shared" si="31"/>
        <v>0.99999962840624-0.000746585890486249i</v>
      </c>
      <c r="AP61" s="174" t="str">
        <f t="shared" si="32"/>
        <v>0.166666480869801-0.00024886191729243i</v>
      </c>
      <c r="AQ61" s="174" t="str">
        <f t="shared" si="33"/>
        <v>0.833333519130199+0.00024886191729243i</v>
      </c>
      <c r="AR61" s="174" t="str">
        <f t="shared" si="34"/>
        <v>0.999599687986288-0.000298514687296907i</v>
      </c>
    </row>
    <row r="62" spans="7:44" x14ac:dyDescent="0.2">
      <c r="G62" s="703">
        <v>91.201000000000008</v>
      </c>
      <c r="H62" s="691">
        <f t="shared" si="26"/>
        <v>9.1201000000000004E-2</v>
      </c>
      <c r="I62" s="692">
        <f t="shared" si="0"/>
        <v>1.0039508494882983</v>
      </c>
      <c r="J62" s="693">
        <f t="shared" si="1"/>
        <v>8.874554090843649E-2</v>
      </c>
      <c r="K62" s="693">
        <f t="shared" si="2"/>
        <v>1.0000000012142995</v>
      </c>
      <c r="L62" s="694">
        <f t="shared" si="3"/>
        <v>4.928081925900134E-5</v>
      </c>
      <c r="M62" s="693">
        <f t="shared" si="4"/>
        <v>1.0000000067741639</v>
      </c>
      <c r="N62" s="694">
        <f t="shared" si="5"/>
        <v>-1.1639728342885125E-4</v>
      </c>
      <c r="O62" s="692">
        <f t="shared" si="6"/>
        <v>165.03647103422551</v>
      </c>
      <c r="P62" s="695">
        <f t="shared" si="7"/>
        <v>1.5647370229758479</v>
      </c>
      <c r="Q62" s="704">
        <f t="shared" si="8"/>
        <v>1.0023614510774799</v>
      </c>
      <c r="R62" s="705">
        <f t="shared" si="9"/>
        <v>6.8655857432396106E-2</v>
      </c>
      <c r="S62" s="692">
        <f t="shared" si="10"/>
        <v>1.0000001050772969</v>
      </c>
      <c r="T62" s="695">
        <f t="shared" si="11"/>
        <v>4.5842619392278333E-4</v>
      </c>
      <c r="U62" s="696">
        <f t="shared" si="27"/>
        <v>0.99959956681908724</v>
      </c>
      <c r="V62" s="697">
        <f t="shared" si="28"/>
        <v>-1.1460653190737517E-3</v>
      </c>
      <c r="W62" s="698">
        <f t="shared" si="12"/>
        <v>52.495316937695698</v>
      </c>
      <c r="X62" s="699">
        <f t="shared" si="13"/>
        <v>-90.899657725271879</v>
      </c>
      <c r="Y62" s="702">
        <f t="shared" si="14"/>
        <v>89.100342274728121</v>
      </c>
      <c r="AA62" s="174">
        <f t="shared" si="15"/>
        <v>1000000000</v>
      </c>
      <c r="AB62" s="174">
        <f t="shared" si="16"/>
        <v>8317.6224010000005</v>
      </c>
      <c r="AD62" s="701">
        <f t="shared" si="17"/>
        <v>50.877337307671063</v>
      </c>
      <c r="AE62" s="702">
        <f t="shared" si="18"/>
        <v>-85.745402578761258</v>
      </c>
      <c r="AG62" s="701">
        <f t="shared" si="19"/>
        <v>27.012880215882475</v>
      </c>
      <c r="AH62" s="702">
        <f t="shared" si="20"/>
        <v>-5.022925734702067</v>
      </c>
      <c r="AJ62" s="174">
        <f t="shared" si="21"/>
        <v>0</v>
      </c>
      <c r="AK62" s="174">
        <f t="shared" si="35"/>
        <v>0</v>
      </c>
      <c r="AM62" s="174" t="str">
        <f t="shared" si="29"/>
        <v>0.0000013402714139632+0.00163723579011083i</v>
      </c>
      <c r="AN62" s="174" t="str">
        <f t="shared" si="30"/>
        <v>0.001637236521558i</v>
      </c>
      <c r="AO62" s="174" t="str">
        <f t="shared" si="31"/>
        <v>0.999999553242821-0.000818618077666502i</v>
      </c>
      <c r="AP62" s="174" t="str">
        <f t="shared" si="32"/>
        <v>0.166666443288098-0.000272872631685138i</v>
      </c>
      <c r="AQ62" s="174" t="str">
        <f t="shared" si="33"/>
        <v>0.833333556711902+0.000272872631685138i</v>
      </c>
      <c r="AR62" s="174" t="str">
        <f t="shared" si="34"/>
        <v>0.999599624874356-0.000327315968586684i</v>
      </c>
    </row>
    <row r="63" spans="7:44" x14ac:dyDescent="0.2">
      <c r="G63" s="703">
        <v>100</v>
      </c>
      <c r="H63" s="691">
        <f t="shared" si="26"/>
        <v>0.1</v>
      </c>
      <c r="I63" s="692">
        <f t="shared" si="0"/>
        <v>1.0047480856281754</v>
      </c>
      <c r="J63" s="693">
        <f t="shared" si="1"/>
        <v>9.7256100095809025E-2</v>
      </c>
      <c r="K63" s="693">
        <f t="shared" si="2"/>
        <v>1.0000000014599117</v>
      </c>
      <c r="L63" s="694">
        <f t="shared" si="3"/>
        <v>5.4035393527408712E-5</v>
      </c>
      <c r="M63" s="693">
        <f t="shared" si="4"/>
        <v>1.0000000081443512</v>
      </c>
      <c r="N63" s="694">
        <f t="shared" si="5"/>
        <v>-1.2762720071328952E-4</v>
      </c>
      <c r="O63" s="692">
        <f t="shared" si="6"/>
        <v>180.95849972555874</v>
      </c>
      <c r="P63" s="695">
        <f t="shared" si="7"/>
        <v>1.5652701697408204</v>
      </c>
      <c r="Q63" s="704">
        <f t="shared" si="8"/>
        <v>1.0028384177533465</v>
      </c>
      <c r="R63" s="705">
        <f t="shared" si="9"/>
        <v>7.5255832051264057E-2</v>
      </c>
      <c r="S63" s="692">
        <f t="shared" si="10"/>
        <v>1.0000001263309282</v>
      </c>
      <c r="T63" s="695">
        <f t="shared" si="11"/>
        <v>5.0265478166610354E-4</v>
      </c>
      <c r="U63" s="696">
        <f t="shared" si="27"/>
        <v>0.99959947920110459</v>
      </c>
      <c r="V63" s="697">
        <f t="shared" si="28"/>
        <v>-1.2566367358036745E-3</v>
      </c>
      <c r="W63" s="698">
        <f t="shared" si="12"/>
        <v>51.69257225699198</v>
      </c>
      <c r="X63" s="699">
        <f t="shared" si="13"/>
        <v>-91.048913613865167</v>
      </c>
      <c r="Y63" s="702">
        <f t="shared" si="14"/>
        <v>88.951086386134833</v>
      </c>
      <c r="AA63" s="174">
        <f t="shared" si="15"/>
        <v>1000000000</v>
      </c>
      <c r="AB63" s="174">
        <f t="shared" si="16"/>
        <v>10000</v>
      </c>
      <c r="AD63" s="701">
        <f t="shared" si="17"/>
        <v>50.081488091419232</v>
      </c>
      <c r="AE63" s="702">
        <f t="shared" si="18"/>
        <v>-85.400333058717848</v>
      </c>
      <c r="AG63" s="701">
        <f t="shared" si="19"/>
        <v>27.005986274120637</v>
      </c>
      <c r="AH63" s="702">
        <f t="shared" si="20"/>
        <v>-5.5045805922974838</v>
      </c>
      <c r="AJ63" s="174">
        <f t="shared" si="21"/>
        <v>0</v>
      </c>
      <c r="AK63" s="174">
        <f t="shared" si="35"/>
        <v>0</v>
      </c>
      <c r="AM63" s="174" t="str">
        <f t="shared" si="29"/>
        <v>1.61136354703828E-06+0.00179519483576221i</v>
      </c>
      <c r="AN63" s="174" t="str">
        <f t="shared" si="30"/>
        <v>0.0017951958i</v>
      </c>
      <c r="AO63" s="174" t="str">
        <f t="shared" si="31"/>
        <v>0.999999462878762-0.000897597658727967i</v>
      </c>
      <c r="AP63" s="174" t="str">
        <f t="shared" si="32"/>
        <v>0.166666398106076-0.000299199139293702i</v>
      </c>
      <c r="AQ63" s="174" t="str">
        <f t="shared" si="33"/>
        <v>0.833333601893924+0.000299199139293702i</v>
      </c>
      <c r="AR63" s="174" t="str">
        <f t="shared" si="34"/>
        <v>0.999599548999029-0.000358895073976571i</v>
      </c>
    </row>
    <row r="64" spans="7:44" x14ac:dyDescent="0.2">
      <c r="G64" s="703">
        <v>109.65</v>
      </c>
      <c r="H64" s="691">
        <f t="shared" si="26"/>
        <v>0.10965000000000001</v>
      </c>
      <c r="I64" s="692">
        <f t="shared" si="0"/>
        <v>1.005705955206722</v>
      </c>
      <c r="J64" s="693">
        <f t="shared" si="1"/>
        <v>0.10657349629057351</v>
      </c>
      <c r="K64" s="693">
        <f t="shared" si="2"/>
        <v>1.0000000017552699</v>
      </c>
      <c r="L64" s="694">
        <f t="shared" si="3"/>
        <v>5.9249808991137048E-5</v>
      </c>
      <c r="M64" s="693">
        <f t="shared" si="4"/>
        <v>1.0000000097920532</v>
      </c>
      <c r="N64" s="694">
        <f t="shared" si="5"/>
        <v>-1.3994322542839881E-4</v>
      </c>
      <c r="O64" s="692">
        <f t="shared" si="6"/>
        <v>198.42048514286753</v>
      </c>
      <c r="P64" s="695">
        <f t="shared" si="7"/>
        <v>1.5657565032474636</v>
      </c>
      <c r="Q64" s="704">
        <f t="shared" si="8"/>
        <v>1.0034116879119217</v>
      </c>
      <c r="R64" s="705">
        <f t="shared" si="9"/>
        <v>8.2486561188769111E-2</v>
      </c>
      <c r="S64" s="692">
        <f t="shared" si="10"/>
        <v>1.0000001518892205</v>
      </c>
      <c r="T64" s="695">
        <f t="shared" si="11"/>
        <v>5.5116095870572806E-4</v>
      </c>
      <c r="U64" s="696">
        <f t="shared" si="27"/>
        <v>0.99959937383719788</v>
      </c>
      <c r="V64" s="697">
        <f t="shared" si="28"/>
        <v>-1.3779021091827111E-3</v>
      </c>
      <c r="W64" s="698">
        <f t="shared" si="12"/>
        <v>50.889107894392183</v>
      </c>
      <c r="X64" s="699">
        <f t="shared" si="13"/>
        <v>-91.206469772599846</v>
      </c>
      <c r="Y64" s="702">
        <f t="shared" si="14"/>
        <v>88.793530227400154</v>
      </c>
      <c r="AA64" s="174">
        <f t="shared" si="15"/>
        <v>1000000000</v>
      </c>
      <c r="AB64" s="174">
        <f t="shared" si="16"/>
        <v>12023.122500000001</v>
      </c>
      <c r="AD64" s="701">
        <f t="shared" si="17"/>
        <v>49.286301315149302</v>
      </c>
      <c r="AE64" s="702">
        <f t="shared" si="18"/>
        <v>-85.0166868524893</v>
      </c>
      <c r="AG64" s="701">
        <f t="shared" si="19"/>
        <v>26.997710518882791</v>
      </c>
      <c r="AH64" s="702">
        <f t="shared" si="20"/>
        <v>-6.0318869690534358</v>
      </c>
      <c r="AJ64" s="174">
        <f t="shared" si="21"/>
        <v>0</v>
      </c>
      <c r="AK64" s="174">
        <f t="shared" si="35"/>
        <v>0</v>
      </c>
      <c r="AM64" s="174" t="str">
        <f t="shared" si="29"/>
        <v>1.93736202702688E-06+0.00196843092351124i</v>
      </c>
      <c r="AN64" s="174" t="str">
        <f t="shared" si="30"/>
        <v>0.0019684321947i</v>
      </c>
      <c r="AO64" s="174" t="str">
        <f t="shared" si="31"/>
        <v>0.999999354212574-0.000984215779564683i</v>
      </c>
      <c r="AP64" s="174" t="str">
        <f t="shared" si="32"/>
        <v>0.166666343772995-0.000328071820585207i</v>
      </c>
      <c r="AQ64" s="174" t="str">
        <f t="shared" si="33"/>
        <v>0.833333656227005+0.000328071820585207i</v>
      </c>
      <c r="AR64" s="174" t="str">
        <f t="shared" si="34"/>
        <v>0.999599457756121-0.000393528344273069i</v>
      </c>
    </row>
    <row r="65" spans="7:44" x14ac:dyDescent="0.2">
      <c r="G65" s="703">
        <v>120.23</v>
      </c>
      <c r="H65" s="691">
        <f t="shared" si="26"/>
        <v>0.12023</v>
      </c>
      <c r="I65" s="692">
        <f t="shared" si="0"/>
        <v>1.0068562678405431</v>
      </c>
      <c r="J65" s="693">
        <f t="shared" si="1"/>
        <v>0.11676747834577368</v>
      </c>
      <c r="K65" s="693">
        <f t="shared" si="2"/>
        <v>1.0000000021103395</v>
      </c>
      <c r="L65" s="694">
        <f t="shared" si="3"/>
        <v>6.4966753609832701E-5</v>
      </c>
      <c r="M65" s="693">
        <f t="shared" si="4"/>
        <v>1.0000000117728656</v>
      </c>
      <c r="N65" s="694">
        <f t="shared" si="5"/>
        <v>-1.5344618304640023E-4</v>
      </c>
      <c r="O65" s="692">
        <f t="shared" si="6"/>
        <v>217.56538033415961</v>
      </c>
      <c r="P65" s="695">
        <f t="shared" si="7"/>
        <v>1.5661999911116962</v>
      </c>
      <c r="Q65" s="704">
        <f t="shared" si="8"/>
        <v>1.0041004209407165</v>
      </c>
      <c r="R65" s="705">
        <f t="shared" si="9"/>
        <v>9.0404187757273657E-2</v>
      </c>
      <c r="S65" s="692">
        <f t="shared" si="10"/>
        <v>1.0000001826145462</v>
      </c>
      <c r="T65" s="695">
        <f t="shared" si="11"/>
        <v>6.0434182132079544E-4</v>
      </c>
      <c r="U65" s="696">
        <f t="shared" si="27"/>
        <v>0.99959924717227022</v>
      </c>
      <c r="V65" s="697">
        <f t="shared" si="28"/>
        <v>-1.5108541739587919E-3</v>
      </c>
      <c r="W65" s="698">
        <f t="shared" si="12"/>
        <v>50.08507163504418</v>
      </c>
      <c r="X65" s="699">
        <f t="shared" si="13"/>
        <v>-91.373416054587537</v>
      </c>
      <c r="Y65" s="702">
        <f t="shared" si="14"/>
        <v>88.626583945412463</v>
      </c>
      <c r="AA65" s="174">
        <f t="shared" si="15"/>
        <v>1000000000</v>
      </c>
      <c r="AB65" s="174">
        <f t="shared" si="16"/>
        <v>14455.252900000001</v>
      </c>
      <c r="AD65" s="701">
        <f t="shared" si="17"/>
        <v>48.492195259891808</v>
      </c>
      <c r="AE65" s="702">
        <f t="shared" si="18"/>
        <v>-84.591497287731997</v>
      </c>
      <c r="AG65" s="701">
        <f t="shared" si="19"/>
        <v>26.987782516069476</v>
      </c>
      <c r="AH65" s="702">
        <f t="shared" si="20"/>
        <v>-6.6087876314025813</v>
      </c>
      <c r="AJ65" s="174">
        <f t="shared" si="21"/>
        <v>0</v>
      </c>
      <c r="AK65" s="174">
        <f t="shared" si="35"/>
        <v>0</v>
      </c>
      <c r="AM65" s="174" t="str">
        <f t="shared" si="29"/>
        <v>2.32926648002785E-06+0.00215836223453817i</v>
      </c>
      <c r="AN65" s="174" t="str">
        <f t="shared" si="30"/>
        <v>0.00215836391034i</v>
      </c>
      <c r="AO65" s="174" t="str">
        <f t="shared" si="31"/>
        <v>0.999999223577719-0.00107918153600934i</v>
      </c>
      <c r="AP65" s="174" t="str">
        <f t="shared" si="32"/>
        <v>0.166666278455587-0.000359727039089695i</v>
      </c>
      <c r="AQ65" s="174" t="str">
        <f t="shared" si="33"/>
        <v>0.833333721544413+0.000359727039089695i</v>
      </c>
      <c r="AR65" s="174" t="str">
        <f t="shared" si="34"/>
        <v>0.999599348066993-0.000431499295491986i</v>
      </c>
    </row>
    <row r="66" spans="7:44" x14ac:dyDescent="0.2">
      <c r="G66" s="703">
        <v>131.83000000000001</v>
      </c>
      <c r="H66" s="691">
        <f t="shared" si="26"/>
        <v>0.13183</v>
      </c>
      <c r="I66" s="692">
        <f t="shared" si="0"/>
        <v>1.0082374311286166</v>
      </c>
      <c r="J66" s="693">
        <f t="shared" si="1"/>
        <v>0.12791622037142228</v>
      </c>
      <c r="K66" s="693">
        <f t="shared" si="2"/>
        <v>1.0000000025372024</v>
      </c>
      <c r="L66" s="694">
        <f t="shared" si="3"/>
        <v>7.1234859236022477E-5</v>
      </c>
      <c r="M66" s="693">
        <f t="shared" si="4"/>
        <v>1.0000000141541894</v>
      </c>
      <c r="N66" s="694">
        <f t="shared" si="5"/>
        <v>-1.6825093802622234E-4</v>
      </c>
      <c r="O66" s="692">
        <f t="shared" si="6"/>
        <v>238.55604356526609</v>
      </c>
      <c r="P66" s="695">
        <f t="shared" si="7"/>
        <v>1.5666044274251267</v>
      </c>
      <c r="Q66" s="704">
        <f t="shared" si="8"/>
        <v>1.0049277877872267</v>
      </c>
      <c r="R66" s="705">
        <f t="shared" si="9"/>
        <v>9.9072060706415777E-2</v>
      </c>
      <c r="S66" s="692">
        <f t="shared" si="10"/>
        <v>1.0000002195523907</v>
      </c>
      <c r="T66" s="695">
        <f t="shared" si="11"/>
        <v>6.6264975748830859E-4</v>
      </c>
      <c r="U66" s="696">
        <f t="shared" si="27"/>
        <v>0.99959909489633436</v>
      </c>
      <c r="V66" s="697">
        <f t="shared" si="28"/>
        <v>-1.6566238937777054E-3</v>
      </c>
      <c r="W66" s="698">
        <f t="shared" si="12"/>
        <v>49.280304700096053</v>
      </c>
      <c r="X66" s="699">
        <f t="shared" si="13"/>
        <v>-91.55091377860019</v>
      </c>
      <c r="Y66" s="702">
        <f t="shared" si="14"/>
        <v>88.44908622139981</v>
      </c>
      <c r="AA66" s="174">
        <f t="shared" si="15"/>
        <v>1000000000</v>
      </c>
      <c r="AB66" s="174">
        <f t="shared" si="16"/>
        <v>17379.148900000004</v>
      </c>
      <c r="AD66" s="701">
        <f t="shared" si="17"/>
        <v>47.699336398865633</v>
      </c>
      <c r="AE66" s="702">
        <f t="shared" si="18"/>
        <v>-84.121378042349264</v>
      </c>
      <c r="AG66" s="701">
        <f t="shared" si="19"/>
        <v>26.975877088512213</v>
      </c>
      <c r="AH66" s="702">
        <f t="shared" si="20"/>
        <v>-7.2397006213260191</v>
      </c>
      <c r="AJ66" s="174">
        <f t="shared" si="21"/>
        <v>0</v>
      </c>
      <c r="AK66" s="174">
        <f t="shared" si="35"/>
        <v>0</v>
      </c>
      <c r="AM66" s="174" t="str">
        <f t="shared" si="29"/>
        <v>0.0000028004121469527+0.00236660441398161i</v>
      </c>
      <c r="AN66" s="174" t="str">
        <f t="shared" si="30"/>
        <v>0.00236660662314i</v>
      </c>
      <c r="AO66" s="174" t="str">
        <f t="shared" si="31"/>
        <v>0.99999906652911-0.00118330275913668i</v>
      </c>
      <c r="AP66" s="174" t="str">
        <f t="shared" si="32"/>
        <v>0.166666199931309-0.000394434068996935i</v>
      </c>
      <c r="AQ66" s="174" t="str">
        <f t="shared" si="33"/>
        <v>0.833333800068691+0.000394434068996935i</v>
      </c>
      <c r="AR66" s="174" t="str">
        <f t="shared" si="34"/>
        <v>0.999599216199299-0.00047313091846165i</v>
      </c>
    </row>
    <row r="67" spans="7:44" x14ac:dyDescent="0.2">
      <c r="G67" s="703">
        <v>144.54</v>
      </c>
      <c r="H67" s="691">
        <f t="shared" si="26"/>
        <v>0.14454</v>
      </c>
      <c r="I67" s="692">
        <f t="shared" si="0"/>
        <v>1.0098942128973314</v>
      </c>
      <c r="J67" s="693">
        <f t="shared" si="1"/>
        <v>0.14009508382919375</v>
      </c>
      <c r="K67" s="693">
        <f t="shared" si="2"/>
        <v>1.0000000030500202</v>
      </c>
      <c r="L67" s="694">
        <f t="shared" si="3"/>
        <v>7.8102757721721974E-5</v>
      </c>
      <c r="M67" s="693">
        <f t="shared" si="4"/>
        <v>1.0000000170150252</v>
      </c>
      <c r="N67" s="694">
        <f t="shared" si="5"/>
        <v>-1.8447235482005927E-4</v>
      </c>
      <c r="O67" s="692">
        <f t="shared" si="6"/>
        <v>261.55533338782777</v>
      </c>
      <c r="P67" s="695">
        <f t="shared" si="7"/>
        <v>1.5669730347086221</v>
      </c>
      <c r="Q67" s="704">
        <f t="shared" si="8"/>
        <v>1.0059208564882176</v>
      </c>
      <c r="R67" s="705">
        <f t="shared" si="9"/>
        <v>0.10855219526449746</v>
      </c>
      <c r="S67" s="692">
        <f t="shared" si="10"/>
        <v>1.0000002639281766</v>
      </c>
      <c r="T67" s="695">
        <f t="shared" si="11"/>
        <v>7.2653715477385007E-4</v>
      </c>
      <c r="U67" s="696">
        <f t="shared" si="27"/>
        <v>0.99959891195762873</v>
      </c>
      <c r="V67" s="697">
        <f t="shared" si="28"/>
        <v>-1.8163422280261061E-3</v>
      </c>
      <c r="W67" s="698">
        <f t="shared" si="12"/>
        <v>48.475157433045062</v>
      </c>
      <c r="X67" s="699">
        <f t="shared" si="13"/>
        <v>-91.740006778275003</v>
      </c>
      <c r="Y67" s="702">
        <f t="shared" si="14"/>
        <v>88.259993221724997</v>
      </c>
      <c r="AA67" s="174">
        <f t="shared" si="15"/>
        <v>1000000000</v>
      </c>
      <c r="AB67" s="174">
        <f t="shared" si="16"/>
        <v>20891.811599999997</v>
      </c>
      <c r="AD67" s="701">
        <f t="shared" si="17"/>
        <v>46.908452028229888</v>
      </c>
      <c r="AE67" s="702">
        <f t="shared" si="18"/>
        <v>-83.602986462233318</v>
      </c>
      <c r="AG67" s="701">
        <f t="shared" si="19"/>
        <v>26.961617371342648</v>
      </c>
      <c r="AH67" s="702">
        <f t="shared" si="20"/>
        <v>-7.9288828281692965</v>
      </c>
      <c r="AJ67" s="174">
        <f t="shared" si="21"/>
        <v>0</v>
      </c>
      <c r="AK67" s="174">
        <f t="shared" si="35"/>
        <v>0</v>
      </c>
      <c r="AM67" s="174" t="str">
        <f t="shared" si="29"/>
        <v>3.36642938003617E-06+0.00259477309760928i</v>
      </c>
      <c r="AN67" s="174" t="str">
        <f t="shared" si="30"/>
        <v>0.00259477600932i</v>
      </c>
      <c r="AO67" s="174" t="str">
        <f t="shared" si="31"/>
        <v>0.99999887785662-0.0012973872765682i</v>
      </c>
      <c r="AP67" s="174" t="str">
        <f t="shared" si="32"/>
        <v>0.166666105595103-0.00043246218293488i</v>
      </c>
      <c r="AQ67" s="174" t="str">
        <f t="shared" si="33"/>
        <v>0.833333894404897+0.00043246218293488i</v>
      </c>
      <c r="AR67" s="174" t="str">
        <f t="shared" si="34"/>
        <v>0.999599057778336-0.000518746199439272i</v>
      </c>
    </row>
    <row r="68" spans="7:44" x14ac:dyDescent="0.2">
      <c r="G68" s="703">
        <v>158.49</v>
      </c>
      <c r="H68" s="691">
        <f t="shared" si="26"/>
        <v>0.15849000000000002</v>
      </c>
      <c r="I68" s="692">
        <f t="shared" si="0"/>
        <v>1.0118844488843306</v>
      </c>
      <c r="J68" s="693">
        <f t="shared" si="1"/>
        <v>0.15341401632597701</v>
      </c>
      <c r="K68" s="693">
        <f t="shared" si="2"/>
        <v>1.0000000036671643</v>
      </c>
      <c r="L68" s="694">
        <f t="shared" si="3"/>
        <v>8.5640695075569638E-5</v>
      </c>
      <c r="M68" s="693">
        <f t="shared" si="4"/>
        <v>1.000000020457861</v>
      </c>
      <c r="N68" s="694">
        <f t="shared" si="5"/>
        <v>-2.0227634875000472E-4</v>
      </c>
      <c r="O68" s="692">
        <f t="shared" si="6"/>
        <v>286.79849039038578</v>
      </c>
      <c r="P68" s="695">
        <f t="shared" si="7"/>
        <v>1.5673095510280186</v>
      </c>
      <c r="Q68" s="704">
        <f t="shared" si="8"/>
        <v>1.0071146538787563</v>
      </c>
      <c r="R68" s="705">
        <f t="shared" si="9"/>
        <v>0.1189346583606246</v>
      </c>
      <c r="S68" s="692">
        <f t="shared" si="10"/>
        <v>1.0000003173316399</v>
      </c>
      <c r="T68" s="695">
        <f t="shared" si="11"/>
        <v>7.9665746202118941E-4</v>
      </c>
      <c r="U68" s="696">
        <f t="shared" si="27"/>
        <v>0.99959869180253824</v>
      </c>
      <c r="V68" s="697">
        <f t="shared" si="28"/>
        <v>-1.9916427864664975E-3</v>
      </c>
      <c r="W68" s="698">
        <f t="shared" si="12"/>
        <v>47.668090761945777</v>
      </c>
      <c r="X68" s="699">
        <f t="shared" si="13"/>
        <v>-91.942184828194058</v>
      </c>
      <c r="Y68" s="702">
        <f t="shared" si="14"/>
        <v>88.057815171805942</v>
      </c>
      <c r="AA68" s="174">
        <f t="shared" si="15"/>
        <v>1000000000</v>
      </c>
      <c r="AB68" s="174">
        <f t="shared" si="16"/>
        <v>25119.080100000003</v>
      </c>
      <c r="AD68" s="701">
        <f t="shared" si="17"/>
        <v>46.118487994764195</v>
      </c>
      <c r="AE68" s="702">
        <f t="shared" si="18"/>
        <v>-83.031413707723928</v>
      </c>
      <c r="AG68" s="701">
        <f t="shared" si="19"/>
        <v>26.944518559729694</v>
      </c>
      <c r="AH68" s="702">
        <f t="shared" si="20"/>
        <v>-8.6825456682849342</v>
      </c>
      <c r="AJ68" s="174">
        <f t="shared" si="21"/>
        <v>0</v>
      </c>
      <c r="AK68" s="174">
        <f t="shared" si="35"/>
        <v>0</v>
      </c>
      <c r="AM68" s="174" t="str">
        <f t="shared" si="29"/>
        <v>4.04759535799215E-06+0.00284520198467167i</v>
      </c>
      <c r="AN68" s="174" t="str">
        <f t="shared" si="30"/>
        <v>0.00284520582342i</v>
      </c>
      <c r="AO68" s="174" t="str">
        <f t="shared" si="31"/>
        <v>0.999998650801183-0.00142260195191322i</v>
      </c>
      <c r="AP68" s="174" t="str">
        <f t="shared" si="32"/>
        <v>0.16666599206744-0.000474200330778612i</v>
      </c>
      <c r="AQ68" s="174" t="str">
        <f t="shared" si="33"/>
        <v>0.83333400793256+0.000474200330778612i</v>
      </c>
      <c r="AR68" s="174" t="str">
        <f t="shared" si="34"/>
        <v>0.999598867128831-0.000568811675662201i</v>
      </c>
    </row>
    <row r="69" spans="7:44" x14ac:dyDescent="0.2">
      <c r="G69" s="703">
        <v>173.78</v>
      </c>
      <c r="H69" s="691">
        <f t="shared" si="26"/>
        <v>0.17377999999999999</v>
      </c>
      <c r="I69" s="692">
        <f t="shared" si="0"/>
        <v>1.0142711836853258</v>
      </c>
      <c r="J69" s="693">
        <f t="shared" si="1"/>
        <v>0.16794941489243798</v>
      </c>
      <c r="K69" s="693">
        <f t="shared" si="2"/>
        <v>1.0000000044088591</v>
      </c>
      <c r="L69" s="694">
        <f t="shared" si="3"/>
        <v>9.3902706687321437E-5</v>
      </c>
      <c r="M69" s="693">
        <f t="shared" si="4"/>
        <v>1.0000000245955238</v>
      </c>
      <c r="N69" s="694">
        <f t="shared" si="5"/>
        <v>-2.2179054696707816E-4</v>
      </c>
      <c r="O69" s="692">
        <f t="shared" si="6"/>
        <v>314.46646913165046</v>
      </c>
      <c r="P69" s="695">
        <f t="shared" si="7"/>
        <v>1.5676163321577652</v>
      </c>
      <c r="Q69" s="704">
        <f t="shared" si="8"/>
        <v>1.0085475117065466</v>
      </c>
      <c r="R69" s="705">
        <f t="shared" si="9"/>
        <v>0.13028483568942539</v>
      </c>
      <c r="S69" s="692">
        <f t="shared" si="10"/>
        <v>1.0000003815128911</v>
      </c>
      <c r="T69" s="695">
        <f t="shared" si="11"/>
        <v>8.7351333097613877E-4</v>
      </c>
      <c r="U69" s="696">
        <f t="shared" si="27"/>
        <v>0.99959842721632308</v>
      </c>
      <c r="V69" s="697">
        <f t="shared" si="28"/>
        <v>-2.1837821825819131E-3</v>
      </c>
      <c r="W69" s="698">
        <f t="shared" si="12"/>
        <v>46.860023912762088</v>
      </c>
      <c r="X69" s="699">
        <f t="shared" si="13"/>
        <v>-92.158318822343432</v>
      </c>
      <c r="Y69" s="702">
        <f t="shared" si="14"/>
        <v>87.841681177656568</v>
      </c>
      <c r="AA69" s="174">
        <f t="shared" si="15"/>
        <v>1000000000</v>
      </c>
      <c r="AB69" s="174">
        <f t="shared" si="16"/>
        <v>30199.488400000002</v>
      </c>
      <c r="AD69" s="701">
        <f t="shared" si="17"/>
        <v>45.330886711554882</v>
      </c>
      <c r="AE69" s="702">
        <f t="shared" si="18"/>
        <v>-82.403077230231247</v>
      </c>
      <c r="AG69" s="701">
        <f t="shared" si="19"/>
        <v>26.924057591934549</v>
      </c>
      <c r="AH69" s="702">
        <f t="shared" si="20"/>
        <v>-9.5049985869506166</v>
      </c>
      <c r="AJ69" s="174">
        <f t="shared" si="21"/>
        <v>0</v>
      </c>
      <c r="AK69" s="174">
        <f t="shared" si="35"/>
        <v>0</v>
      </c>
      <c r="AM69" s="174" t="str">
        <f t="shared" si="29"/>
        <v>0.0000048662328360205+0.00311968620085701i</v>
      </c>
      <c r="AN69" s="174" t="str">
        <f t="shared" si="30"/>
        <v>0.00311969126124i</v>
      </c>
      <c r="AO69" s="174" t="str">
        <f t="shared" si="31"/>
        <v>0.999998377921863-0.00155984436552426i</v>
      </c>
      <c r="AP69" s="174" t="str">
        <f t="shared" si="32"/>
        <v>0.166665855627861-0.000519947700142835i</v>
      </c>
      <c r="AQ69" s="174" t="str">
        <f t="shared" si="33"/>
        <v>0.833334144372139+0.000519947700142835i</v>
      </c>
      <c r="AR69" s="174" t="str">
        <f t="shared" si="34"/>
        <v>0.999598638003006-0.000623686208474226i</v>
      </c>
    </row>
    <row r="70" spans="7:44" x14ac:dyDescent="0.2">
      <c r="G70" s="703">
        <v>190.55</v>
      </c>
      <c r="H70" s="691">
        <f t="shared" si="26"/>
        <v>0.19055000000000002</v>
      </c>
      <c r="I70" s="692">
        <f t="shared" si="0"/>
        <v>1.017134107341263</v>
      </c>
      <c r="J70" s="693">
        <f t="shared" si="1"/>
        <v>0.18380959593913801</v>
      </c>
      <c r="K70" s="693">
        <f t="shared" si="2"/>
        <v>1.0000000053008382</v>
      </c>
      <c r="L70" s="694">
        <f t="shared" si="3"/>
        <v>1.0296444210282475E-4</v>
      </c>
      <c r="M70" s="693">
        <f t="shared" si="4"/>
        <v>1.000000029571571</v>
      </c>
      <c r="N70" s="694">
        <f t="shared" si="5"/>
        <v>-2.4319362748519767E-4</v>
      </c>
      <c r="O70" s="692">
        <f t="shared" si="6"/>
        <v>344.81260623356263</v>
      </c>
      <c r="P70" s="695">
        <f t="shared" si="7"/>
        <v>1.5678961967424692</v>
      </c>
      <c r="Q70" s="704">
        <f t="shared" si="8"/>
        <v>1.0102680073989703</v>
      </c>
      <c r="R70" s="705">
        <f t="shared" si="9"/>
        <v>0.14269485226703119</v>
      </c>
      <c r="S70" s="692">
        <f t="shared" si="10"/>
        <v>1.0000004586987119</v>
      </c>
      <c r="T70" s="695">
        <f t="shared" si="11"/>
        <v>9.5780847423499566E-4</v>
      </c>
      <c r="U70" s="696">
        <f t="shared" si="27"/>
        <v>0.99959810901920554</v>
      </c>
      <c r="V70" s="697">
        <f t="shared" si="28"/>
        <v>-2.3945196762270179E-3</v>
      </c>
      <c r="W70" s="698">
        <f t="shared" si="12"/>
        <v>46.050166860096112</v>
      </c>
      <c r="X70" s="699">
        <f t="shared" si="13"/>
        <v>-92.389644976752663</v>
      </c>
      <c r="Y70" s="702">
        <f t="shared" si="14"/>
        <v>87.610355023247337</v>
      </c>
      <c r="AA70" s="174">
        <f t="shared" si="15"/>
        <v>1000000000</v>
      </c>
      <c r="AB70" s="174">
        <f t="shared" si="16"/>
        <v>36309.302500000005</v>
      </c>
      <c r="AD70" s="701">
        <f t="shared" si="17"/>
        <v>44.545514986434867</v>
      </c>
      <c r="AE70" s="702">
        <f t="shared" si="18"/>
        <v>-81.712900471339296</v>
      </c>
      <c r="AG70" s="701">
        <f t="shared" si="19"/>
        <v>26.899577794260196</v>
      </c>
      <c r="AH70" s="702">
        <f t="shared" si="20"/>
        <v>-10.402352762282149</v>
      </c>
      <c r="AJ70" s="174">
        <f t="shared" si="21"/>
        <v>0</v>
      </c>
      <c r="AK70" s="174">
        <f t="shared" si="35"/>
        <v>0</v>
      </c>
      <c r="AM70" s="174" t="str">
        <f t="shared" si="29"/>
        <v>5.85074451397993E-06+0.00342073892559455i</v>
      </c>
      <c r="AN70" s="174" t="str">
        <f t="shared" si="30"/>
        <v>0.0034207455969i</v>
      </c>
      <c r="AO70" s="174" t="str">
        <f t="shared" si="31"/>
        <v>0.999998049751067-0.00171037113057518i</v>
      </c>
      <c r="AP70" s="174" t="str">
        <f t="shared" si="32"/>
        <v>0.166665691542581-0.000570123154265758i</v>
      </c>
      <c r="AQ70" s="174" t="str">
        <f t="shared" si="33"/>
        <v>0.833334308457419+0.000570123154265758i</v>
      </c>
      <c r="AR70" s="174" t="str">
        <f t="shared" si="34"/>
        <v>0.999598362451418-0.000683872205447316i</v>
      </c>
    </row>
    <row r="71" spans="7:44" x14ac:dyDescent="0.2">
      <c r="G71" s="703">
        <v>208.93</v>
      </c>
      <c r="H71" s="691">
        <f t="shared" si="26"/>
        <v>0.20893</v>
      </c>
      <c r="I71" s="692">
        <f t="shared" si="0"/>
        <v>1.0205639883902118</v>
      </c>
      <c r="J71" s="693">
        <f t="shared" si="1"/>
        <v>0.20108538241177318</v>
      </c>
      <c r="K71" s="693">
        <f t="shared" si="2"/>
        <v>1.0000000063727701</v>
      </c>
      <c r="L71" s="694">
        <f t="shared" si="3"/>
        <v>1.1289614732705318E-4</v>
      </c>
      <c r="M71" s="693">
        <f t="shared" si="4"/>
        <v>1.0000000355515137</v>
      </c>
      <c r="N71" s="694">
        <f t="shared" si="5"/>
        <v>-2.6665150557816843E-4</v>
      </c>
      <c r="O71" s="692">
        <f t="shared" si="6"/>
        <v>378.07214306318275</v>
      </c>
      <c r="P71" s="695">
        <f t="shared" si="7"/>
        <v>1.5681513258754853</v>
      </c>
      <c r="Q71" s="704">
        <f t="shared" si="8"/>
        <v>1.0123317371640148</v>
      </c>
      <c r="R71" s="705">
        <f t="shared" si="9"/>
        <v>0.15624551260267436</v>
      </c>
      <c r="S71" s="692">
        <f t="shared" si="10"/>
        <v>1.0000005514564272</v>
      </c>
      <c r="T71" s="695">
        <f t="shared" si="11"/>
        <v>1.0501963376915269E-3</v>
      </c>
      <c r="U71" s="696">
        <f t="shared" si="27"/>
        <v>0.99959772662759494</v>
      </c>
      <c r="V71" s="697">
        <f t="shared" si="28"/>
        <v>-2.625488854565196E-3</v>
      </c>
      <c r="W71" s="698">
        <f t="shared" si="12"/>
        <v>45.238816516427832</v>
      </c>
      <c r="X71" s="699">
        <f t="shared" si="13"/>
        <v>-92.636998791780499</v>
      </c>
      <c r="Y71" s="702">
        <f t="shared" si="14"/>
        <v>87.363001208219501</v>
      </c>
      <c r="AA71" s="174">
        <f t="shared" si="15"/>
        <v>1000000000</v>
      </c>
      <c r="AB71" s="174">
        <f t="shared" si="16"/>
        <v>43651.744900000005</v>
      </c>
      <c r="AD71" s="701">
        <f t="shared" si="17"/>
        <v>43.763408346171119</v>
      </c>
      <c r="AE71" s="702">
        <f t="shared" si="18"/>
        <v>-80.95641608083416</v>
      </c>
      <c r="AG71" s="701">
        <f t="shared" si="19"/>
        <v>26.870340736350357</v>
      </c>
      <c r="AH71" s="702">
        <f t="shared" si="20"/>
        <v>-11.379723849552116</v>
      </c>
      <c r="AJ71" s="174">
        <f t="shared" si="21"/>
        <v>0</v>
      </c>
      <c r="AK71" s="174">
        <f t="shared" si="35"/>
        <v>0</v>
      </c>
      <c r="AM71" s="174" t="str">
        <f t="shared" si="29"/>
        <v>7.03387669398481E-06+0.00375069379094271i</v>
      </c>
      <c r="AN71" s="174" t="str">
        <f t="shared" si="30"/>
        <v>0.00375070258494i</v>
      </c>
      <c r="AO71" s="174" t="str">
        <f t="shared" si="31"/>
        <v>0.999997655373336-0.00187534909385446i</v>
      </c>
      <c r="AP71" s="174" t="str">
        <f t="shared" si="32"/>
        <v>0.166665494353884-0.000625115631823785i</v>
      </c>
      <c r="AQ71" s="174" t="str">
        <f t="shared" si="33"/>
        <v>0.833334505646116+0.000625115631823785i</v>
      </c>
      <c r="AR71" s="174" t="str">
        <f t="shared" si="34"/>
        <v>0.999598031308966-0.000749836171042785i</v>
      </c>
    </row>
    <row r="72" spans="7:44" x14ac:dyDescent="0.2">
      <c r="G72" s="703">
        <v>229.09</v>
      </c>
      <c r="H72" s="691">
        <f t="shared" si="26"/>
        <v>0.22909000000000002</v>
      </c>
      <c r="I72" s="692">
        <f t="shared" si="0"/>
        <v>1.0246737725708894</v>
      </c>
      <c r="J72" s="693">
        <f t="shared" si="1"/>
        <v>0.21989497773450997</v>
      </c>
      <c r="K72" s="693">
        <f t="shared" si="2"/>
        <v>1.0000000076619429</v>
      </c>
      <c r="L72" s="694">
        <f t="shared" si="3"/>
        <v>1.23789682520109E-4</v>
      </c>
      <c r="M72" s="693">
        <f t="shared" si="4"/>
        <v>1.0000000427433691</v>
      </c>
      <c r="N72" s="694">
        <f t="shared" si="5"/>
        <v>-2.9238114737000799E-4</v>
      </c>
      <c r="O72" s="692">
        <f t="shared" si="6"/>
        <v>414.55270318959151</v>
      </c>
      <c r="P72" s="695">
        <f t="shared" si="7"/>
        <v>1.5683840859335436</v>
      </c>
      <c r="Q72" s="704">
        <f t="shared" si="8"/>
        <v>1.0148081496062478</v>
      </c>
      <c r="R72" s="705">
        <f t="shared" si="9"/>
        <v>0.17104207024659329</v>
      </c>
      <c r="S72" s="692">
        <f t="shared" si="10"/>
        <v>1.0000006630126803</v>
      </c>
      <c r="T72" s="695">
        <f t="shared" si="11"/>
        <v>1.151531427314986E-3</v>
      </c>
      <c r="U72" s="696">
        <f t="shared" si="27"/>
        <v>0.99959726673993432</v>
      </c>
      <c r="V72" s="697">
        <f t="shared" si="28"/>
        <v>-2.8788259453543961E-3</v>
      </c>
      <c r="W72" s="698">
        <f t="shared" si="12"/>
        <v>44.425024445263155</v>
      </c>
      <c r="X72" s="699">
        <f t="shared" si="13"/>
        <v>-92.901436348412744</v>
      </c>
      <c r="Y72" s="702">
        <f t="shared" si="14"/>
        <v>87.098563651587256</v>
      </c>
      <c r="AA72" s="174">
        <f t="shared" si="15"/>
        <v>1000000000</v>
      </c>
      <c r="AB72" s="174">
        <f t="shared" si="16"/>
        <v>52482.2281</v>
      </c>
      <c r="AD72" s="701">
        <f t="shared" si="17"/>
        <v>42.984527806327122</v>
      </c>
      <c r="AE72" s="702">
        <f t="shared" si="18"/>
        <v>-80.127778017486676</v>
      </c>
      <c r="AG72" s="701">
        <f t="shared" si="19"/>
        <v>26.835437197313531</v>
      </c>
      <c r="AH72" s="702">
        <f t="shared" si="20"/>
        <v>-12.443769177305969</v>
      </c>
      <c r="AJ72" s="174">
        <f t="shared" si="21"/>
        <v>0</v>
      </c>
      <c r="AK72" s="174">
        <f t="shared" si="35"/>
        <v>0</v>
      </c>
      <c r="AM72" s="174" t="str">
        <f t="shared" si="29"/>
        <v>0.0000084567852759454+0.00411260246504879i</v>
      </c>
      <c r="AN72" s="174" t="str">
        <f t="shared" si="30"/>
        <v>0.00411261405822i</v>
      </c>
      <c r="AO72" s="174" t="str">
        <f t="shared" si="31"/>
        <v>0.999997181069985-0.00205630413071282i</v>
      </c>
      <c r="AP72" s="174" t="str">
        <f t="shared" si="32"/>
        <v>0.166665257202454-0.000685433744174798i</v>
      </c>
      <c r="AQ72" s="174" t="str">
        <f t="shared" si="33"/>
        <v>0.833334742797546+0.000685433744174798i</v>
      </c>
      <c r="AR72" s="174" t="str">
        <f t="shared" si="34"/>
        <v>0.999597633056891-0.000822188147339617i</v>
      </c>
    </row>
    <row r="73" spans="7:44" x14ac:dyDescent="0.2">
      <c r="G73" s="703">
        <v>251.19</v>
      </c>
      <c r="H73" s="691">
        <f t="shared" si="26"/>
        <v>0.25119000000000002</v>
      </c>
      <c r="I73" s="692">
        <f t="shared" si="0"/>
        <v>1.0295919987335795</v>
      </c>
      <c r="J73" s="693">
        <f t="shared" si="1"/>
        <v>0.24033403724416336</v>
      </c>
      <c r="K73" s="693">
        <f t="shared" si="2"/>
        <v>1.0000000092115207</v>
      </c>
      <c r="L73" s="694">
        <f t="shared" si="3"/>
        <v>1.3573150430007291E-4</v>
      </c>
      <c r="M73" s="693">
        <f t="shared" si="4"/>
        <v>1.0000000513879364</v>
      </c>
      <c r="N73" s="694">
        <f t="shared" si="5"/>
        <v>-3.2058675622949822E-4</v>
      </c>
      <c r="O73" s="692">
        <f t="shared" si="6"/>
        <v>454.54381487131508</v>
      </c>
      <c r="P73" s="695">
        <f t="shared" si="7"/>
        <v>1.5685963170841555</v>
      </c>
      <c r="Q73" s="704">
        <f t="shared" si="8"/>
        <v>1.0177768084808954</v>
      </c>
      <c r="R73" s="705">
        <f t="shared" si="9"/>
        <v>0.18717583543519253</v>
      </c>
      <c r="S73" s="692">
        <f t="shared" si="10"/>
        <v>1.000000797102613</v>
      </c>
      <c r="T73" s="695">
        <f t="shared" si="11"/>
        <v>1.262617981448223E-3</v>
      </c>
      <c r="U73" s="696">
        <f t="shared" si="27"/>
        <v>0.99959671395851113</v>
      </c>
      <c r="V73" s="697">
        <f t="shared" si="28"/>
        <v>-3.156541496208573E-3</v>
      </c>
      <c r="W73" s="698">
        <f t="shared" si="12"/>
        <v>43.608879856871198</v>
      </c>
      <c r="X73" s="699">
        <f t="shared" si="13"/>
        <v>-93.183480058144468</v>
      </c>
      <c r="Y73" s="702">
        <f t="shared" si="14"/>
        <v>86.816519941855532</v>
      </c>
      <c r="AA73" s="174">
        <f t="shared" si="15"/>
        <v>1000000000</v>
      </c>
      <c r="AB73" s="174">
        <f t="shared" si="16"/>
        <v>63096.416100000002</v>
      </c>
      <c r="AD73" s="701">
        <f t="shared" si="17"/>
        <v>42.209978706306458</v>
      </c>
      <c r="AE73" s="702">
        <f t="shared" si="18"/>
        <v>-79.221906103413502</v>
      </c>
      <c r="AG73" s="701">
        <f t="shared" si="19"/>
        <v>26.793851315610681</v>
      </c>
      <c r="AH73" s="702">
        <f t="shared" si="20"/>
        <v>-13.599860943136326</v>
      </c>
      <c r="AJ73" s="174">
        <f t="shared" si="21"/>
        <v>0</v>
      </c>
      <c r="AK73" s="174">
        <f t="shared" si="35"/>
        <v>0</v>
      </c>
      <c r="AM73" s="174" t="str">
        <f t="shared" si="29"/>
        <v>0.0000101671119899782+0.00450933704764626i</v>
      </c>
      <c r="AN73" s="174" t="str">
        <f t="shared" si="30"/>
        <v>0.00450935233002i</v>
      </c>
      <c r="AO73" s="174" t="str">
        <f t="shared" si="31"/>
        <v>0.999996610960373-0.00225467234447238i</v>
      </c>
      <c r="AP73" s="174" t="str">
        <f t="shared" si="32"/>
        <v>0.166664972148002-0.00075155617460771i</v>
      </c>
      <c r="AQ73" s="174" t="str">
        <f t="shared" si="33"/>
        <v>0.833335027851998+0.00075155617460771i</v>
      </c>
      <c r="AR73" s="174" t="str">
        <f t="shared" si="34"/>
        <v>0.999597154361247-0.000901502263041697i</v>
      </c>
    </row>
    <row r="74" spans="7:44" x14ac:dyDescent="0.2">
      <c r="G74" s="703">
        <v>275.42</v>
      </c>
      <c r="H74" s="691">
        <f t="shared" si="26"/>
        <v>0.27542</v>
      </c>
      <c r="I74" s="692">
        <f t="shared" si="0"/>
        <v>1.0354734843366875</v>
      </c>
      <c r="J74" s="693">
        <f t="shared" si="1"/>
        <v>0.26250956900835359</v>
      </c>
      <c r="K74" s="693">
        <f t="shared" si="2"/>
        <v>1.0000000110743332</v>
      </c>
      <c r="L74" s="694">
        <f t="shared" si="3"/>
        <v>1.4882427989928285E-4</v>
      </c>
      <c r="M74" s="693">
        <f t="shared" si="4"/>
        <v>1.0000000617799327</v>
      </c>
      <c r="N74" s="694">
        <f t="shared" si="5"/>
        <v>-3.5151082363555047E-4</v>
      </c>
      <c r="O74" s="692">
        <f t="shared" si="6"/>
        <v>498.38929308672266</v>
      </c>
      <c r="P74" s="695">
        <f t="shared" si="7"/>
        <v>1.5687898617988481</v>
      </c>
      <c r="Q74" s="704">
        <f t="shared" si="8"/>
        <v>1.0213341362954684</v>
      </c>
      <c r="R74" s="705">
        <f t="shared" si="9"/>
        <v>0.20475169159519244</v>
      </c>
      <c r="S74" s="692">
        <f t="shared" si="10"/>
        <v>1.0000009582977178</v>
      </c>
      <c r="T74" s="695">
        <f t="shared" si="11"/>
        <v>1.3844110318088736E-3</v>
      </c>
      <c r="U74" s="696">
        <f t="shared" si="27"/>
        <v>0.99959604943794034</v>
      </c>
      <c r="V74" s="697">
        <f t="shared" si="28"/>
        <v>-3.4610230218404224E-3</v>
      </c>
      <c r="W74" s="698">
        <f t="shared" si="12"/>
        <v>42.789843237476212</v>
      </c>
      <c r="X74" s="699">
        <f t="shared" si="13"/>
        <v>-93.483556744917578</v>
      </c>
      <c r="Y74" s="702">
        <f t="shared" si="14"/>
        <v>86.516443255082422</v>
      </c>
      <c r="AA74" s="174">
        <f t="shared" si="15"/>
        <v>1000000000</v>
      </c>
      <c r="AB74" s="174">
        <f t="shared" si="16"/>
        <v>75856.176400000011</v>
      </c>
      <c r="AD74" s="701">
        <f t="shared" si="17"/>
        <v>41.440424222596661</v>
      </c>
      <c r="AE74" s="702">
        <f t="shared" si="18"/>
        <v>-78.23295124604509</v>
      </c>
      <c r="AG74" s="701">
        <f t="shared" si="19"/>
        <v>26.744380728491393</v>
      </c>
      <c r="AH74" s="702">
        <f t="shared" si="20"/>
        <v>-14.854001474521178</v>
      </c>
      <c r="AJ74" s="174">
        <f t="shared" si="21"/>
        <v>0</v>
      </c>
      <c r="AK74" s="174">
        <f t="shared" si="35"/>
        <v>0</v>
      </c>
      <c r="AM74" s="174" t="str">
        <f t="shared" si="29"/>
        <v>0.0000122231661310312+0.00494430812722829i</v>
      </c>
      <c r="AN74" s="174" t="str">
        <f t="shared" si="30"/>
        <v>0.00494432827236i</v>
      </c>
      <c r="AO74" s="174" t="str">
        <f t="shared" si="31"/>
        <v>0.999995925607969-0.00247215909982387i</v>
      </c>
      <c r="AP74" s="174" t="str">
        <f t="shared" si="32"/>
        <v>0.166664629472312-0.000824051354538048i</v>
      </c>
      <c r="AQ74" s="174" t="str">
        <f t="shared" si="33"/>
        <v>0.833335370527688+0.000824051354538048i</v>
      </c>
      <c r="AR74" s="174" t="str">
        <f t="shared" si="34"/>
        <v>0.99959657890255-0.000988460281380648i</v>
      </c>
    </row>
    <row r="75" spans="7:44" x14ac:dyDescent="0.2">
      <c r="G75" s="703">
        <v>302</v>
      </c>
      <c r="H75" s="691">
        <f t="shared" si="26"/>
        <v>0.30199999999999999</v>
      </c>
      <c r="I75" s="692">
        <f t="shared" si="0"/>
        <v>1.0425039537173948</v>
      </c>
      <c r="J75" s="693">
        <f t="shared" si="1"/>
        <v>0.28653489226292389</v>
      </c>
      <c r="K75" s="693">
        <f t="shared" si="2"/>
        <v>1.0000000133149802</v>
      </c>
      <c r="L75" s="694">
        <f t="shared" si="3"/>
        <v>1.6318688716304651E-4</v>
      </c>
      <c r="M75" s="693">
        <f t="shared" si="4"/>
        <v>1.0000000742797386</v>
      </c>
      <c r="N75" s="694">
        <f t="shared" si="5"/>
        <v>-3.8543412916024417E-4</v>
      </c>
      <c r="O75" s="692">
        <f t="shared" si="6"/>
        <v>546.48723958801224</v>
      </c>
      <c r="P75" s="695">
        <f t="shared" si="7"/>
        <v>1.5689664568809627</v>
      </c>
      <c r="Q75" s="704">
        <f t="shared" si="8"/>
        <v>1.0255966507890972</v>
      </c>
      <c r="R75" s="705">
        <f t="shared" si="9"/>
        <v>0.22388535581666449</v>
      </c>
      <c r="S75" s="692">
        <f t="shared" si="10"/>
        <v>1.0000011521880054</v>
      </c>
      <c r="T75" s="695">
        <f t="shared" si="11"/>
        <v>1.5180164024531843E-3</v>
      </c>
      <c r="U75" s="696">
        <f t="shared" si="27"/>
        <v>0.99959525013426753</v>
      </c>
      <c r="V75" s="697">
        <f t="shared" si="28"/>
        <v>-3.7950349975600559E-3</v>
      </c>
      <c r="W75" s="698">
        <f t="shared" si="12"/>
        <v>41.967008654255828</v>
      </c>
      <c r="X75" s="699">
        <f t="shared" si="13"/>
        <v>-93.801859561411248</v>
      </c>
      <c r="Y75" s="702">
        <f t="shared" si="14"/>
        <v>86.198140438588752</v>
      </c>
      <c r="AA75" s="174">
        <f t="shared" si="15"/>
        <v>1000000000</v>
      </c>
      <c r="AB75" s="174">
        <f t="shared" si="16"/>
        <v>91204</v>
      </c>
      <c r="AD75" s="701">
        <f t="shared" si="17"/>
        <v>40.676371025808521</v>
      </c>
      <c r="AE75" s="702">
        <f t="shared" si="18"/>
        <v>-77.154446215048026</v>
      </c>
      <c r="AG75" s="701">
        <f t="shared" si="19"/>
        <v>26.685613233002933</v>
      </c>
      <c r="AH75" s="702">
        <f t="shared" si="20"/>
        <v>-16.212534368937035</v>
      </c>
      <c r="AJ75" s="174">
        <f t="shared" si="21"/>
        <v>0</v>
      </c>
      <c r="AK75" s="174">
        <f t="shared" si="35"/>
        <v>0</v>
      </c>
      <c r="AM75" s="174" t="str">
        <f t="shared" si="29"/>
        <v>0.0000146962480479518+0.00542146475744692i</v>
      </c>
      <c r="AN75" s="174" t="str">
        <f t="shared" si="30"/>
        <v>0.005421491316i</v>
      </c>
      <c r="AO75" s="174" t="str">
        <f t="shared" si="31"/>
        <v>0.999995101245851-0.00271073901835459i</v>
      </c>
      <c r="AP75" s="174" t="str">
        <f t="shared" si="32"/>
        <v>0.166664217291992-0.000903577459574487i</v>
      </c>
      <c r="AQ75" s="174" t="str">
        <f t="shared" si="33"/>
        <v>0.833335782708008+0.000903577459574487i</v>
      </c>
      <c r="AR75" s="174" t="str">
        <f t="shared" si="34"/>
        <v>0.999595886725542-0.00108385158860393i</v>
      </c>
    </row>
    <row r="76" spans="7:44" x14ac:dyDescent="0.2">
      <c r="G76" s="703">
        <v>331.13</v>
      </c>
      <c r="H76" s="691">
        <f t="shared" si="26"/>
        <v>0.33112999999999998</v>
      </c>
      <c r="I76" s="692">
        <f t="shared" si="0"/>
        <v>1.0508900674416417</v>
      </c>
      <c r="J76" s="693">
        <f t="shared" si="1"/>
        <v>0.31247927748394594</v>
      </c>
      <c r="K76" s="693">
        <f t="shared" si="2"/>
        <v>1.0000000160075069</v>
      </c>
      <c r="L76" s="694">
        <f t="shared" si="3"/>
        <v>1.7892739685199959E-4</v>
      </c>
      <c r="M76" s="693">
        <f t="shared" si="4"/>
        <v>1.0000000893004271</v>
      </c>
      <c r="N76" s="694">
        <f t="shared" si="5"/>
        <v>-4.2261192685689872E-4</v>
      </c>
      <c r="O76" s="692">
        <f t="shared" si="6"/>
        <v>599.19956518314643</v>
      </c>
      <c r="P76" s="695">
        <f t="shared" si="7"/>
        <v>1.5691274329533338</v>
      </c>
      <c r="Q76" s="704">
        <f t="shared" si="8"/>
        <v>1.0306954838201747</v>
      </c>
      <c r="R76" s="705">
        <f t="shared" si="9"/>
        <v>0.24466441521043608</v>
      </c>
      <c r="S76" s="692">
        <f t="shared" si="10"/>
        <v>1.0000013851808265</v>
      </c>
      <c r="T76" s="695">
        <f t="shared" si="11"/>
        <v>1.6644393816782586E-3</v>
      </c>
      <c r="U76" s="696">
        <f t="shared" si="27"/>
        <v>0.99959428963441965</v>
      </c>
      <c r="V76" s="697">
        <f t="shared" si="28"/>
        <v>-4.1610905338868185E-3</v>
      </c>
      <c r="W76" s="698">
        <f t="shared" si="12"/>
        <v>41.140653212991253</v>
      </c>
      <c r="X76" s="699">
        <f t="shared" si="13"/>
        <v>-94.137625303215046</v>
      </c>
      <c r="Y76" s="702">
        <f t="shared" si="14"/>
        <v>85.862374696784954</v>
      </c>
      <c r="AA76" s="174">
        <f t="shared" si="15"/>
        <v>1000000000</v>
      </c>
      <c r="AB76" s="174">
        <f t="shared" si="16"/>
        <v>109647.0769</v>
      </c>
      <c r="AD76" s="701">
        <f t="shared" si="17"/>
        <v>39.91961530833894</v>
      </c>
      <c r="AE76" s="702">
        <f t="shared" si="18"/>
        <v>-75.981506476475758</v>
      </c>
      <c r="AG76" s="701">
        <f t="shared" si="19"/>
        <v>26.616030201563532</v>
      </c>
      <c r="AH76" s="702">
        <f t="shared" si="20"/>
        <v>-17.67929297466733</v>
      </c>
      <c r="AJ76" s="174">
        <f t="shared" si="21"/>
        <v>0</v>
      </c>
      <c r="AK76" s="174">
        <f t="shared" si="35"/>
        <v>0</v>
      </c>
      <c r="AM76" s="174" t="str">
        <f t="shared" si="29"/>
        <v>0.0000176680829979681+0.00594439684359365i</v>
      </c>
      <c r="AN76" s="174" t="str">
        <f t="shared" si="30"/>
        <v>0.00594443185254i</v>
      </c>
      <c r="AO76" s="174" t="str">
        <f t="shared" si="31"/>
        <v>0.999994110632064-0.0029722071740832i</v>
      </c>
      <c r="AP76" s="174" t="str">
        <f t="shared" si="32"/>
        <v>0.166663721986167-0.000990732807265608i</v>
      </c>
      <c r="AQ76" s="174" t="str">
        <f t="shared" si="33"/>
        <v>0.833336278013833+0.000990732807265608i</v>
      </c>
      <c r="AR76" s="174" t="str">
        <f t="shared" si="34"/>
        <v>0.999595054957523-0.00118839373858442i</v>
      </c>
    </row>
    <row r="77" spans="7:44" x14ac:dyDescent="0.2">
      <c r="G77" s="703">
        <v>363.08</v>
      </c>
      <c r="H77" s="691">
        <f t="shared" si="26"/>
        <v>0.36307999999999996</v>
      </c>
      <c r="I77" s="692">
        <f t="shared" ref="I77:I140" si="36">SQRT(1+(G77/pole1)^2)</f>
        <v>1.0608875784135965</v>
      </c>
      <c r="J77" s="693">
        <f t="shared" ref="J77:J140" si="37">ATAN(G77/pole1)</f>
        <v>0.34044267823864766</v>
      </c>
      <c r="K77" s="693">
        <f t="shared" ref="K77:K140" si="38">SQRT(1+(G77/Zero1)^2)</f>
        <v>1.0000000192455927</v>
      </c>
      <c r="L77" s="694">
        <f t="shared" ref="L77:L140" si="39">ATAN(G77/Zero1)</f>
        <v>1.9619170449304685E-4</v>
      </c>
      <c r="M77" s="693">
        <f t="shared" ref="M77:M140" si="40">SQRT(1+(G77/z_RHP)^2)</f>
        <v>1.0000001073646041</v>
      </c>
      <c r="N77" s="694">
        <f t="shared" ref="N77:N140" si="41">-ATAN(G77/z_RHP)</f>
        <v>-4.633888096981086E-4</v>
      </c>
      <c r="O77" s="692">
        <f t="shared" ref="O77:O140" si="42">SQRT(1+(G77/Pole2)^2)</f>
        <v>657.01484961075971</v>
      </c>
      <c r="P77" s="695">
        <f t="shared" ref="P77:P140" si="43">ATAN(G77/Pole2)</f>
        <v>1.5692742905932924</v>
      </c>
      <c r="Q77" s="704">
        <f t="shared" ref="Q77:Q140" si="44">SQRT(1+(G77/Zero2)^2)</f>
        <v>1.0367942305465567</v>
      </c>
      <c r="R77" s="705">
        <f t="shared" ref="R77:R140" si="45">ATAN(G77/Zero2)</f>
        <v>0.26720918586697989</v>
      </c>
      <c r="S77" s="692">
        <f t="shared" ref="S77:S140" si="46">SQRT(1+(G77/pole4)^2)</f>
        <v>1.0000016653825354</v>
      </c>
      <c r="T77" s="695">
        <f t="shared" ref="T77:T140" si="47">ATAN(G77/pole4)</f>
        <v>1.8250371087226943E-3</v>
      </c>
      <c r="U77" s="696">
        <f t="shared" si="27"/>
        <v>0.99959313452175391</v>
      </c>
      <c r="V77" s="697">
        <f t="shared" si="28"/>
        <v>-4.5625823304936541E-3</v>
      </c>
      <c r="W77" s="698">
        <f t="shared" ref="W77:W140" si="48">20*LOG10(((K77*Q77*M77*U77)/(I77*O77*S77))*Adc)</f>
        <v>40.30956944039999</v>
      </c>
      <c r="X77" s="699">
        <f t="shared" ref="X77:X140" si="49">((L77+R77+N77+V77)-(J77+P77+T77))*radconv</f>
        <v>-94.490056790681834</v>
      </c>
      <c r="Y77" s="702">
        <f t="shared" ref="Y77:Y140" si="50">IF(X77&gt;0,X77,X77+180)</f>
        <v>85.509943209318166</v>
      </c>
      <c r="AA77" s="174">
        <f t="shared" ref="AA77:AA140" si="51">IF(W77&lt;0,G77,1000000000)</f>
        <v>1000000000</v>
      </c>
      <c r="AB77" s="174">
        <f t="shared" ref="AB77:AB140" si="52">G77^2</f>
        <v>131827.0864</v>
      </c>
      <c r="AD77" s="701">
        <f t="shared" ref="AD77:AD140" si="53">20*LOG10((Q77/(O77*S77))*Aea)</f>
        <v>39.170782930669873</v>
      </c>
      <c r="AE77" s="702">
        <f t="shared" ref="AE77:AE140" si="54">(R77-(P77+T77))*radconv</f>
        <v>-74.707402161227463</v>
      </c>
      <c r="AG77" s="701">
        <f t="shared" ref="AG77:AG140" si="55">20*LOG10((K77*M77/(I77*U77))*Acs*Am)</f>
        <v>26.533798881159633</v>
      </c>
      <c r="AH77" s="702">
        <f t="shared" ref="AH77:AH140" si="56">(L77+N77-(J77+V77))*radconv</f>
        <v>-19.259821206420451</v>
      </c>
      <c r="AJ77" s="174">
        <f t="shared" ref="AJ77:AJ140" si="57">SUM((W78&lt;0)*(W77&gt;0))*G77</f>
        <v>0</v>
      </c>
      <c r="AK77" s="174">
        <f t="shared" ref="AK77:AK89" si="58">IF(AJ77&gt;0,Y75,0)</f>
        <v>0</v>
      </c>
      <c r="AM77" s="174" t="str">
        <f t="shared" si="29"/>
        <v>0.0000212420666589885+0.00651795075866636i</v>
      </c>
      <c r="AN77" s="174" t="str">
        <f t="shared" si="30"/>
        <v>0.00651799691064i</v>
      </c>
      <c r="AO77" s="174" t="str">
        <f t="shared" si="31"/>
        <v>0.999992919301087-0.00325898691733236i</v>
      </c>
      <c r="AP77" s="174" t="str">
        <f t="shared" si="32"/>
        <v>0.166663126322223-0.00108632512644439i</v>
      </c>
      <c r="AQ77" s="174" t="str">
        <f t="shared" si="33"/>
        <v>0.833336873677777+0.00108632512644439i</v>
      </c>
      <c r="AR77" s="174" t="str">
        <f t="shared" si="34"/>
        <v>0.999594054661066-0.00130305542946923i</v>
      </c>
    </row>
    <row r="78" spans="7:44" x14ac:dyDescent="0.2">
      <c r="G78" s="703">
        <v>398.11</v>
      </c>
      <c r="H78" s="691">
        <f t="shared" ref="H78:H141" si="59">G78/1000</f>
        <v>0.39811000000000002</v>
      </c>
      <c r="I78" s="692">
        <f t="shared" si="36"/>
        <v>1.072783118603857</v>
      </c>
      <c r="J78" s="693">
        <f t="shared" si="37"/>
        <v>0.3704766875438954</v>
      </c>
      <c r="K78" s="693">
        <f t="shared" si="38"/>
        <v>1.0000000231383726</v>
      </c>
      <c r="L78" s="694">
        <f t="shared" si="39"/>
        <v>2.1512030206298217E-4</v>
      </c>
      <c r="M78" s="693">
        <f t="shared" si="40"/>
        <v>1.0000001290810954</v>
      </c>
      <c r="N78" s="694">
        <f t="shared" si="41"/>
        <v>-5.0809660779464435E-4</v>
      </c>
      <c r="O78" s="692">
        <f t="shared" si="42"/>
        <v>720.40357719324822</v>
      </c>
      <c r="P78" s="695">
        <f t="shared" si="43"/>
        <v>1.5694082155294886</v>
      </c>
      <c r="Q78" s="704">
        <f t="shared" si="44"/>
        <v>1.0440788997791464</v>
      </c>
      <c r="R78" s="705">
        <f t="shared" si="45"/>
        <v>0.29161079467706214</v>
      </c>
      <c r="S78" s="692">
        <f t="shared" si="46"/>
        <v>1.0000020022368614</v>
      </c>
      <c r="T78" s="695">
        <f t="shared" si="47"/>
        <v>2.0011164486871667E-3</v>
      </c>
      <c r="U78" s="696">
        <f t="shared" ref="U78:U141" si="60">IMABS(IMPRODUCT(AO78, AR78))</f>
        <v>0.99959174586708022</v>
      </c>
      <c r="V78" s="697">
        <f t="shared" ref="V78:V141" si="61">IMARGUMENT(IMPRODUCT(AO78, AR78))</f>
        <v>-5.0027773573713338E-3</v>
      </c>
      <c r="W78" s="698">
        <f t="shared" si="48"/>
        <v>39.473504782350005</v>
      </c>
      <c r="X78" s="699">
        <f t="shared" si="49"/>
        <v>-94.857229861248911</v>
      </c>
      <c r="Y78" s="702">
        <f t="shared" si="50"/>
        <v>85.142770138751089</v>
      </c>
      <c r="AA78" s="174">
        <f t="shared" si="51"/>
        <v>1000000000</v>
      </c>
      <c r="AB78" s="174">
        <f t="shared" si="52"/>
        <v>158491.57210000002</v>
      </c>
      <c r="AD78" s="701">
        <f t="shared" si="53"/>
        <v>38.43158144437551</v>
      </c>
      <c r="AE78" s="702">
        <f t="shared" si="54"/>
        <v>-73.327054898158238</v>
      </c>
      <c r="AG78" s="701">
        <f t="shared" si="55"/>
        <v>26.436959842642239</v>
      </c>
      <c r="AH78" s="702">
        <f t="shared" si="56"/>
        <v>-20.95689890559364</v>
      </c>
      <c r="AJ78" s="174">
        <f t="shared" si="57"/>
        <v>0</v>
      </c>
      <c r="AK78" s="174">
        <f t="shared" si="58"/>
        <v>0</v>
      </c>
      <c r="AM78" s="174" t="str">
        <f t="shared" ref="AM78:AM141" si="62">IMSUB(1,IMEXP(COMPLEX(0,-2*Pi*G78*Tsw)))</f>
        <v>0.000025538652340007+0.00714679315893654i</v>
      </c>
      <c r="AN78" s="174" t="str">
        <f t="shared" ref="AN78:AN141" si="63">COMPLEX(0, 2*Pi*G78*Tsw)</f>
        <v>0.00714685399938i</v>
      </c>
      <c r="AO78" s="174" t="str">
        <f t="shared" ref="AO78:AO141" si="64">IMDIV(AM78, AN78)</f>
        <v>0.999991487101393-0.00357341178961016i</v>
      </c>
      <c r="AP78" s="174" t="str">
        <f t="shared" ref="AP78:AP141" si="65">IMDIV(IMEXP(COMPLEX(0,-2*Pi*G78*Tsw)),6)</f>
        <v>0.16666241022461-0.00119113219315609i</v>
      </c>
      <c r="AQ78" s="174" t="str">
        <f t="shared" ref="AQ78:AQ141" si="66">IMSUB(1, AP78)</f>
        <v>0.83333758977539+0.00119113219315609i</v>
      </c>
      <c r="AR78" s="174" t="str">
        <f t="shared" ref="AR78:AR141" si="67">IMDIV(0.833, AQ78)</f>
        <v>0.999592852125296-0.00142876937368933i</v>
      </c>
    </row>
    <row r="79" spans="7:44" x14ac:dyDescent="0.2">
      <c r="G79" s="703">
        <v>436.52</v>
      </c>
      <c r="H79" s="691">
        <f t="shared" si="59"/>
        <v>0.43651999999999996</v>
      </c>
      <c r="I79" s="692">
        <f t="shared" si="36"/>
        <v>1.0869125307911061</v>
      </c>
      <c r="J79" s="693">
        <f t="shared" si="37"/>
        <v>0.4026208228152876</v>
      </c>
      <c r="K79" s="693">
        <f t="shared" si="38"/>
        <v>1.0000000278185781</v>
      </c>
      <c r="L79" s="694">
        <f t="shared" si="39"/>
        <v>2.3587529568093902E-4</v>
      </c>
      <c r="M79" s="693">
        <f t="shared" si="40"/>
        <v>1.0000001551903654</v>
      </c>
      <c r="N79" s="694">
        <f t="shared" si="41"/>
        <v>-5.5711820193897791E-4</v>
      </c>
      <c r="O79" s="692">
        <f t="shared" si="42"/>
        <v>789.90861456579626</v>
      </c>
      <c r="P79" s="695">
        <f t="shared" si="43"/>
        <v>1.5695303572274386</v>
      </c>
      <c r="Q79" s="704">
        <f t="shared" si="44"/>
        <v>1.0527703713302881</v>
      </c>
      <c r="R79" s="705">
        <f t="shared" si="45"/>
        <v>0.31796128543133906</v>
      </c>
      <c r="S79" s="692">
        <f t="shared" si="46"/>
        <v>1.0000024072294305</v>
      </c>
      <c r="T79" s="695">
        <f t="shared" si="47"/>
        <v>2.1941853164534363E-3</v>
      </c>
      <c r="U79" s="696">
        <f t="shared" si="60"/>
        <v>0.99959007632465535</v>
      </c>
      <c r="V79" s="697">
        <f t="shared" si="61"/>
        <v>-5.4854451460959472E-3</v>
      </c>
      <c r="W79" s="698">
        <f t="shared" si="48"/>
        <v>38.631820634097103</v>
      </c>
      <c r="X79" s="699">
        <f t="shared" si="49"/>
        <v>-95.236515859697803</v>
      </c>
      <c r="Y79" s="702">
        <f t="shared" si="50"/>
        <v>84.763484140302197</v>
      </c>
      <c r="AA79" s="174">
        <f t="shared" si="51"/>
        <v>1000000000</v>
      </c>
      <c r="AB79" s="174">
        <f t="shared" si="52"/>
        <v>190549.71039999998</v>
      </c>
      <c r="AD79" s="701">
        <f t="shared" si="53"/>
        <v>37.703564833450642</v>
      </c>
      <c r="AE79" s="702">
        <f t="shared" si="54"/>
        <v>-71.835343223208639</v>
      </c>
      <c r="AG79" s="701">
        <f t="shared" si="55"/>
        <v>26.323321320106334</v>
      </c>
      <c r="AH79" s="702">
        <f t="shared" si="56"/>
        <v>-22.772586924527257</v>
      </c>
      <c r="AJ79" s="174">
        <f t="shared" si="57"/>
        <v>0</v>
      </c>
      <c r="AK79" s="174">
        <f t="shared" si="58"/>
        <v>0</v>
      </c>
      <c r="AM79" s="174" t="str">
        <f t="shared" si="62"/>
        <v>0.0000307043368500404+0.00783630850228965i</v>
      </c>
      <c r="AN79" s="174" t="str">
        <f t="shared" si="63"/>
        <v>0.00783638870616i</v>
      </c>
      <c r="AO79" s="174" t="str">
        <f t="shared" si="64"/>
        <v>0.999989765200099-0.00391817430213798i</v>
      </c>
      <c r="AP79" s="174" t="str">
        <f t="shared" si="65"/>
        <v>0.166661549277192-0.00130605141704827i</v>
      </c>
      <c r="AQ79" s="174" t="str">
        <f t="shared" si="66"/>
        <v>0.833338450722808+0.00130605141704827i</v>
      </c>
      <c r="AR79" s="174" t="str">
        <f t="shared" si="67"/>
        <v>0.999591406351222-0.00156661170692643i</v>
      </c>
    </row>
    <row r="80" spans="7:44" x14ac:dyDescent="0.2">
      <c r="G80" s="703">
        <v>478.63</v>
      </c>
      <c r="H80" s="691">
        <f t="shared" si="59"/>
        <v>0.47863</v>
      </c>
      <c r="I80" s="692">
        <f t="shared" si="36"/>
        <v>1.1036580502622013</v>
      </c>
      <c r="J80" s="693">
        <f t="shared" si="37"/>
        <v>0.43687631603054267</v>
      </c>
      <c r="K80" s="693">
        <f t="shared" si="38"/>
        <v>1.0000000334446355</v>
      </c>
      <c r="L80" s="694">
        <f t="shared" si="39"/>
        <v>2.5862959852543887E-4</v>
      </c>
      <c r="M80" s="693">
        <f t="shared" si="40"/>
        <v>1.0000001865762194</v>
      </c>
      <c r="N80" s="694">
        <f t="shared" si="41"/>
        <v>-6.1086199810918675E-4</v>
      </c>
      <c r="O80" s="692">
        <f t="shared" si="42"/>
        <v>866.10901957475517</v>
      </c>
      <c r="P80" s="695">
        <f t="shared" si="43"/>
        <v>1.5696417374769487</v>
      </c>
      <c r="Q80" s="704">
        <f t="shared" si="44"/>
        <v>1.0631243128050512</v>
      </c>
      <c r="R80" s="705">
        <f t="shared" si="45"/>
        <v>0.34633308725705009</v>
      </c>
      <c r="S80" s="692">
        <f t="shared" si="46"/>
        <v>1.0000028940692449</v>
      </c>
      <c r="T80" s="695">
        <f t="shared" si="47"/>
        <v>2.4058521423098523E-3</v>
      </c>
      <c r="U80" s="696">
        <f t="shared" si="60"/>
        <v>0.99958806938452049</v>
      </c>
      <c r="V80" s="697">
        <f t="shared" si="61"/>
        <v>-6.014606436649513E-3</v>
      </c>
      <c r="W80" s="698">
        <f t="shared" si="48"/>
        <v>37.784094196470598</v>
      </c>
      <c r="X80" s="699">
        <f t="shared" si="49"/>
        <v>-95.624230054528951</v>
      </c>
      <c r="Y80" s="702">
        <f t="shared" si="50"/>
        <v>84.375769945471049</v>
      </c>
      <c r="AA80" s="174">
        <f t="shared" si="51"/>
        <v>1000000000</v>
      </c>
      <c r="AB80" s="174">
        <f t="shared" si="52"/>
        <v>229086.67689999999</v>
      </c>
      <c r="AD80" s="701">
        <f t="shared" si="53"/>
        <v>36.988654309095338</v>
      </c>
      <c r="AE80" s="702">
        <f t="shared" si="54"/>
        <v>-70.228267953580016</v>
      </c>
      <c r="AG80" s="701">
        <f t="shared" si="55"/>
        <v>26.19054028528868</v>
      </c>
      <c r="AH80" s="702">
        <f t="shared" si="56"/>
        <v>-24.706738971656886</v>
      </c>
      <c r="AJ80" s="174">
        <f t="shared" si="57"/>
        <v>0</v>
      </c>
      <c r="AK80" s="174">
        <f t="shared" si="58"/>
        <v>0</v>
      </c>
      <c r="AM80" s="174" t="str">
        <f t="shared" si="62"/>
        <v>0.0000369139748399583+0.00859223993140267i</v>
      </c>
      <c r="AN80" s="174" t="str">
        <f t="shared" si="63"/>
        <v>0.00859234565754i</v>
      </c>
      <c r="AO80" s="174" t="str">
        <f t="shared" si="64"/>
        <v>0.999987695311438-0.00429614639717914i</v>
      </c>
      <c r="AP80" s="174" t="str">
        <f t="shared" si="65"/>
        <v>0.166660514337527-0.00143203998856711i</v>
      </c>
      <c r="AQ80" s="174" t="str">
        <f t="shared" si="66"/>
        <v>0.833339485662473+0.00143203998856711i</v>
      </c>
      <c r="AR80" s="174" t="str">
        <f t="shared" si="67"/>
        <v>0.999589668404473-0.00171773017112683i</v>
      </c>
    </row>
    <row r="81" spans="7:44" x14ac:dyDescent="0.2">
      <c r="G81" s="703">
        <v>524.80999999999995</v>
      </c>
      <c r="H81" s="691">
        <f t="shared" si="59"/>
        <v>0.52481</v>
      </c>
      <c r="I81" s="692">
        <f t="shared" si="36"/>
        <v>1.1234632766499375</v>
      </c>
      <c r="J81" s="693">
        <f t="shared" si="37"/>
        <v>0.47322136897786748</v>
      </c>
      <c r="K81" s="693">
        <f t="shared" si="38"/>
        <v>1.0000000402097005</v>
      </c>
      <c r="L81" s="694">
        <f t="shared" si="39"/>
        <v>2.8358314144533576E-4</v>
      </c>
      <c r="M81" s="693">
        <f t="shared" si="40"/>
        <v>1.0000002243162063</v>
      </c>
      <c r="N81" s="694">
        <f t="shared" si="41"/>
        <v>-6.6980021553544585E-4</v>
      </c>
      <c r="O81" s="692">
        <f t="shared" si="42"/>
        <v>949.67432795680895</v>
      </c>
      <c r="P81" s="695">
        <f t="shared" si="43"/>
        <v>1.5697433340421596</v>
      </c>
      <c r="Q81" s="704">
        <f t="shared" si="44"/>
        <v>1.0754424419922399</v>
      </c>
      <c r="R81" s="705">
        <f t="shared" si="45"/>
        <v>0.37679175994484299</v>
      </c>
      <c r="S81" s="692">
        <f t="shared" si="46"/>
        <v>1.0000034794705253</v>
      </c>
      <c r="T81" s="695">
        <f t="shared" si="47"/>
        <v>2.6379766626604133E-3</v>
      </c>
      <c r="U81" s="696">
        <f t="shared" si="60"/>
        <v>0.99958565615014672</v>
      </c>
      <c r="V81" s="697">
        <f t="shared" si="61"/>
        <v>-6.5949101247910922E-3</v>
      </c>
      <c r="W81" s="698">
        <f t="shared" si="48"/>
        <v>36.92960131407105</v>
      </c>
      <c r="X81" s="699">
        <f t="shared" si="49"/>
        <v>-96.015811740777593</v>
      </c>
      <c r="Y81" s="702">
        <f t="shared" si="50"/>
        <v>83.984188259222407</v>
      </c>
      <c r="AA81" s="174">
        <f t="shared" si="51"/>
        <v>1000000000</v>
      </c>
      <c r="AB81" s="174">
        <f t="shared" si="52"/>
        <v>275425.53609999997</v>
      </c>
      <c r="AD81" s="701">
        <f t="shared" si="53"/>
        <v>36.288668919468599</v>
      </c>
      <c r="AE81" s="702">
        <f t="shared" si="54"/>
        <v>-68.502235366764012</v>
      </c>
      <c r="AG81" s="701">
        <f t="shared" si="55"/>
        <v>26.036074732017518</v>
      </c>
      <c r="AH81" s="702">
        <f t="shared" si="56"/>
        <v>-26.757855340312805</v>
      </c>
      <c r="AJ81" s="174">
        <f t="shared" si="57"/>
        <v>0</v>
      </c>
      <c r="AK81" s="174">
        <f t="shared" si="58"/>
        <v>0</v>
      </c>
      <c r="AM81" s="174" t="str">
        <f t="shared" si="62"/>
        <v>0.0000443807505300375+0.00942122770178698i</v>
      </c>
      <c r="AN81" s="174" t="str">
        <f t="shared" si="63"/>
        <v>0.00942136707798i</v>
      </c>
      <c r="AO81" s="174" t="str">
        <f t="shared" si="64"/>
        <v>0.99998520637272-0.00471064869489758i</v>
      </c>
      <c r="AP81" s="174" t="str">
        <f t="shared" si="65"/>
        <v>0.166659269874912-0.0015702046169645i</v>
      </c>
      <c r="AQ81" s="174" t="str">
        <f t="shared" si="66"/>
        <v>0.833340730125088+0.0015702046169645i</v>
      </c>
      <c r="AR81" s="174" t="str">
        <f t="shared" si="67"/>
        <v>0.999587578625106-0.00188345171942083i</v>
      </c>
    </row>
    <row r="82" spans="7:44" x14ac:dyDescent="0.2">
      <c r="G82" s="703">
        <v>575.44000000000005</v>
      </c>
      <c r="H82" s="691">
        <f t="shared" si="59"/>
        <v>0.57544000000000006</v>
      </c>
      <c r="I82" s="692">
        <f t="shared" si="36"/>
        <v>1.1468192381272009</v>
      </c>
      <c r="J82" s="693">
        <f t="shared" si="37"/>
        <v>0.51156998575573365</v>
      </c>
      <c r="K82" s="693">
        <f t="shared" si="38"/>
        <v>1.0000000483422351</v>
      </c>
      <c r="L82" s="694">
        <f t="shared" si="39"/>
        <v>3.1094125879568835E-4</v>
      </c>
      <c r="M82" s="693">
        <f t="shared" si="40"/>
        <v>1.0000002696848393</v>
      </c>
      <c r="N82" s="694">
        <f t="shared" si="41"/>
        <v>-7.344178357312223E-4</v>
      </c>
      <c r="O82" s="692">
        <f t="shared" si="42"/>
        <v>1041.2921710939563</v>
      </c>
      <c r="P82" s="695">
        <f t="shared" si="43"/>
        <v>1.5698359813880354</v>
      </c>
      <c r="Q82" s="704">
        <f t="shared" si="44"/>
        <v>1.0900662876108447</v>
      </c>
      <c r="R82" s="705">
        <f t="shared" si="45"/>
        <v>0.40936085885872969</v>
      </c>
      <c r="S82" s="692">
        <f t="shared" si="46"/>
        <v>1.0000041832026145</v>
      </c>
      <c r="T82" s="695">
        <f t="shared" si="47"/>
        <v>2.8924688527045472E-3</v>
      </c>
      <c r="U82" s="696">
        <f t="shared" si="60"/>
        <v>0.99958275513370176</v>
      </c>
      <c r="V82" s="697">
        <f t="shared" si="61"/>
        <v>-7.231130565412424E-3</v>
      </c>
      <c r="W82" s="698">
        <f t="shared" si="48"/>
        <v>36.068205314570243</v>
      </c>
      <c r="X82" s="699">
        <f t="shared" si="49"/>
        <v>-96.405430911106961</v>
      </c>
      <c r="Y82" s="702">
        <f t="shared" si="50"/>
        <v>83.594569088893039</v>
      </c>
      <c r="AA82" s="174">
        <f t="shared" si="51"/>
        <v>1000000000</v>
      </c>
      <c r="AB82" s="174">
        <f t="shared" si="52"/>
        <v>331131.19360000006</v>
      </c>
      <c r="AD82" s="701">
        <f t="shared" si="53"/>
        <v>35.606019439327802</v>
      </c>
      <c r="AE82" s="702">
        <f t="shared" si="54"/>
        <v>-66.656053084654957</v>
      </c>
      <c r="AG82" s="701">
        <f t="shared" si="55"/>
        <v>25.857378629437882</v>
      </c>
      <c r="AH82" s="702">
        <f t="shared" si="56"/>
        <v>-28.920751300492824</v>
      </c>
      <c r="AJ82" s="174">
        <f t="shared" si="57"/>
        <v>0</v>
      </c>
      <c r="AK82" s="174">
        <f t="shared" si="58"/>
        <v>0</v>
      </c>
      <c r="AM82" s="174" t="str">
        <f t="shared" si="62"/>
        <v>0.0000533568133089801+0.0103300909806867i</v>
      </c>
      <c r="AN82" s="174" t="str">
        <f t="shared" si="63"/>
        <v>0.01033027471152i</v>
      </c>
      <c r="AO82" s="174" t="str">
        <f t="shared" si="64"/>
        <v>0.999982214332297-0.00516509142292976i</v>
      </c>
      <c r="AP82" s="174" t="str">
        <f t="shared" si="65"/>
        <v>0.166657773864448-0.00172168183011445i</v>
      </c>
      <c r="AQ82" s="174" t="str">
        <f t="shared" si="66"/>
        <v>0.833342226135552+0.00172168183011445i</v>
      </c>
      <c r="AR82" s="174" t="str">
        <f t="shared" si="67"/>
        <v>0.999585066450703-0.00206513889802818i</v>
      </c>
    </row>
    <row r="83" spans="7:44" x14ac:dyDescent="0.2">
      <c r="G83" s="703">
        <v>630.96</v>
      </c>
      <c r="H83" s="691">
        <f t="shared" si="59"/>
        <v>0.63096000000000008</v>
      </c>
      <c r="I83" s="692">
        <f t="shared" si="36"/>
        <v>1.1742870527226978</v>
      </c>
      <c r="J83" s="693">
        <f t="shared" si="37"/>
        <v>0.5518033698901158</v>
      </c>
      <c r="K83" s="693">
        <f t="shared" si="38"/>
        <v>1.0000000581206263</v>
      </c>
      <c r="L83" s="694">
        <f t="shared" si="39"/>
        <v>3.4094170612187098E-4</v>
      </c>
      <c r="M83" s="693">
        <f t="shared" si="40"/>
        <v>1.0000003242351407</v>
      </c>
      <c r="N83" s="694">
        <f t="shared" si="41"/>
        <v>-8.0527641592693575E-4</v>
      </c>
      <c r="O83" s="692">
        <f t="shared" si="42"/>
        <v>1141.7587538247096</v>
      </c>
      <c r="P83" s="695">
        <f t="shared" si="43"/>
        <v>1.569920484919807</v>
      </c>
      <c r="Q83" s="704">
        <f t="shared" si="44"/>
        <v>1.107394029600274</v>
      </c>
      <c r="R83" s="705">
        <f t="shared" si="45"/>
        <v>0.44404592832374834</v>
      </c>
      <c r="S83" s="692">
        <f t="shared" si="46"/>
        <v>1.0000050293548373</v>
      </c>
      <c r="T83" s="695">
        <f t="shared" si="47"/>
        <v>3.1715402436446726E-3</v>
      </c>
      <c r="U83" s="696">
        <f t="shared" si="60"/>
        <v>0.99957926704332145</v>
      </c>
      <c r="V83" s="697">
        <f t="shared" si="61"/>
        <v>-7.928795813708072E-3</v>
      </c>
      <c r="W83" s="698">
        <f t="shared" si="48"/>
        <v>35.199532606304516</v>
      </c>
      <c r="X83" s="699">
        <f t="shared" si="49"/>
        <v>-96.786471506928095</v>
      </c>
      <c r="Y83" s="702">
        <f t="shared" si="50"/>
        <v>83.213528493071905</v>
      </c>
      <c r="AA83" s="174">
        <f t="shared" si="51"/>
        <v>1000000000</v>
      </c>
      <c r="AB83" s="174">
        <f t="shared" si="52"/>
        <v>398110.52160000004</v>
      </c>
      <c r="AD83" s="701">
        <f t="shared" si="53"/>
        <v>34.942962538476799</v>
      </c>
      <c r="AE83" s="702">
        <f t="shared" si="54"/>
        <v>-64.689576298552453</v>
      </c>
      <c r="AG83" s="701">
        <f t="shared" si="55"/>
        <v>25.651823441758339</v>
      </c>
      <c r="AH83" s="702">
        <f t="shared" si="56"/>
        <v>-31.188322133844533</v>
      </c>
      <c r="AJ83" s="174">
        <f t="shared" si="57"/>
        <v>0</v>
      </c>
      <c r="AK83" s="174">
        <f t="shared" si="58"/>
        <v>0</v>
      </c>
      <c r="AM83" s="174" t="str">
        <f t="shared" si="62"/>
        <v>0.0000641494095939832+0.0113267252125533i</v>
      </c>
      <c r="AN83" s="174" t="str">
        <f t="shared" si="63"/>
        <v>0.01132696741968i</v>
      </c>
      <c r="AO83" s="174" t="str">
        <f t="shared" si="64"/>
        <v>0.999978616772016-0.00566342315795197i</v>
      </c>
      <c r="AP83" s="174" t="str">
        <f t="shared" si="65"/>
        <v>0.166655975098401-0.00188778753542555i</v>
      </c>
      <c r="AQ83" s="174" t="str">
        <f t="shared" si="66"/>
        <v>0.833344024901599+0.00188778753542555i</v>
      </c>
      <c r="AR83" s="174" t="str">
        <f t="shared" si="67"/>
        <v>0.999582045902885-0.00226436918067956i</v>
      </c>
    </row>
    <row r="84" spans="7:44" x14ac:dyDescent="0.2">
      <c r="G84" s="703">
        <v>691.83</v>
      </c>
      <c r="H84" s="691">
        <f t="shared" si="59"/>
        <v>0.69183000000000006</v>
      </c>
      <c r="I84" s="692">
        <f t="shared" si="36"/>
        <v>1.2064796279287688</v>
      </c>
      <c r="J84" s="693">
        <f t="shared" si="37"/>
        <v>0.59373342916423344</v>
      </c>
      <c r="K84" s="693">
        <f t="shared" si="38"/>
        <v>1.0000000698755773</v>
      </c>
      <c r="L84" s="694">
        <f t="shared" si="39"/>
        <v>3.7383304598998071E-4</v>
      </c>
      <c r="M84" s="693">
        <f t="shared" si="40"/>
        <v>1.0000003898119898</v>
      </c>
      <c r="N84" s="694">
        <f t="shared" si="41"/>
        <v>-8.8296303802914337E-4</v>
      </c>
      <c r="O84" s="692">
        <f t="shared" si="42"/>
        <v>1251.9064721874336</v>
      </c>
      <c r="P84" s="695">
        <f t="shared" si="43"/>
        <v>1.5699975449940526</v>
      </c>
      <c r="Q84" s="704">
        <f t="shared" si="44"/>
        <v>1.1278720141931604</v>
      </c>
      <c r="R84" s="705">
        <f t="shared" si="45"/>
        <v>0.48079955485155057</v>
      </c>
      <c r="S84" s="692">
        <f t="shared" si="46"/>
        <v>1.0000060465435063</v>
      </c>
      <c r="T84" s="695">
        <f t="shared" si="47"/>
        <v>3.4775028509671712E-3</v>
      </c>
      <c r="U84" s="696">
        <f t="shared" si="60"/>
        <v>0.99957507393185652</v>
      </c>
      <c r="V84" s="697">
        <f t="shared" si="61"/>
        <v>-8.6936848946846095E-3</v>
      </c>
      <c r="W84" s="698">
        <f t="shared" si="48"/>
        <v>34.323775762530843</v>
      </c>
      <c r="X84" s="699">
        <f t="shared" si="49"/>
        <v>-97.151396336503637</v>
      </c>
      <c r="Y84" s="702">
        <f t="shared" si="50"/>
        <v>82.848603663496363</v>
      </c>
      <c r="AA84" s="174">
        <f t="shared" si="51"/>
        <v>1000000000</v>
      </c>
      <c r="AB84" s="174">
        <f t="shared" si="52"/>
        <v>478628.74890000006</v>
      </c>
      <c r="AD84" s="701">
        <f t="shared" si="53"/>
        <v>34.302155868849695</v>
      </c>
      <c r="AE84" s="702">
        <f t="shared" si="54"/>
        <v>-62.605694197439782</v>
      </c>
      <c r="AG84" s="701">
        <f t="shared" si="55"/>
        <v>25.41694614023131</v>
      </c>
      <c r="AH84" s="702">
        <f t="shared" si="56"/>
        <v>-33.549479232161374</v>
      </c>
      <c r="AJ84" s="174">
        <f t="shared" si="57"/>
        <v>0</v>
      </c>
      <c r="AK84" s="174">
        <f t="shared" si="58"/>
        <v>0</v>
      </c>
      <c r="AM84" s="174" t="str">
        <f t="shared" si="62"/>
        <v>0.0000771235212250199+0.0124193838177531i</v>
      </c>
      <c r="AN84" s="174" t="str">
        <f t="shared" si="63"/>
        <v>0.01241970310314i</v>
      </c>
      <c r="AO84" s="174" t="str">
        <f t="shared" si="64"/>
        <v>0.999974292027414-0.0062097717300119i</v>
      </c>
      <c r="AP84" s="174" t="str">
        <f t="shared" si="65"/>
        <v>0.166653812746462-0.00206989730295885i</v>
      </c>
      <c r="AQ84" s="174" t="str">
        <f t="shared" si="66"/>
        <v>0.833346187253538+0.00206989730295885i</v>
      </c>
      <c r="AR84" s="174" t="str">
        <f t="shared" si="67"/>
        <v>0.999578414850958-0.00248279130167352i</v>
      </c>
    </row>
    <row r="85" spans="7:44" x14ac:dyDescent="0.2">
      <c r="G85" s="703">
        <v>758.58</v>
      </c>
      <c r="H85" s="691">
        <f t="shared" si="59"/>
        <v>0.75858000000000003</v>
      </c>
      <c r="I85" s="692">
        <f t="shared" si="36"/>
        <v>1.2440853713909028</v>
      </c>
      <c r="J85" s="693">
        <f t="shared" si="37"/>
        <v>0.63713511753522423</v>
      </c>
      <c r="K85" s="693">
        <f t="shared" si="38"/>
        <v>1.0000000840096936</v>
      </c>
      <c r="L85" s="694">
        <f t="shared" si="39"/>
        <v>4.0990166566202176E-4</v>
      </c>
      <c r="M85" s="693">
        <f t="shared" si="40"/>
        <v>1.0000004686613848</v>
      </c>
      <c r="N85" s="694">
        <f t="shared" si="41"/>
        <v>-9.6815412193656841E-4</v>
      </c>
      <c r="O85" s="692">
        <f t="shared" si="42"/>
        <v>1372.6943912508959</v>
      </c>
      <c r="P85" s="695">
        <f t="shared" si="43"/>
        <v>1.5700678324593589</v>
      </c>
      <c r="Q85" s="704">
        <f t="shared" si="44"/>
        <v>1.1520127986072046</v>
      </c>
      <c r="R85" s="705">
        <f t="shared" si="45"/>
        <v>0.51954350680552419</v>
      </c>
      <c r="S85" s="692">
        <f t="shared" si="46"/>
        <v>1.0000072696066464</v>
      </c>
      <c r="T85" s="695">
        <f t="shared" si="47"/>
        <v>3.8130204844643071E-3</v>
      </c>
      <c r="U85" s="696">
        <f t="shared" si="60"/>
        <v>0.99957003221374086</v>
      </c>
      <c r="V85" s="697">
        <f t="shared" si="61"/>
        <v>-9.5324559893917478E-3</v>
      </c>
      <c r="W85" s="698">
        <f t="shared" si="48"/>
        <v>33.441028504494057</v>
      </c>
      <c r="X85" s="699">
        <f t="shared" si="49"/>
        <v>-97.492388448723332</v>
      </c>
      <c r="Y85" s="702">
        <f t="shared" si="50"/>
        <v>82.507611551276668</v>
      </c>
      <c r="AA85" s="174">
        <f t="shared" si="51"/>
        <v>1000000000</v>
      </c>
      <c r="AB85" s="174">
        <f t="shared" si="52"/>
        <v>575443.61640000006</v>
      </c>
      <c r="AD85" s="701">
        <f t="shared" si="53"/>
        <v>33.686055422608348</v>
      </c>
      <c r="AE85" s="702">
        <f t="shared" si="54"/>
        <v>-60.409080185775785</v>
      </c>
      <c r="AG85" s="701">
        <f t="shared" si="55"/>
        <v>25.150386949503503</v>
      </c>
      <c r="AH85" s="702">
        <f t="shared" si="56"/>
        <v>-35.990969268526662</v>
      </c>
      <c r="AJ85" s="174">
        <f t="shared" si="57"/>
        <v>0</v>
      </c>
      <c r="AK85" s="174">
        <f t="shared" si="58"/>
        <v>0</v>
      </c>
      <c r="AM85" s="174" t="str">
        <f t="shared" si="62"/>
        <v>0.0000927234786329834+0.0136175753943751i</v>
      </c>
      <c r="AN85" s="174" t="str">
        <f t="shared" si="63"/>
        <v>0.01361799629964i</v>
      </c>
      <c r="AO85" s="174" t="str">
        <f t="shared" si="64"/>
        <v>0.999969091982724-0.00680889292321475i</v>
      </c>
      <c r="AP85" s="174" t="str">
        <f t="shared" si="65"/>
        <v>0.166651212753561-0.00226959589906252i</v>
      </c>
      <c r="AQ85" s="174" t="str">
        <f t="shared" si="66"/>
        <v>0.833348787246439+0.00226959589906252i</v>
      </c>
      <c r="AR85" s="174" t="str">
        <f t="shared" si="67"/>
        <v>0.999574048966022-0.0027223045105023i</v>
      </c>
    </row>
    <row r="86" spans="7:44" x14ac:dyDescent="0.2">
      <c r="G86" s="703">
        <v>831.76</v>
      </c>
      <c r="H86" s="691">
        <f t="shared" si="59"/>
        <v>0.83175999999999994</v>
      </c>
      <c r="I86" s="692">
        <f t="shared" si="36"/>
        <v>1.2878385971528306</v>
      </c>
      <c r="J86" s="693">
        <f t="shared" si="37"/>
        <v>0.68171242192443093</v>
      </c>
      <c r="K86" s="693">
        <f t="shared" si="38"/>
        <v>1.0000001010003043</v>
      </c>
      <c r="L86" s="694">
        <f t="shared" si="39"/>
        <v>4.4944475937830298E-4</v>
      </c>
      <c r="M86" s="693">
        <f t="shared" si="40"/>
        <v>1.0000005634461766</v>
      </c>
      <c r="N86" s="694">
        <f t="shared" si="41"/>
        <v>-1.0615516116651679E-3</v>
      </c>
      <c r="O86" s="692">
        <f t="shared" si="42"/>
        <v>1505.1177672768194</v>
      </c>
      <c r="P86" s="695">
        <f t="shared" si="43"/>
        <v>1.5701319269085139</v>
      </c>
      <c r="Q86" s="704">
        <f t="shared" si="44"/>
        <v>1.1803791244009656</v>
      </c>
      <c r="R86" s="705">
        <f t="shared" si="45"/>
        <v>0.56013116002574259</v>
      </c>
      <c r="S86" s="692">
        <f t="shared" si="46"/>
        <v>1.0000087398479702</v>
      </c>
      <c r="T86" s="695">
        <f t="shared" si="47"/>
        <v>4.1808574040707661E-3</v>
      </c>
      <c r="U86" s="696">
        <f t="shared" si="60"/>
        <v>0.99956397166370625</v>
      </c>
      <c r="V86" s="697">
        <f t="shared" si="61"/>
        <v>-1.0452017987580515E-2</v>
      </c>
      <c r="W86" s="698">
        <f t="shared" si="48"/>
        <v>32.552090828549886</v>
      </c>
      <c r="X86" s="699">
        <f t="shared" si="49"/>
        <v>-97.801499118354911</v>
      </c>
      <c r="Y86" s="702">
        <f t="shared" si="50"/>
        <v>82.198500881645089</v>
      </c>
      <c r="AA86" s="174">
        <f t="shared" si="51"/>
        <v>1000000000</v>
      </c>
      <c r="AB86" s="174">
        <f t="shared" si="52"/>
        <v>691824.69759999996</v>
      </c>
      <c r="AD86" s="701">
        <f t="shared" si="53"/>
        <v>33.097394510230636</v>
      </c>
      <c r="AE86" s="702">
        <f t="shared" si="54"/>
        <v>-58.108326797757037</v>
      </c>
      <c r="AG86" s="701">
        <f t="shared" si="55"/>
        <v>24.850215514081423</v>
      </c>
      <c r="AH86" s="702">
        <f t="shared" si="56"/>
        <v>-38.495459283062907</v>
      </c>
      <c r="AJ86" s="174">
        <f t="shared" si="57"/>
        <v>0</v>
      </c>
      <c r="AK86" s="174">
        <f t="shared" si="58"/>
        <v>0</v>
      </c>
      <c r="AM86" s="174" t="str">
        <f t="shared" si="62"/>
        <v>0.000111476068616945+0.0149311657387869i</v>
      </c>
      <c r="AN86" s="174" t="str">
        <f t="shared" si="63"/>
        <v>0.01493172058608i</v>
      </c>
      <c r="AO86" s="174" t="str">
        <f t="shared" si="64"/>
        <v>0.9999628410343-0.00746572158073115i</v>
      </c>
      <c r="AP86" s="174" t="str">
        <f t="shared" si="65"/>
        <v>0.166648087321897-0.00248852762313115i</v>
      </c>
      <c r="AQ86" s="174" t="str">
        <f t="shared" si="66"/>
        <v>0.833351912678103+0.00248852762313115i</v>
      </c>
      <c r="AR86" s="174" t="str">
        <f t="shared" si="67"/>
        <v>0.999568800855526-0.00298487893806501i</v>
      </c>
    </row>
    <row r="87" spans="7:44" x14ac:dyDescent="0.2">
      <c r="G87" s="703">
        <v>912.01</v>
      </c>
      <c r="H87" s="691">
        <f t="shared" si="59"/>
        <v>0.91200999999999999</v>
      </c>
      <c r="I87" s="692">
        <f t="shared" si="36"/>
        <v>1.338555497104079</v>
      </c>
      <c r="J87" s="693">
        <f t="shared" si="37"/>
        <v>0.72714692955967541</v>
      </c>
      <c r="K87" s="693">
        <f t="shared" si="38"/>
        <v>1.0000001214299501</v>
      </c>
      <c r="L87" s="694">
        <f t="shared" si="39"/>
        <v>4.9280815309451175E-4</v>
      </c>
      <c r="M87" s="693">
        <f t="shared" si="40"/>
        <v>1.0000006774161563</v>
      </c>
      <c r="N87" s="694">
        <f t="shared" si="41"/>
        <v>-1.1639723138827187E-3</v>
      </c>
      <c r="O87" s="692">
        <f t="shared" si="42"/>
        <v>1650.3347166993351</v>
      </c>
      <c r="P87" s="695">
        <f t="shared" si="43"/>
        <v>1.5701903890714308</v>
      </c>
      <c r="Q87" s="704">
        <f t="shared" si="44"/>
        <v>1.2136094349563691</v>
      </c>
      <c r="R87" s="705">
        <f t="shared" si="45"/>
        <v>0.60238195748136192</v>
      </c>
      <c r="S87" s="692">
        <f t="shared" si="46"/>
        <v>1.0000105076750303</v>
      </c>
      <c r="T87" s="695">
        <f t="shared" si="47"/>
        <v>4.5842301473065471E-3</v>
      </c>
      <c r="U87" s="696">
        <f t="shared" si="60"/>
        <v>0.99955668454809721</v>
      </c>
      <c r="V87" s="697">
        <f t="shared" si="61"/>
        <v>-1.1460409897433469E-2</v>
      </c>
      <c r="W87" s="698">
        <f t="shared" si="48"/>
        <v>31.657631833291227</v>
      </c>
      <c r="X87" s="699">
        <f t="shared" si="49"/>
        <v>-98.071533801159433</v>
      </c>
      <c r="Y87" s="702">
        <f t="shared" si="50"/>
        <v>81.928466198840567</v>
      </c>
      <c r="AA87" s="174">
        <f t="shared" si="51"/>
        <v>1000000000</v>
      </c>
      <c r="AB87" s="174">
        <f t="shared" si="52"/>
        <v>831762.24009999994</v>
      </c>
      <c r="AD87" s="701">
        <f t="shared" si="53"/>
        <v>32.538496569888487</v>
      </c>
      <c r="AE87" s="702">
        <f t="shared" si="54"/>
        <v>-55.713995610706419</v>
      </c>
      <c r="AG87" s="701">
        <f t="shared" si="55"/>
        <v>24.514781105011451</v>
      </c>
      <c r="AH87" s="702">
        <f t="shared" si="56"/>
        <v>-41.044271951726586</v>
      </c>
      <c r="AJ87" s="174">
        <f t="shared" si="57"/>
        <v>0</v>
      </c>
      <c r="AK87" s="174">
        <f t="shared" si="58"/>
        <v>0</v>
      </c>
      <c r="AM87" s="174" t="str">
        <f t="shared" si="62"/>
        <v>0.000134024177522951+0.0163716337781171i</v>
      </c>
      <c r="AN87" s="174" t="str">
        <f t="shared" si="63"/>
        <v>0.01637236521558i</v>
      </c>
      <c r="AO87" s="174" t="str">
        <f t="shared" si="64"/>
        <v>0.999955324874979-0.00818599974763653i</v>
      </c>
      <c r="AP87" s="174" t="str">
        <f t="shared" si="65"/>
        <v>0.166644329303746-0.00272860562968618i</v>
      </c>
      <c r="AQ87" s="174" t="str">
        <f t="shared" si="66"/>
        <v>0.833355670696254+0.00272860562968618i</v>
      </c>
      <c r="AR87" s="174" t="str">
        <f t="shared" si="67"/>
        <v>0.999562490654038-0.00327280648002676i</v>
      </c>
    </row>
    <row r="88" spans="7:44" x14ac:dyDescent="0.2">
      <c r="G88" s="703">
        <v>1000</v>
      </c>
      <c r="H88" s="691">
        <f t="shared" si="59"/>
        <v>1</v>
      </c>
      <c r="I88" s="692">
        <f t="shared" si="36"/>
        <v>1.3970939686894224</v>
      </c>
      <c r="J88" s="693">
        <f t="shared" si="37"/>
        <v>0.77306812026693261</v>
      </c>
      <c r="K88" s="693">
        <f t="shared" si="38"/>
        <v>1.0000001459911774</v>
      </c>
      <c r="L88" s="694">
        <f t="shared" si="39"/>
        <v>5.4035388320873383E-4</v>
      </c>
      <c r="M88" s="693">
        <f t="shared" si="40"/>
        <v>1.0000008144347952</v>
      </c>
      <c r="N88" s="694">
        <f t="shared" si="41"/>
        <v>-1.276271321102671E-3</v>
      </c>
      <c r="O88" s="692">
        <f t="shared" si="42"/>
        <v>1809.5576427106444</v>
      </c>
      <c r="P88" s="695">
        <f t="shared" si="43"/>
        <v>1.57024370552034</v>
      </c>
      <c r="Q88" s="704">
        <f t="shared" si="44"/>
        <v>1.2523933935483529</v>
      </c>
      <c r="R88" s="705">
        <f t="shared" si="45"/>
        <v>0.64604487200071159</v>
      </c>
      <c r="S88" s="692">
        <f t="shared" si="46"/>
        <v>1.0000126330138079</v>
      </c>
      <c r="T88" s="695">
        <f t="shared" si="47"/>
        <v>5.0265059067388096E-3</v>
      </c>
      <c r="U88" s="696">
        <f t="shared" si="60"/>
        <v>0.99954792392510949</v>
      </c>
      <c r="V88" s="697">
        <f t="shared" si="61"/>
        <v>-1.2566046636326813E-2</v>
      </c>
      <c r="W88" s="698">
        <f t="shared" si="48"/>
        <v>30.758982683841232</v>
      </c>
      <c r="X88" s="699">
        <f t="shared" si="49"/>
        <v>-98.296377246156879</v>
      </c>
      <c r="Y88" s="702">
        <f t="shared" si="50"/>
        <v>81.703622753843121</v>
      </c>
      <c r="AA88" s="174">
        <f t="shared" si="51"/>
        <v>1000000000</v>
      </c>
      <c r="AB88" s="174">
        <f t="shared" si="52"/>
        <v>1000000</v>
      </c>
      <c r="AD88" s="701">
        <f t="shared" si="53"/>
        <v>32.011706861898617</v>
      </c>
      <c r="AE88" s="702">
        <f t="shared" si="54"/>
        <v>-53.240690226578565</v>
      </c>
      <c r="AG88" s="701">
        <f t="shared" si="55"/>
        <v>24.143073919324458</v>
      </c>
      <c r="AH88" s="702">
        <f t="shared" si="56"/>
        <v>-43.615724143080719</v>
      </c>
      <c r="AJ88" s="174">
        <f t="shared" si="57"/>
        <v>0</v>
      </c>
      <c r="AK88" s="174">
        <f t="shared" si="58"/>
        <v>0</v>
      </c>
      <c r="AM88" s="174" t="str">
        <f t="shared" si="62"/>
        <v>0.000161132070573999+0.0179509937775874i</v>
      </c>
      <c r="AN88" s="174" t="str">
        <f t="shared" si="63"/>
        <v>0.017951958i</v>
      </c>
      <c r="AO88" s="174" t="str">
        <f t="shared" si="64"/>
        <v>0.999946288732817-0.0089757379431257i</v>
      </c>
      <c r="AP88" s="174" t="str">
        <f t="shared" si="65"/>
        <v>0.166639811321571-0.00299183229626457i</v>
      </c>
      <c r="AQ88" s="174" t="str">
        <f t="shared" si="66"/>
        <v>0.833360188678429+0.00299183229626457i</v>
      </c>
      <c r="AR88" s="174" t="str">
        <f t="shared" si="67"/>
        <v>0.999554904554866-0.00358848513039642i</v>
      </c>
    </row>
    <row r="89" spans="7:44" x14ac:dyDescent="0.2">
      <c r="G89" s="703">
        <v>1096.5</v>
      </c>
      <c r="H89" s="691">
        <f t="shared" si="59"/>
        <v>1.0965</v>
      </c>
      <c r="I89" s="692">
        <f t="shared" si="36"/>
        <v>1.4643929915929368</v>
      </c>
      <c r="J89" s="693">
        <f t="shared" si="37"/>
        <v>0.81910295972336422</v>
      </c>
      <c r="K89" s="693">
        <f t="shared" si="38"/>
        <v>1.0000001755269783</v>
      </c>
      <c r="L89" s="694">
        <f t="shared" si="39"/>
        <v>5.9249802127177536E-4</v>
      </c>
      <c r="M89" s="693">
        <f t="shared" si="40"/>
        <v>1.0000009792048505</v>
      </c>
      <c r="N89" s="694">
        <f t="shared" si="41"/>
        <v>-1.3994313498662508E-3</v>
      </c>
      <c r="O89" s="692">
        <f t="shared" si="42"/>
        <v>1984.1799042508949</v>
      </c>
      <c r="P89" s="695">
        <f t="shared" si="43"/>
        <v>1.5702923402157607</v>
      </c>
      <c r="Q89" s="704">
        <f t="shared" si="44"/>
        <v>1.2974981864438924</v>
      </c>
      <c r="R89" s="705">
        <f t="shared" si="45"/>
        <v>0.69083539384969705</v>
      </c>
      <c r="S89" s="692">
        <f t="shared" si="46"/>
        <v>1.0000151888078461</v>
      </c>
      <c r="T89" s="695">
        <f t="shared" si="47"/>
        <v>5.5115543358950948E-3</v>
      </c>
      <c r="U89" s="696">
        <f t="shared" si="60"/>
        <v>0.99953738923447033</v>
      </c>
      <c r="V89" s="697">
        <f t="shared" si="61"/>
        <v>-1.3778598275500386E-2</v>
      </c>
      <c r="W89" s="698">
        <f t="shared" si="48"/>
        <v>29.857377480961578</v>
      </c>
      <c r="X89" s="699">
        <f t="shared" si="49"/>
        <v>-98.471792186455232</v>
      </c>
      <c r="Y89" s="702">
        <f t="shared" si="50"/>
        <v>81.528207813544768</v>
      </c>
      <c r="AA89" s="174">
        <f t="shared" si="51"/>
        <v>1000000000</v>
      </c>
      <c r="AB89" s="174">
        <f t="shared" si="52"/>
        <v>1202312.25</v>
      </c>
      <c r="AD89" s="701">
        <f t="shared" si="53"/>
        <v>31.518831995209332</v>
      </c>
      <c r="AE89" s="702">
        <f t="shared" si="54"/>
        <v>-50.704960150181321</v>
      </c>
      <c r="AG89" s="701">
        <f t="shared" si="55"/>
        <v>23.734526673189649</v>
      </c>
      <c r="AH89" s="702">
        <f t="shared" si="56"/>
        <v>-46.187920976884918</v>
      </c>
      <c r="AJ89" s="174">
        <f t="shared" si="57"/>
        <v>0</v>
      </c>
      <c r="AK89" s="174">
        <f t="shared" si="58"/>
        <v>0</v>
      </c>
      <c r="AM89" s="174" t="str">
        <f t="shared" si="62"/>
        <v>0.00019373000971401+0.0196830507826213i</v>
      </c>
      <c r="AN89" s="174" t="str">
        <f t="shared" si="63"/>
        <v>0.019684321947i</v>
      </c>
      <c r="AO89" s="174" t="str">
        <f t="shared" si="64"/>
        <v>0.999935422496029-0.0098418431803558i</v>
      </c>
      <c r="AP89" s="174" t="str">
        <f t="shared" si="65"/>
        <v>0.166634378331714-0.00328050846377022i</v>
      </c>
      <c r="AQ89" s="174" t="str">
        <f t="shared" si="66"/>
        <v>0.833365621668286+0.00328050846377022i</v>
      </c>
      <c r="AR89" s="174" t="str">
        <f t="shared" si="67"/>
        <v>0.999545782336763-0.00393466962594092i</v>
      </c>
    </row>
    <row r="90" spans="7:44" x14ac:dyDescent="0.2">
      <c r="G90" s="703">
        <v>1202.3</v>
      </c>
      <c r="H90" s="691">
        <f t="shared" si="59"/>
        <v>1.2022999999999999</v>
      </c>
      <c r="I90" s="692">
        <f t="shared" si="36"/>
        <v>1.5414131208014095</v>
      </c>
      <c r="J90" s="693">
        <f t="shared" si="37"/>
        <v>0.86484859172962802</v>
      </c>
      <c r="K90" s="693">
        <f t="shared" si="38"/>
        <v>1.0000002110339321</v>
      </c>
      <c r="L90" s="694">
        <f t="shared" si="39"/>
        <v>6.4966744561109006E-4</v>
      </c>
      <c r="M90" s="693">
        <f t="shared" si="40"/>
        <v>1.0000011772858801</v>
      </c>
      <c r="N90" s="694">
        <f t="shared" si="41"/>
        <v>-1.5344606381748292E-3</v>
      </c>
      <c r="O90" s="692">
        <f t="shared" si="42"/>
        <v>2175.6310514411102</v>
      </c>
      <c r="P90" s="695">
        <f t="shared" si="43"/>
        <v>1.5703366900221321</v>
      </c>
      <c r="Q90" s="704">
        <f t="shared" si="44"/>
        <v>1.3497279478963242</v>
      </c>
      <c r="R90" s="705">
        <f t="shared" si="45"/>
        <v>0.73640172676179128</v>
      </c>
      <c r="S90" s="692">
        <f t="shared" si="46"/>
        <v>1.000018261289559</v>
      </c>
      <c r="T90" s="695">
        <f t="shared" si="47"/>
        <v>6.0433453761435723E-3</v>
      </c>
      <c r="U90" s="696">
        <f t="shared" si="60"/>
        <v>0.99952472519816349</v>
      </c>
      <c r="V90" s="697">
        <f t="shared" si="61"/>
        <v>-1.510798435372763E-2</v>
      </c>
      <c r="W90" s="698">
        <f t="shared" si="48"/>
        <v>28.954720164690183</v>
      </c>
      <c r="X90" s="699">
        <f t="shared" si="49"/>
        <v>-98.595704960104456</v>
      </c>
      <c r="Y90" s="702">
        <f t="shared" si="50"/>
        <v>81.404295039895544</v>
      </c>
      <c r="AA90" s="174">
        <f t="shared" si="51"/>
        <v>1000000000</v>
      </c>
      <c r="AB90" s="174">
        <f t="shared" si="52"/>
        <v>1445525.2899999998</v>
      </c>
      <c r="AD90" s="701">
        <f t="shared" si="53"/>
        <v>31.061510894630921</v>
      </c>
      <c r="AE90" s="702">
        <f t="shared" si="54"/>
        <v>-48.127212022401167</v>
      </c>
      <c r="AG90" s="701">
        <f t="shared" si="55"/>
        <v>23.289410557554469</v>
      </c>
      <c r="AH90" s="702">
        <f t="shared" si="56"/>
        <v>-48.737245454888473</v>
      </c>
      <c r="AJ90" s="174">
        <f t="shared" si="57"/>
        <v>0</v>
      </c>
      <c r="AK90" s="174">
        <f t="shared" ref="AK90:AK153" si="68">IF(AJ90&gt;0,Y90,0)</f>
        <v>0</v>
      </c>
      <c r="AM90" s="174" t="str">
        <f t="shared" si="62"/>
        <v>0.000232917696135981+0.0215819633402132i</v>
      </c>
      <c r="AN90" s="174" t="str">
        <f t="shared" si="63"/>
        <v>0.0215836391034i</v>
      </c>
      <c r="AO90" s="174" t="str">
        <f t="shared" si="64"/>
        <v>0.999922359562316-0.0107914006076617i</v>
      </c>
      <c r="AP90" s="174" t="str">
        <f t="shared" si="65"/>
        <v>0.166627847050644-0.00359699389003553i</v>
      </c>
      <c r="AQ90" s="174" t="str">
        <f t="shared" si="66"/>
        <v>0.833372152949356+0.00359699389003553i</v>
      </c>
      <c r="AR90" s="174" t="str">
        <f t="shared" si="67"/>
        <v>0.99953481641942-0.00431418378309664i</v>
      </c>
    </row>
    <row r="91" spans="7:44" x14ac:dyDescent="0.2">
      <c r="G91" s="703">
        <v>1318.3</v>
      </c>
      <c r="H91" s="691">
        <f t="shared" si="59"/>
        <v>1.3183</v>
      </c>
      <c r="I91" s="692">
        <f t="shared" si="36"/>
        <v>1.6291935897502188</v>
      </c>
      <c r="J91" s="693">
        <f t="shared" si="37"/>
        <v>0.90993052571297661</v>
      </c>
      <c r="K91" s="693">
        <f t="shared" si="38"/>
        <v>1.0000002537202273</v>
      </c>
      <c r="L91" s="694">
        <f t="shared" si="39"/>
        <v>7.1234847307366316E-4</v>
      </c>
      <c r="M91" s="693">
        <f t="shared" si="40"/>
        <v>1.0000014154179324</v>
      </c>
      <c r="N91" s="694">
        <f t="shared" si="41"/>
        <v>-1.6825078085041865E-3</v>
      </c>
      <c r="O91" s="692">
        <f t="shared" si="42"/>
        <v>2385.5396857213068</v>
      </c>
      <c r="P91" s="695">
        <f t="shared" si="43"/>
        <v>1.5703771344271182</v>
      </c>
      <c r="Q91" s="704">
        <f t="shared" si="44"/>
        <v>1.4099595266151919</v>
      </c>
      <c r="R91" s="705">
        <f t="shared" si="45"/>
        <v>0.78237646021529406</v>
      </c>
      <c r="S91" s="692">
        <f t="shared" si="46"/>
        <v>1.000021955000471</v>
      </c>
      <c r="T91" s="695">
        <f t="shared" si="47"/>
        <v>6.6264015564301169E-3</v>
      </c>
      <c r="U91" s="696">
        <f t="shared" si="60"/>
        <v>0.9995095011551699</v>
      </c>
      <c r="V91" s="697">
        <f t="shared" si="61"/>
        <v>-1.6565504165212314E-2</v>
      </c>
      <c r="W91" s="698">
        <f t="shared" si="48"/>
        <v>28.052665567391671</v>
      </c>
      <c r="X91" s="699">
        <f t="shared" si="49"/>
        <v>-98.668676124110888</v>
      </c>
      <c r="Y91" s="702">
        <f t="shared" si="50"/>
        <v>81.331323875889112</v>
      </c>
      <c r="AA91" s="174">
        <f t="shared" si="51"/>
        <v>1000000000</v>
      </c>
      <c r="AB91" s="174">
        <f t="shared" si="52"/>
        <v>1737914.89</v>
      </c>
      <c r="AD91" s="701">
        <f t="shared" si="53"/>
        <v>30.640658979876125</v>
      </c>
      <c r="AE91" s="702">
        <f t="shared" si="54"/>
        <v>-45.52877778036747</v>
      </c>
      <c r="AG91" s="701">
        <f t="shared" si="55"/>
        <v>22.808472471495488</v>
      </c>
      <c r="AH91" s="702">
        <f t="shared" si="56"/>
        <v>-51.241631393228225</v>
      </c>
      <c r="AJ91" s="174">
        <f t="shared" si="57"/>
        <v>0</v>
      </c>
      <c r="AK91" s="174">
        <f t="shared" si="68"/>
        <v>0</v>
      </c>
      <c r="AM91" s="174" t="str">
        <f t="shared" si="62"/>
        <v>0.000280028275153055+0.0236638571342552i</v>
      </c>
      <c r="AN91" s="174" t="str">
        <f t="shared" si="63"/>
        <v>0.0236660662314i</v>
      </c>
      <c r="AO91" s="174" t="str">
        <f t="shared" si="64"/>
        <v>0.999906655498924-0.011832480836275i</v>
      </c>
      <c r="AP91" s="174" t="str">
        <f t="shared" si="65"/>
        <v>0.166619995287474-0.00394397618904253i</v>
      </c>
      <c r="AQ91" s="174" t="str">
        <f t="shared" si="66"/>
        <v>0.833380004712526+0.00394397618904253i</v>
      </c>
      <c r="AR91" s="174" t="str">
        <f t="shared" si="67"/>
        <v>0.99952163397958-0.00473024250948782i</v>
      </c>
    </row>
    <row r="92" spans="7:44" x14ac:dyDescent="0.2">
      <c r="G92" s="703">
        <v>1445.4</v>
      </c>
      <c r="H92" s="691">
        <f t="shared" si="59"/>
        <v>1.4454</v>
      </c>
      <c r="I92" s="692">
        <f t="shared" si="36"/>
        <v>1.7287660698752896</v>
      </c>
      <c r="J92" s="693">
        <f t="shared" si="37"/>
        <v>0.95397244242662238</v>
      </c>
      <c r="K92" s="693">
        <f t="shared" si="38"/>
        <v>1.000000305001993</v>
      </c>
      <c r="L92" s="694">
        <f t="shared" si="39"/>
        <v>7.8102741999537507E-4</v>
      </c>
      <c r="M92" s="693">
        <f t="shared" si="40"/>
        <v>1.0000017015010756</v>
      </c>
      <c r="N92" s="694">
        <f t="shared" si="41"/>
        <v>-1.8447214765956721E-3</v>
      </c>
      <c r="O92" s="692">
        <f t="shared" si="42"/>
        <v>2615.5344085600887</v>
      </c>
      <c r="P92" s="695">
        <f t="shared" si="43"/>
        <v>1.5704139957419807</v>
      </c>
      <c r="Q92" s="704">
        <f t="shared" si="44"/>
        <v>1.4790797651914922</v>
      </c>
      <c r="R92" s="705">
        <f t="shared" si="45"/>
        <v>0.82834507167700577</v>
      </c>
      <c r="S92" s="692">
        <f t="shared" si="46"/>
        <v>1.0000263924728698</v>
      </c>
      <c r="T92" s="695">
        <f t="shared" si="47"/>
        <v>7.2652449943541881E-3</v>
      </c>
      <c r="U92" s="696">
        <f t="shared" si="60"/>
        <v>0.9994912124125398</v>
      </c>
      <c r="V92" s="697">
        <f t="shared" si="61"/>
        <v>-1.8162453857881268E-2</v>
      </c>
      <c r="W92" s="698">
        <f t="shared" si="48"/>
        <v>27.153423421864463</v>
      </c>
      <c r="X92" s="699">
        <f t="shared" si="49"/>
        <v>-98.693857299442641</v>
      </c>
      <c r="Y92" s="702">
        <f t="shared" si="50"/>
        <v>81.306142700557359</v>
      </c>
      <c r="AA92" s="174">
        <f t="shared" si="51"/>
        <v>1000000000</v>
      </c>
      <c r="AB92" s="174">
        <f t="shared" si="52"/>
        <v>2089181.1600000001</v>
      </c>
      <c r="AD92" s="701">
        <f t="shared" si="53"/>
        <v>30.25684358779953</v>
      </c>
      <c r="AE92" s="702">
        <f t="shared" si="54"/>
        <v>-42.933685381100965</v>
      </c>
      <c r="AG92" s="701">
        <f t="shared" si="55"/>
        <v>22.293363584865094</v>
      </c>
      <c r="AH92" s="702">
        <f t="shared" si="56"/>
        <v>-53.678908012648115</v>
      </c>
      <c r="AJ92" s="174">
        <f t="shared" si="57"/>
        <v>0</v>
      </c>
      <c r="AK92" s="174">
        <f t="shared" si="68"/>
        <v>0</v>
      </c>
      <c r="AM92" s="174" t="str">
        <f t="shared" si="62"/>
        <v>0.000336624239251959+0.025944848479521i</v>
      </c>
      <c r="AN92" s="174" t="str">
        <f t="shared" si="63"/>
        <v>0.0259477600932i</v>
      </c>
      <c r="AO92" s="174" t="str">
        <f t="shared" si="64"/>
        <v>0.999887789401916-0.0129731521350152i</v>
      </c>
      <c r="AP92" s="174" t="str">
        <f t="shared" si="65"/>
        <v>0.166610562626791-0.0043241414132535i</v>
      </c>
      <c r="AQ92" s="174" t="str">
        <f t="shared" si="66"/>
        <v>0.833389437373209+0.0043241414132535i</v>
      </c>
      <c r="AR92" s="174" t="str">
        <f t="shared" si="67"/>
        <v>0.999505798136026-0.00518605614696734i</v>
      </c>
    </row>
    <row r="93" spans="7:44" x14ac:dyDescent="0.2">
      <c r="G93" s="703">
        <v>1584.9</v>
      </c>
      <c r="H93" s="691">
        <f t="shared" si="59"/>
        <v>1.5849000000000002</v>
      </c>
      <c r="I93" s="692">
        <f t="shared" si="36"/>
        <v>1.8414705507812286</v>
      </c>
      <c r="J93" s="693">
        <f t="shared" si="37"/>
        <v>0.99673806144316246</v>
      </c>
      <c r="K93" s="693">
        <f t="shared" si="38"/>
        <v>1.0000003667163673</v>
      </c>
      <c r="L93" s="694">
        <f t="shared" si="39"/>
        <v>8.5640674347717586E-4</v>
      </c>
      <c r="M93" s="693">
        <f t="shared" si="40"/>
        <v>1.0000020457840264</v>
      </c>
      <c r="N93" s="694">
        <f t="shared" si="41"/>
        <v>-2.0227607563334149E-3</v>
      </c>
      <c r="O93" s="692">
        <f t="shared" si="42"/>
        <v>2867.9676443468497</v>
      </c>
      <c r="P93" s="695">
        <f t="shared" si="43"/>
        <v>1.5704476478193043</v>
      </c>
      <c r="Q93" s="704">
        <f t="shared" si="44"/>
        <v>1.5582017217718351</v>
      </c>
      <c r="R93" s="705">
        <f t="shared" si="45"/>
        <v>0.87399823935091314</v>
      </c>
      <c r="S93" s="692">
        <f t="shared" si="46"/>
        <v>1.0000317326655352</v>
      </c>
      <c r="T93" s="695">
        <f t="shared" si="47"/>
        <v>7.9664077755186215E-3</v>
      </c>
      <c r="U93" s="696">
        <f t="shared" si="60"/>
        <v>0.99946920432199049</v>
      </c>
      <c r="V93" s="697">
        <f t="shared" si="61"/>
        <v>-1.9915151146499638E-2</v>
      </c>
      <c r="W93" s="698">
        <f t="shared" si="48"/>
        <v>26.256983841911492</v>
      </c>
      <c r="X93" s="699">
        <f t="shared" si="49"/>
        <v>-98.67681887795257</v>
      </c>
      <c r="Y93" s="702">
        <f t="shared" si="50"/>
        <v>81.32318112204743</v>
      </c>
      <c r="AA93" s="174">
        <f t="shared" si="51"/>
        <v>1000000000</v>
      </c>
      <c r="AB93" s="174">
        <f t="shared" si="52"/>
        <v>2511908.0100000002</v>
      </c>
      <c r="AD93" s="701">
        <f t="shared" si="53"/>
        <v>29.909162695793711</v>
      </c>
      <c r="AE93" s="702">
        <f t="shared" si="54"/>
        <v>-40.360053339157048</v>
      </c>
      <c r="AG93" s="701">
        <f t="shared" si="55"/>
        <v>21.744987415439191</v>
      </c>
      <c r="AH93" s="702">
        <f t="shared" si="56"/>
        <v>-56.034657318068724</v>
      </c>
      <c r="AJ93" s="174">
        <f t="shared" si="57"/>
        <v>0</v>
      </c>
      <c r="AK93" s="174">
        <f t="shared" si="68"/>
        <v>0</v>
      </c>
      <c r="AM93" s="174" t="str">
        <f t="shared" si="62"/>
        <v>0.000404732504533989+0.0284482196396898i</v>
      </c>
      <c r="AN93" s="174" t="str">
        <f t="shared" si="63"/>
        <v>0.0284520582342i</v>
      </c>
      <c r="AO93" s="174" t="str">
        <f t="shared" si="64"/>
        <v>0.999865085524618-0.0142250694555198i</v>
      </c>
      <c r="AP93" s="174" t="str">
        <f t="shared" si="65"/>
        <v>0.166599211249244-0.0047413699399483i</v>
      </c>
      <c r="AQ93" s="174" t="str">
        <f t="shared" si="66"/>
        <v>0.833400788750756+0.0047413699399483i</v>
      </c>
      <c r="AR93" s="174" t="str">
        <f t="shared" si="67"/>
        <v>0.999486742231539-0.00568626339086744i</v>
      </c>
    </row>
    <row r="94" spans="7:44" x14ac:dyDescent="0.2">
      <c r="G94" s="703">
        <v>1737.8</v>
      </c>
      <c r="H94" s="691">
        <f t="shared" si="59"/>
        <v>1.7378</v>
      </c>
      <c r="I94" s="692">
        <f t="shared" si="36"/>
        <v>1.9684012308071681</v>
      </c>
      <c r="J94" s="693">
        <f t="shared" si="37"/>
        <v>1.0379042752062893</v>
      </c>
      <c r="K94" s="693">
        <f t="shared" si="38"/>
        <v>1.0000004408858216</v>
      </c>
      <c r="L94" s="694">
        <f t="shared" si="39"/>
        <v>9.3902679363084423E-4</v>
      </c>
      <c r="M94" s="693">
        <f t="shared" si="40"/>
        <v>1.0000024595493922</v>
      </c>
      <c r="N94" s="694">
        <f t="shared" si="41"/>
        <v>-2.2179018693453145E-3</v>
      </c>
      <c r="O94" s="692">
        <f t="shared" si="42"/>
        <v>3144.6489503301841</v>
      </c>
      <c r="P94" s="695">
        <f t="shared" si="43"/>
        <v>1.5704783262699893</v>
      </c>
      <c r="Q94" s="704">
        <f t="shared" si="44"/>
        <v>1.6482743512372733</v>
      </c>
      <c r="R94" s="705">
        <f t="shared" si="45"/>
        <v>0.91889979237733255</v>
      </c>
      <c r="S94" s="692">
        <f t="shared" si="46"/>
        <v>1.0000381505686438</v>
      </c>
      <c r="T94" s="695">
        <f t="shared" si="47"/>
        <v>8.7349133704797532E-3</v>
      </c>
      <c r="U94" s="696">
        <f t="shared" si="60"/>
        <v>0.99944275641898617</v>
      </c>
      <c r="V94" s="697">
        <f t="shared" si="61"/>
        <v>-2.1836138860143784E-2</v>
      </c>
      <c r="W94" s="698">
        <f t="shared" si="48"/>
        <v>25.365883441939438</v>
      </c>
      <c r="X94" s="699">
        <f t="shared" si="49"/>
        <v>-98.625101046423396</v>
      </c>
      <c r="Y94" s="702">
        <f t="shared" si="50"/>
        <v>81.374898953576604</v>
      </c>
      <c r="AA94" s="174">
        <f t="shared" si="51"/>
        <v>1000000000</v>
      </c>
      <c r="AB94" s="174">
        <f t="shared" si="52"/>
        <v>3019948.84</v>
      </c>
      <c r="AD94" s="701">
        <f t="shared" si="53"/>
        <v>29.597264906476575</v>
      </c>
      <c r="AE94" s="702">
        <f t="shared" si="54"/>
        <v>-37.833173727142679</v>
      </c>
      <c r="AG94" s="701">
        <f t="shared" si="55"/>
        <v>21.16624450200192</v>
      </c>
      <c r="AH94" s="702">
        <f t="shared" si="56"/>
        <v>-58.289690121325805</v>
      </c>
      <c r="AJ94" s="174">
        <f t="shared" si="57"/>
        <v>0</v>
      </c>
      <c r="AK94" s="174">
        <f t="shared" si="68"/>
        <v>0</v>
      </c>
      <c r="AM94" s="174" t="str">
        <f t="shared" si="62"/>
        <v>0.000486584212452956+0.0311918524731892i</v>
      </c>
      <c r="AN94" s="174" t="str">
        <f t="shared" si="63"/>
        <v>0.0311969126124i</v>
      </c>
      <c r="AO94" s="174" t="str">
        <f t="shared" si="64"/>
        <v>0.999837800000479-0.0155971912508916i</v>
      </c>
      <c r="AP94" s="174" t="str">
        <f t="shared" si="65"/>
        <v>0.166585569297925-0.00519864207886487i</v>
      </c>
      <c r="AQ94" s="174" t="str">
        <f t="shared" si="66"/>
        <v>0.833414430702075+0.00519864207886487i</v>
      </c>
      <c r="AR94" s="174" t="str">
        <f t="shared" si="67"/>
        <v>0.999463842718898-0.00623441903289989i</v>
      </c>
    </row>
    <row r="95" spans="7:44" x14ac:dyDescent="0.2">
      <c r="G95" s="703">
        <v>1905.5</v>
      </c>
      <c r="H95" s="691">
        <f t="shared" si="59"/>
        <v>1.9055</v>
      </c>
      <c r="I95" s="692">
        <f t="shared" si="36"/>
        <v>2.1109664212608337</v>
      </c>
      <c r="J95" s="693">
        <f t="shared" si="37"/>
        <v>1.0772900662869576</v>
      </c>
      <c r="K95" s="693">
        <f t="shared" si="38"/>
        <v>1.0000005300836801</v>
      </c>
      <c r="L95" s="694">
        <f t="shared" si="39"/>
        <v>1.0296440608018975E-3</v>
      </c>
      <c r="M95" s="693">
        <f t="shared" si="40"/>
        <v>1.0000029571527667</v>
      </c>
      <c r="N95" s="694">
        <f t="shared" si="41"/>
        <v>-2.4319315284012017E-3</v>
      </c>
      <c r="O95" s="692">
        <f t="shared" si="42"/>
        <v>3448.1117066821062</v>
      </c>
      <c r="P95" s="695">
        <f t="shared" si="43"/>
        <v>1.5705063129847059</v>
      </c>
      <c r="Q95" s="704">
        <f t="shared" si="44"/>
        <v>1.7504698447527094</v>
      </c>
      <c r="R95" s="705">
        <f t="shared" si="45"/>
        <v>0.96273763291478065</v>
      </c>
      <c r="S95" s="692">
        <f t="shared" si="46"/>
        <v>1.0000458688297449</v>
      </c>
      <c r="T95" s="695">
        <f t="shared" si="47"/>
        <v>9.5777947902754099E-3</v>
      </c>
      <c r="U95" s="696">
        <f t="shared" si="60"/>
        <v>0.99941095220459431</v>
      </c>
      <c r="V95" s="697">
        <f t="shared" si="61"/>
        <v>-2.3942978127093621E-2</v>
      </c>
      <c r="W95" s="698">
        <f t="shared" si="48"/>
        <v>24.480510680051687</v>
      </c>
      <c r="X95" s="699">
        <f t="shared" si="49"/>
        <v>-98.547698478201241</v>
      </c>
      <c r="Y95" s="702">
        <f t="shared" si="50"/>
        <v>81.452301521798759</v>
      </c>
      <c r="AA95" s="174">
        <f t="shared" si="51"/>
        <v>1000000000</v>
      </c>
      <c r="AB95" s="174">
        <f t="shared" si="52"/>
        <v>3630930.25</v>
      </c>
      <c r="AD95" s="701">
        <f t="shared" si="53"/>
        <v>29.319517398115309</v>
      </c>
      <c r="AE95" s="702">
        <f t="shared" si="54"/>
        <v>-35.371347547186325</v>
      </c>
      <c r="AG95" s="701">
        <f t="shared" si="55"/>
        <v>20.559172061110122</v>
      </c>
      <c r="AH95" s="702">
        <f t="shared" si="56"/>
        <v>-60.432687736566791</v>
      </c>
      <c r="AJ95" s="174">
        <f t="shared" si="57"/>
        <v>0</v>
      </c>
      <c r="AK95" s="174">
        <f t="shared" si="68"/>
        <v>0</v>
      </c>
      <c r="AM95" s="174" t="str">
        <f t="shared" si="62"/>
        <v>0.000585017972031032+0.0342007850499603i</v>
      </c>
      <c r="AN95" s="174" t="str">
        <f t="shared" si="63"/>
        <v>0.034207455969i</v>
      </c>
      <c r="AO95" s="174" t="str">
        <f t="shared" si="64"/>
        <v>0.999804986402796-0.0171020602222275i</v>
      </c>
      <c r="AP95" s="174" t="str">
        <f t="shared" si="65"/>
        <v>0.166569163671328-0.00570013084166005i</v>
      </c>
      <c r="AQ95" s="174" t="str">
        <f t="shared" si="66"/>
        <v>0.833430836328672+0.00570013084166005i</v>
      </c>
      <c r="AR95" s="174" t="str">
        <f t="shared" si="67"/>
        <v>0.999436306456403-0.00683550147940568i</v>
      </c>
    </row>
    <row r="96" spans="7:44" x14ac:dyDescent="0.2">
      <c r="G96" s="703">
        <v>2089.3000000000002</v>
      </c>
      <c r="H96" s="691">
        <f t="shared" si="59"/>
        <v>2.0893000000000002</v>
      </c>
      <c r="I96" s="692">
        <f t="shared" si="36"/>
        <v>2.2704813233967895</v>
      </c>
      <c r="J96" s="693">
        <f t="shared" si="37"/>
        <v>1.1147129109722416</v>
      </c>
      <c r="K96" s="693">
        <f t="shared" si="38"/>
        <v>1.0000006372768064</v>
      </c>
      <c r="L96" s="694">
        <f t="shared" si="39"/>
        <v>1.1289609984265103E-3</v>
      </c>
      <c r="M96" s="693">
        <f t="shared" si="40"/>
        <v>1.0000035551451203</v>
      </c>
      <c r="N96" s="694">
        <f t="shared" si="41"/>
        <v>-2.6665087990977005E-3</v>
      </c>
      <c r="O96" s="692">
        <f t="shared" si="42"/>
        <v>3780.7083378698726</v>
      </c>
      <c r="P96" s="695">
        <f t="shared" si="43"/>
        <v>1.5705318260923051</v>
      </c>
      <c r="Q96" s="704">
        <f t="shared" si="44"/>
        <v>1.8658924424926471</v>
      </c>
      <c r="R96" s="705">
        <f t="shared" si="45"/>
        <v>1.0051796263275456</v>
      </c>
      <c r="S96" s="692">
        <f t="shared" si="46"/>
        <v>1.0000551441374943</v>
      </c>
      <c r="T96" s="695">
        <f t="shared" si="47"/>
        <v>1.0501581171450933E-2</v>
      </c>
      <c r="U96" s="696">
        <f t="shared" si="60"/>
        <v>0.99937273543191174</v>
      </c>
      <c r="V96" s="697">
        <f t="shared" si="61"/>
        <v>-2.625196411557796E-2</v>
      </c>
      <c r="W96" s="698">
        <f t="shared" si="48"/>
        <v>23.602174401964149</v>
      </c>
      <c r="X96" s="699">
        <f t="shared" si="49"/>
        <v>-98.454558291777971</v>
      </c>
      <c r="Y96" s="702">
        <f t="shared" si="50"/>
        <v>81.545441708222029</v>
      </c>
      <c r="AA96" s="174">
        <f t="shared" si="51"/>
        <v>1000000000</v>
      </c>
      <c r="AB96" s="174">
        <f t="shared" si="52"/>
        <v>4365174.4900000012</v>
      </c>
      <c r="AD96" s="701">
        <f t="shared" si="53"/>
        <v>29.074239317427949</v>
      </c>
      <c r="AE96" s="702">
        <f t="shared" si="54"/>
        <v>-32.993991301997042</v>
      </c>
      <c r="AG96" s="701">
        <f t="shared" si="55"/>
        <v>19.926778161046244</v>
      </c>
      <c r="AH96" s="702">
        <f t="shared" si="56"/>
        <v>-62.452313490840453</v>
      </c>
      <c r="AJ96" s="174">
        <f t="shared" si="57"/>
        <v>0</v>
      </c>
      <c r="AK96" s="174">
        <f t="shared" si="68"/>
        <v>0</v>
      </c>
      <c r="AM96" s="174" t="str">
        <f t="shared" si="62"/>
        <v>0.000703306038671969+0.0374982324644634i</v>
      </c>
      <c r="AN96" s="174" t="str">
        <f t="shared" si="63"/>
        <v>0.0375070258494i</v>
      </c>
      <c r="AO96" s="174" t="str">
        <f t="shared" si="64"/>
        <v>0.999765553659949-0.0187513145269347i</v>
      </c>
      <c r="AP96" s="174" t="str">
        <f t="shared" si="65"/>
        <v>0.166549448993555-0.0062497054107439i</v>
      </c>
      <c r="AQ96" s="174" t="str">
        <f t="shared" si="66"/>
        <v>0.833450551006445+0.0062497054107439i</v>
      </c>
      <c r="AR96" s="174" t="str">
        <f t="shared" si="67"/>
        <v>0.999403219509964-0.007494116718675i</v>
      </c>
    </row>
    <row r="97" spans="7:44" x14ac:dyDescent="0.2">
      <c r="G97" s="703">
        <v>2290.9</v>
      </c>
      <c r="H97" s="691">
        <f t="shared" si="59"/>
        <v>2.2909000000000002</v>
      </c>
      <c r="I97" s="692">
        <f t="shared" si="36"/>
        <v>2.4485983785557583</v>
      </c>
      <c r="J97" s="693">
        <f t="shared" si="37"/>
        <v>1.1500991862429446</v>
      </c>
      <c r="K97" s="693">
        <f t="shared" si="38"/>
        <v>1.0000007661939894</v>
      </c>
      <c r="L97" s="694">
        <f t="shared" si="39"/>
        <v>1.2378961992118179E-3</v>
      </c>
      <c r="M97" s="693">
        <f t="shared" si="40"/>
        <v>1.0000042743278754</v>
      </c>
      <c r="N97" s="694">
        <f t="shared" si="41"/>
        <v>-2.9238032254878827E-3</v>
      </c>
      <c r="O97" s="692">
        <f t="shared" si="42"/>
        <v>4145.5150912980353</v>
      </c>
      <c r="P97" s="695">
        <f t="shared" si="43"/>
        <v>1.5705551022455524</v>
      </c>
      <c r="Q97" s="704">
        <f t="shared" si="44"/>
        <v>1.9958852799511431</v>
      </c>
      <c r="R97" s="705">
        <f t="shared" si="45"/>
        <v>1.046006875488114</v>
      </c>
      <c r="S97" s="692">
        <f t="shared" si="46"/>
        <v>1.0000662990922313</v>
      </c>
      <c r="T97" s="695">
        <f t="shared" si="47"/>
        <v>1.1514810416488816E-2</v>
      </c>
      <c r="U97" s="696">
        <f t="shared" si="60"/>
        <v>0.99932677903429745</v>
      </c>
      <c r="V97" s="697">
        <f t="shared" si="61"/>
        <v>-2.8784404376377196E-2</v>
      </c>
      <c r="W97" s="698">
        <f t="shared" si="48"/>
        <v>22.730565858659656</v>
      </c>
      <c r="X97" s="699">
        <f t="shared" si="49"/>
        <v>-98.355799332390973</v>
      </c>
      <c r="Y97" s="702">
        <f t="shared" si="50"/>
        <v>81.644200667609027</v>
      </c>
      <c r="AA97" s="174">
        <f t="shared" si="51"/>
        <v>1000000000</v>
      </c>
      <c r="AB97" s="174">
        <f t="shared" si="52"/>
        <v>5248222.8100000005</v>
      </c>
      <c r="AD97" s="701">
        <f t="shared" si="53"/>
        <v>28.859015314633968</v>
      </c>
      <c r="AE97" s="702">
        <f t="shared" si="54"/>
        <v>-30.714149618126619</v>
      </c>
      <c r="AG97" s="701">
        <f t="shared" si="55"/>
        <v>19.271192484386994</v>
      </c>
      <c r="AH97" s="702">
        <f t="shared" si="56"/>
        <v>-64.343199937366734</v>
      </c>
      <c r="AJ97" s="174">
        <f t="shared" si="57"/>
        <v>0</v>
      </c>
      <c r="AK97" s="174">
        <f t="shared" si="68"/>
        <v>0</v>
      </c>
      <c r="AM97" s="174" t="str">
        <f t="shared" si="62"/>
        <v>0.000845560530615019+0.0411145483815605i</v>
      </c>
      <c r="AN97" s="174" t="str">
        <f t="shared" si="63"/>
        <v>0.0411261405822i</v>
      </c>
      <c r="AO97" s="174" t="str">
        <f t="shared" si="64"/>
        <v>0.999718130598315-0.0205601721592371i</v>
      </c>
      <c r="AP97" s="174" t="str">
        <f t="shared" si="65"/>
        <v>0.166525739911564-0.00685242473026008i</v>
      </c>
      <c r="AQ97" s="174" t="str">
        <f t="shared" si="66"/>
        <v>0.833474260088436+0.00685242473026008i</v>
      </c>
      <c r="AR97" s="174" t="str">
        <f t="shared" si="67"/>
        <v>0.99936343376912-0.00821628577630044i</v>
      </c>
    </row>
    <row r="98" spans="7:44" x14ac:dyDescent="0.2">
      <c r="G98" s="703">
        <v>2511.9</v>
      </c>
      <c r="H98" s="691">
        <f t="shared" si="59"/>
        <v>2.5119000000000002</v>
      </c>
      <c r="I98" s="692">
        <f t="shared" si="36"/>
        <v>2.6468789896065741</v>
      </c>
      <c r="J98" s="693">
        <f t="shared" si="37"/>
        <v>1.1833735644095613</v>
      </c>
      <c r="K98" s="693">
        <f t="shared" si="38"/>
        <v>1.0000009211516501</v>
      </c>
      <c r="L98" s="694">
        <f t="shared" si="39"/>
        <v>1.357314217807891E-3</v>
      </c>
      <c r="M98" s="693">
        <f t="shared" si="40"/>
        <v>1.0000051387805622</v>
      </c>
      <c r="N98" s="694">
        <f t="shared" si="41"/>
        <v>-3.205856689329449E-3</v>
      </c>
      <c r="O98" s="692">
        <f t="shared" si="42"/>
        <v>4545.4272586608222</v>
      </c>
      <c r="P98" s="695">
        <f t="shared" si="43"/>
        <v>1.5705763254724332</v>
      </c>
      <c r="Q98" s="704">
        <f t="shared" si="44"/>
        <v>2.1417196801065499</v>
      </c>
      <c r="R98" s="705">
        <f t="shared" si="45"/>
        <v>1.0849979527195703</v>
      </c>
      <c r="S98" s="692">
        <f t="shared" si="46"/>
        <v>1.0000797071164578</v>
      </c>
      <c r="T98" s="695">
        <f t="shared" si="47"/>
        <v>1.2625515630208613E-2</v>
      </c>
      <c r="U98" s="696">
        <f t="shared" si="60"/>
        <v>0.9992715476624745</v>
      </c>
      <c r="V98" s="697">
        <f t="shared" si="61"/>
        <v>-3.1560333452068219E-2</v>
      </c>
      <c r="W98" s="698">
        <f t="shared" si="48"/>
        <v>21.866264423071392</v>
      </c>
      <c r="X98" s="699">
        <f t="shared" si="49"/>
        <v>-98.261478670355302</v>
      </c>
      <c r="Y98" s="702">
        <f t="shared" si="50"/>
        <v>81.738521329644698</v>
      </c>
      <c r="AA98" s="174">
        <f t="shared" si="51"/>
        <v>1000000000</v>
      </c>
      <c r="AB98" s="174">
        <f t="shared" si="52"/>
        <v>6309641.6100000003</v>
      </c>
      <c r="AD98" s="701">
        <f t="shared" si="53"/>
        <v>28.671515675596254</v>
      </c>
      <c r="AE98" s="702">
        <f t="shared" si="54"/>
        <v>-28.544980173974135</v>
      </c>
      <c r="AG98" s="701">
        <f t="shared" si="55"/>
        <v>18.595350827938493</v>
      </c>
      <c r="AH98" s="702">
        <f t="shared" si="56"/>
        <v>-66.09995067859056</v>
      </c>
      <c r="AJ98" s="174">
        <f t="shared" si="57"/>
        <v>0</v>
      </c>
      <c r="AK98" s="174">
        <f t="shared" si="68"/>
        <v>0</v>
      </c>
      <c r="AM98" s="174" t="str">
        <f t="shared" si="62"/>
        <v>0.00101654064929602+0.0450782424646286i</v>
      </c>
      <c r="AN98" s="174" t="str">
        <f t="shared" si="63"/>
        <v>0.0450935233002i</v>
      </c>
      <c r="AO98" s="174" t="str">
        <f t="shared" si="64"/>
        <v>0.9996611301479-0.0225429413117407i</v>
      </c>
      <c r="AP98" s="174" t="str">
        <f t="shared" si="65"/>
        <v>0.166497243225117-0.00751304041077143i</v>
      </c>
      <c r="AQ98" s="174" t="str">
        <f t="shared" si="66"/>
        <v>0.833502756774883+0.00751304041077143i</v>
      </c>
      <c r="AR98" s="174" t="str">
        <f t="shared" si="67"/>
        <v>0.999315621230387-0.00900764704662738i</v>
      </c>
    </row>
    <row r="99" spans="7:44" x14ac:dyDescent="0.2">
      <c r="G99" s="703">
        <v>2754.2</v>
      </c>
      <c r="H99" s="691">
        <f t="shared" si="59"/>
        <v>2.7542</v>
      </c>
      <c r="I99" s="692">
        <f t="shared" si="36"/>
        <v>2.8671473063719617</v>
      </c>
      <c r="J99" s="693">
        <f t="shared" si="37"/>
        <v>1.214528636141651</v>
      </c>
      <c r="K99" s="693">
        <f t="shared" si="38"/>
        <v>1.0000011074327175</v>
      </c>
      <c r="L99" s="694">
        <f t="shared" si="39"/>
        <v>1.4882417112286918E-3</v>
      </c>
      <c r="M99" s="693">
        <f t="shared" si="40"/>
        <v>1.0000061779743818</v>
      </c>
      <c r="N99" s="694">
        <f t="shared" si="41"/>
        <v>-3.5150939036938614E-3</v>
      </c>
      <c r="O99" s="692">
        <f t="shared" si="42"/>
        <v>4983.8829988622629</v>
      </c>
      <c r="P99" s="695">
        <f t="shared" si="43"/>
        <v>1.5705956800287229</v>
      </c>
      <c r="Q99" s="704">
        <f t="shared" si="44"/>
        <v>2.3048517948538527</v>
      </c>
      <c r="R99" s="705">
        <f t="shared" si="45"/>
        <v>1.1220155380384502</v>
      </c>
      <c r="S99" s="692">
        <f t="shared" si="46"/>
        <v>1.0000958252264573</v>
      </c>
      <c r="T99" s="695">
        <f t="shared" si="47"/>
        <v>1.3843234811358775E-2</v>
      </c>
      <c r="U99" s="696">
        <f t="shared" si="60"/>
        <v>0.99920516319079633</v>
      </c>
      <c r="V99" s="697">
        <f t="shared" si="61"/>
        <v>-3.4603532342402259E-2</v>
      </c>
      <c r="W99" s="698">
        <f t="shared" si="48"/>
        <v>21.008984660664822</v>
      </c>
      <c r="X99" s="699">
        <f t="shared" si="49"/>
        <v>-98.181039335595273</v>
      </c>
      <c r="Y99" s="702">
        <f t="shared" si="50"/>
        <v>81.818960664404727</v>
      </c>
      <c r="AA99" s="174">
        <f t="shared" si="51"/>
        <v>1000000000</v>
      </c>
      <c r="AB99" s="174">
        <f t="shared" si="52"/>
        <v>7585617.6399999987</v>
      </c>
      <c r="AD99" s="701">
        <f t="shared" si="53"/>
        <v>28.509120712455584</v>
      </c>
      <c r="AE99" s="702">
        <f t="shared" si="54"/>
        <v>-26.494907869196108</v>
      </c>
      <c r="AG99" s="701">
        <f t="shared" si="55"/>
        <v>17.901620124072871</v>
      </c>
      <c r="AH99" s="702">
        <f t="shared" si="56"/>
        <v>-67.720858742939967</v>
      </c>
      <c r="AJ99" s="174">
        <f t="shared" si="57"/>
        <v>0</v>
      </c>
      <c r="AK99" s="174">
        <f t="shared" si="68"/>
        <v>0</v>
      </c>
      <c r="AM99" s="174" t="str">
        <f t="shared" si="62"/>
        <v>0.00122207011286801+0.0494231400295043i</v>
      </c>
      <c r="AN99" s="174" t="str">
        <f t="shared" si="63"/>
        <v>0.0494432827236i</v>
      </c>
      <c r="AO99" s="174" t="str">
        <f t="shared" si="64"/>
        <v>0.999592610098154-0.0247166054830882i</v>
      </c>
      <c r="AP99" s="174" t="str">
        <f t="shared" si="65"/>
        <v>0.166462988314522-0.00823719000491738i</v>
      </c>
      <c r="AQ99" s="174" t="str">
        <f t="shared" si="66"/>
        <v>0.833537011685478+0.00823719000491738i</v>
      </c>
      <c r="AR99" s="174" t="str">
        <f t="shared" si="67"/>
        <v>0.999258157762737-0.00987488161180926i</v>
      </c>
    </row>
    <row r="100" spans="7:44" x14ac:dyDescent="0.2">
      <c r="G100" s="703">
        <v>3020</v>
      </c>
      <c r="H100" s="691">
        <f t="shared" si="59"/>
        <v>3.02</v>
      </c>
      <c r="I100" s="692">
        <f t="shared" si="36"/>
        <v>3.1115027481331246</v>
      </c>
      <c r="J100" s="693">
        <f t="shared" si="37"/>
        <v>1.243601320764546</v>
      </c>
      <c r="K100" s="693">
        <f t="shared" si="38"/>
        <v>1.0000013314971443</v>
      </c>
      <c r="L100" s="694">
        <f t="shared" si="39"/>
        <v>1.631867437564842E-3</v>
      </c>
      <c r="M100" s="693">
        <f t="shared" si="40"/>
        <v>1.0000074279465445</v>
      </c>
      <c r="N100" s="694">
        <f t="shared" si="41"/>
        <v>-3.8543223960063279E-3</v>
      </c>
      <c r="O100" s="692">
        <f t="shared" si="42"/>
        <v>5464.863338021597</v>
      </c>
      <c r="P100" s="695">
        <f t="shared" si="43"/>
        <v>1.570613339601306</v>
      </c>
      <c r="Q100" s="704">
        <f t="shared" si="44"/>
        <v>2.4869356668360658</v>
      </c>
      <c r="R100" s="705">
        <f t="shared" si="45"/>
        <v>1.156985652631314</v>
      </c>
      <c r="S100" s="692">
        <f t="shared" si="46"/>
        <v>1.0001152122299817</v>
      </c>
      <c r="T100" s="695">
        <f t="shared" si="47"/>
        <v>1.5179009817563699E-2</v>
      </c>
      <c r="U100" s="696">
        <f t="shared" si="60"/>
        <v>0.99912533054393837</v>
      </c>
      <c r="V100" s="697">
        <f t="shared" si="61"/>
        <v>-3.7941520610163086E-2</v>
      </c>
      <c r="W100" s="698">
        <f t="shared" si="48"/>
        <v>20.157933011077304</v>
      </c>
      <c r="X100" s="699">
        <f t="shared" si="49"/>
        <v>-98.123147430245936</v>
      </c>
      <c r="Y100" s="702">
        <f t="shared" si="50"/>
        <v>81.876852569754064</v>
      </c>
      <c r="AA100" s="174">
        <f t="shared" si="51"/>
        <v>1000000000</v>
      </c>
      <c r="AB100" s="174">
        <f t="shared" si="52"/>
        <v>9120400</v>
      </c>
      <c r="AD100" s="701">
        <f t="shared" si="53"/>
        <v>28.369153906235059</v>
      </c>
      <c r="AE100" s="702">
        <f t="shared" si="54"/>
        <v>-24.568813980946896</v>
      </c>
      <c r="AG100" s="701">
        <f t="shared" si="55"/>
        <v>17.191923274458997</v>
      </c>
      <c r="AH100" s="702">
        <f t="shared" si="56"/>
        <v>-69.206555445789064</v>
      </c>
      <c r="AJ100" s="174">
        <f t="shared" si="57"/>
        <v>0</v>
      </c>
      <c r="AK100" s="174">
        <f t="shared" si="68"/>
        <v>0</v>
      </c>
      <c r="AM100" s="174" t="str">
        <f t="shared" si="62"/>
        <v>0.00146926847179796+0.0541883584707443i</v>
      </c>
      <c r="AN100" s="174" t="str">
        <f t="shared" si="63"/>
        <v>0.05421491316i</v>
      </c>
      <c r="AO100" s="174" t="str">
        <f t="shared" si="64"/>
        <v>0.999510195853725-0.027100817582458i</v>
      </c>
      <c r="AP100" s="174" t="str">
        <f t="shared" si="65"/>
        <v>0.166421788588034-0.00903139307845738i</v>
      </c>
      <c r="AQ100" s="174" t="str">
        <f t="shared" si="66"/>
        <v>0.833578211411966+0.00903139307845738i</v>
      </c>
      <c r="AR100" s="174" t="str">
        <f t="shared" si="67"/>
        <v>0.999189059201498-0.0108257018115399i</v>
      </c>
    </row>
    <row r="101" spans="7:44" x14ac:dyDescent="0.2">
      <c r="G101" s="703">
        <v>3311.3</v>
      </c>
      <c r="H101" s="691">
        <f t="shared" si="59"/>
        <v>3.3113000000000001</v>
      </c>
      <c r="I101" s="692">
        <f t="shared" si="36"/>
        <v>3.3818624136339204</v>
      </c>
      <c r="J101" s="693">
        <f t="shared" si="37"/>
        <v>1.2706132964822048</v>
      </c>
      <c r="K101" s="693">
        <f t="shared" si="38"/>
        <v>1.0000016007494201</v>
      </c>
      <c r="L101" s="694">
        <f t="shared" si="39"/>
        <v>1.7892720781638139E-3</v>
      </c>
      <c r="M101" s="693">
        <f t="shared" si="40"/>
        <v>1.0000089300032269</v>
      </c>
      <c r="N101" s="694">
        <f t="shared" si="41"/>
        <v>-4.2260943608151266E-3</v>
      </c>
      <c r="O101" s="692">
        <f t="shared" si="42"/>
        <v>5991.9873908050886</v>
      </c>
      <c r="P101" s="695">
        <f t="shared" si="43"/>
        <v>1.570629437257349</v>
      </c>
      <c r="Q101" s="704">
        <f t="shared" si="44"/>
        <v>2.6894828567459612</v>
      </c>
      <c r="R101" s="705">
        <f t="shared" si="45"/>
        <v>1.1898289193775138</v>
      </c>
      <c r="S101" s="692">
        <f t="shared" si="46"/>
        <v>1.0001385085862797</v>
      </c>
      <c r="T101" s="695">
        <f t="shared" si="47"/>
        <v>1.6642872407054036E-2</v>
      </c>
      <c r="U101" s="696">
        <f t="shared" si="60"/>
        <v>0.99902942170879383</v>
      </c>
      <c r="V101" s="697">
        <f t="shared" si="61"/>
        <v>-4.1599267998550626E-2</v>
      </c>
      <c r="W101" s="698">
        <f t="shared" si="48"/>
        <v>19.313450218925439</v>
      </c>
      <c r="X101" s="699">
        <f t="shared" si="49"/>
        <v>-98.095690371905249</v>
      </c>
      <c r="Y101" s="702">
        <f t="shared" si="50"/>
        <v>81.904309628094751</v>
      </c>
      <c r="AA101" s="174">
        <f t="shared" si="51"/>
        <v>1000000000</v>
      </c>
      <c r="AB101" s="174">
        <f t="shared" si="52"/>
        <v>10964707.690000001</v>
      </c>
      <c r="AD101" s="701">
        <f t="shared" si="53"/>
        <v>28.249204472810668</v>
      </c>
      <c r="AE101" s="702">
        <f t="shared" si="54"/>
        <v>-22.771828884830136</v>
      </c>
      <c r="AG101" s="701">
        <f t="shared" si="55"/>
        <v>16.469057561457319</v>
      </c>
      <c r="AH101" s="702">
        <f t="shared" si="56"/>
        <v>-70.556936507326938</v>
      </c>
      <c r="AJ101" s="174">
        <f t="shared" si="57"/>
        <v>0</v>
      </c>
      <c r="AK101" s="174">
        <f t="shared" si="68"/>
        <v>0</v>
      </c>
      <c r="AM101" s="174" t="str">
        <f t="shared" si="62"/>
        <v>0.00176629329209399+0.0594093157021131i</v>
      </c>
      <c r="AN101" s="174" t="str">
        <f t="shared" si="63"/>
        <v>0.0594443185254i</v>
      </c>
      <c r="AO101" s="174" t="str">
        <f t="shared" si="64"/>
        <v>0.99941116621142-0.029713408041498i</v>
      </c>
      <c r="AP101" s="174" t="str">
        <f t="shared" si="65"/>
        <v>0.166372284451318-0.00990155261701885i</v>
      </c>
      <c r="AQ101" s="174" t="str">
        <f t="shared" si="66"/>
        <v>0.833627715548682+0.00990155261701885i</v>
      </c>
      <c r="AR101" s="174" t="str">
        <f t="shared" si="67"/>
        <v>0.999106054480339-0.0118670492642006i</v>
      </c>
    </row>
    <row r="102" spans="7:44" x14ac:dyDescent="0.2">
      <c r="G102" s="703">
        <v>3630.8</v>
      </c>
      <c r="H102" s="691">
        <f t="shared" si="59"/>
        <v>3.6308000000000002</v>
      </c>
      <c r="I102" s="692">
        <f t="shared" si="36"/>
        <v>3.6807941267104969</v>
      </c>
      <c r="J102" s="693">
        <f t="shared" si="37"/>
        <v>1.2956575433149966</v>
      </c>
      <c r="K102" s="693">
        <f t="shared" si="38"/>
        <v>1.000001924557443</v>
      </c>
      <c r="L102" s="694">
        <f t="shared" si="39"/>
        <v>1.9619145528912973E-3</v>
      </c>
      <c r="M102" s="693">
        <f t="shared" si="40"/>
        <v>1.0000107364033495</v>
      </c>
      <c r="N102" s="694">
        <f t="shared" si="41"/>
        <v>-4.633855261377229E-3</v>
      </c>
      <c r="O102" s="692">
        <f t="shared" si="42"/>
        <v>6570.1409620269887</v>
      </c>
      <c r="P102" s="695">
        <f t="shared" si="43"/>
        <v>1.5706441230583801</v>
      </c>
      <c r="Q102" s="704">
        <f t="shared" si="44"/>
        <v>2.9144858293466895</v>
      </c>
      <c r="R102" s="705">
        <f t="shared" si="45"/>
        <v>1.2205664968916632</v>
      </c>
      <c r="S102" s="692">
        <f t="shared" si="46"/>
        <v>1.0001665245270013</v>
      </c>
      <c r="T102" s="695">
        <f t="shared" si="47"/>
        <v>1.8248365494080827E-2</v>
      </c>
      <c r="U102" s="696">
        <f t="shared" si="60"/>
        <v>0.99891411447165357</v>
      </c>
      <c r="V102" s="697">
        <f t="shared" si="61"/>
        <v>-4.5610484047244861E-2</v>
      </c>
      <c r="W102" s="698">
        <f t="shared" si="48"/>
        <v>18.474298413421526</v>
      </c>
      <c r="X102" s="699">
        <f t="shared" si="49"/>
        <v>-98.105613008635785</v>
      </c>
      <c r="Y102" s="702">
        <f t="shared" si="50"/>
        <v>81.894386991364215</v>
      </c>
      <c r="AA102" s="174">
        <f t="shared" si="51"/>
        <v>1000000000</v>
      </c>
      <c r="AB102" s="174">
        <f t="shared" si="52"/>
        <v>13182708.640000001</v>
      </c>
      <c r="AD102" s="701">
        <f t="shared" si="53"/>
        <v>28.146748587876502</v>
      </c>
      <c r="AE102" s="702">
        <f t="shared" si="54"/>
        <v>-21.103524831248755</v>
      </c>
      <c r="AG102" s="701">
        <f t="shared" si="55"/>
        <v>15.734366794525297</v>
      </c>
      <c r="AH102" s="702">
        <f t="shared" si="56"/>
        <v>-71.77551169650296</v>
      </c>
      <c r="AJ102" s="174">
        <f t="shared" si="57"/>
        <v>0</v>
      </c>
      <c r="AK102" s="174">
        <f t="shared" si="68"/>
        <v>0</v>
      </c>
      <c r="AM102" s="174" t="str">
        <f t="shared" si="62"/>
        <v>0.00212346224519699+0.0651338268374163i</v>
      </c>
      <c r="AN102" s="174" t="str">
        <f t="shared" si="63"/>
        <v>0.0651799691064i</v>
      </c>
      <c r="AO102" s="174" t="str">
        <f t="shared" si="64"/>
        <v>0.999292078998866-0.0325784481691092i</v>
      </c>
      <c r="AP102" s="174" t="str">
        <f t="shared" si="65"/>
        <v>0.166312756292467-0.010855637806236i</v>
      </c>
      <c r="AQ102" s="174" t="str">
        <f t="shared" si="66"/>
        <v>0.833687243707533+0.010855637806236i</v>
      </c>
      <c r="AR102" s="174" t="str">
        <f t="shared" si="67"/>
        <v>0.99900627356184-0.0130082958013321i</v>
      </c>
    </row>
    <row r="103" spans="7:44" x14ac:dyDescent="0.2">
      <c r="G103" s="703">
        <v>3981.1</v>
      </c>
      <c r="H103" s="691">
        <f t="shared" si="59"/>
        <v>3.9811000000000001</v>
      </c>
      <c r="I103" s="692">
        <f t="shared" si="36"/>
        <v>4.0107807165365816</v>
      </c>
      <c r="J103" s="693">
        <f t="shared" si="37"/>
        <v>1.3188100312839877</v>
      </c>
      <c r="K103" s="693">
        <f t="shared" si="38"/>
        <v>1.0000023138346124</v>
      </c>
      <c r="L103" s="694">
        <f t="shared" si="39"/>
        <v>2.1511997354666979E-3</v>
      </c>
      <c r="M103" s="693">
        <f t="shared" si="40"/>
        <v>1.0000129080270557</v>
      </c>
      <c r="N103" s="694">
        <f t="shared" si="41"/>
        <v>-5.0809227920771199E-3</v>
      </c>
      <c r="O103" s="692">
        <f t="shared" si="42"/>
        <v>7204.0289007806468</v>
      </c>
      <c r="P103" s="695">
        <f t="shared" si="43"/>
        <v>1.570657515580091</v>
      </c>
      <c r="Q103" s="704">
        <f t="shared" si="44"/>
        <v>3.1638702401336358</v>
      </c>
      <c r="R103" s="705">
        <f t="shared" si="45"/>
        <v>1.2492135558742228</v>
      </c>
      <c r="S103" s="692">
        <f t="shared" si="46"/>
        <v>1.0002002038457967</v>
      </c>
      <c r="T103" s="695">
        <f t="shared" si="47"/>
        <v>2.0008520694221783E-2</v>
      </c>
      <c r="U103" s="696">
        <f t="shared" si="60"/>
        <v>0.99877554380879652</v>
      </c>
      <c r="V103" s="697">
        <f t="shared" si="61"/>
        <v>-5.0007555788031767E-2</v>
      </c>
      <c r="W103" s="698">
        <f t="shared" si="48"/>
        <v>17.64019448306653</v>
      </c>
      <c r="X103" s="699">
        <f t="shared" si="49"/>
        <v>-98.159117572155495</v>
      </c>
      <c r="Y103" s="702">
        <f t="shared" si="50"/>
        <v>81.840882427844505</v>
      </c>
      <c r="AA103" s="174">
        <f t="shared" si="51"/>
        <v>1000000000</v>
      </c>
      <c r="AB103" s="174">
        <f t="shared" si="52"/>
        <v>15849157.209999999</v>
      </c>
      <c r="AD103" s="701">
        <f t="shared" si="53"/>
        <v>28.059575234616162</v>
      </c>
      <c r="AE103" s="702">
        <f t="shared" si="54"/>
        <v>-19.563786053553503</v>
      </c>
      <c r="AG103" s="701">
        <f t="shared" si="55"/>
        <v>14.989846220368966</v>
      </c>
      <c r="AH103" s="702">
        <f t="shared" si="56"/>
        <v>-72.864887731215532</v>
      </c>
      <c r="AJ103" s="174">
        <f t="shared" si="57"/>
        <v>0</v>
      </c>
      <c r="AK103" s="174">
        <f t="shared" si="68"/>
        <v>0</v>
      </c>
      <c r="AM103" s="174" t="str">
        <f t="shared" si="62"/>
        <v>0.00255278924229196+0.0714077149310096i</v>
      </c>
      <c r="AN103" s="174" t="str">
        <f t="shared" si="63"/>
        <v>0.0714685399938i</v>
      </c>
      <c r="AO103" s="174" t="str">
        <f t="shared" si="64"/>
        <v>0.999148925348193-0.0357190624366108i</v>
      </c>
      <c r="AP103" s="174" t="str">
        <f t="shared" si="65"/>
        <v>0.166241201792951-0.0119012858218349i</v>
      </c>
      <c r="AQ103" s="174" t="str">
        <f t="shared" si="66"/>
        <v>0.833758798207049+0.0119012858218349i</v>
      </c>
      <c r="AR103" s="174" t="str">
        <f t="shared" si="67"/>
        <v>0.998886379351648-0.0142583590479241i</v>
      </c>
    </row>
    <row r="104" spans="7:44" x14ac:dyDescent="0.2">
      <c r="G104" s="703">
        <v>4365.2</v>
      </c>
      <c r="H104" s="691">
        <f t="shared" si="59"/>
        <v>4.3651999999999997</v>
      </c>
      <c r="I104" s="692">
        <f t="shared" si="36"/>
        <v>4.3746868412576356</v>
      </c>
      <c r="J104" s="693">
        <f t="shared" si="37"/>
        <v>1.3401695084273431</v>
      </c>
      <c r="K104" s="693">
        <f t="shared" si="38"/>
        <v>1.0000027818539894</v>
      </c>
      <c r="L104" s="694">
        <f t="shared" si="39"/>
        <v>2.3587486260917149E-3</v>
      </c>
      <c r="M104" s="693">
        <f t="shared" si="40"/>
        <v>1.0000155189173394</v>
      </c>
      <c r="N104" s="694">
        <f t="shared" si="41"/>
        <v>-5.5711249572636418E-3</v>
      </c>
      <c r="O104" s="692">
        <f t="shared" si="42"/>
        <v>7899.0798791077923</v>
      </c>
      <c r="P104" s="695">
        <f t="shared" si="43"/>
        <v>1.5706697297711956</v>
      </c>
      <c r="Q104" s="704">
        <f t="shared" si="44"/>
        <v>3.4398467226158851</v>
      </c>
      <c r="R104" s="705">
        <f t="shared" si="45"/>
        <v>1.2758268683922676</v>
      </c>
      <c r="S104" s="692">
        <f t="shared" si="46"/>
        <v>1.000240694265915</v>
      </c>
      <c r="T104" s="695">
        <f t="shared" si="47"/>
        <v>2.1938368112547818E-2</v>
      </c>
      <c r="U104" s="696">
        <f t="shared" si="60"/>
        <v>0.99860901553646475</v>
      </c>
      <c r="V104" s="697">
        <f t="shared" si="61"/>
        <v>-5.4827804421054165E-2</v>
      </c>
      <c r="W104" s="698">
        <f t="shared" si="48"/>
        <v>16.810447604983455</v>
      </c>
      <c r="X104" s="699">
        <f t="shared" si="49"/>
        <v>-98.261741655395099</v>
      </c>
      <c r="Y104" s="702">
        <f t="shared" si="50"/>
        <v>81.738258344604901</v>
      </c>
      <c r="AA104" s="174">
        <f t="shared" si="51"/>
        <v>1000000000</v>
      </c>
      <c r="AB104" s="174">
        <f t="shared" si="52"/>
        <v>19054971.039999999</v>
      </c>
      <c r="AD104" s="701">
        <f t="shared" si="53"/>
        <v>27.985610985880601</v>
      </c>
      <c r="AE104" s="702">
        <f t="shared" si="54"/>
        <v>-18.150227499566387</v>
      </c>
      <c r="AG104" s="701">
        <f t="shared" si="55"/>
        <v>14.236960271466232</v>
      </c>
      <c r="AH104" s="702">
        <f t="shared" si="56"/>
        <v>-73.828710562059314</v>
      </c>
      <c r="AJ104" s="174">
        <f t="shared" si="57"/>
        <v>0</v>
      </c>
      <c r="AK104" s="174">
        <f t="shared" si="68"/>
        <v>0</v>
      </c>
      <c r="AM104" s="174" t="str">
        <f t="shared" si="62"/>
        <v>0.00306887844271697+0.0782837075676579i</v>
      </c>
      <c r="AN104" s="174" t="str">
        <f t="shared" si="63"/>
        <v>0.0783638870616i</v>
      </c>
      <c r="AO104" s="174" t="str">
        <f t="shared" si="64"/>
        <v>0.998976831076806-0.0391618966055703i</v>
      </c>
      <c r="AP104" s="174" t="str">
        <f t="shared" si="65"/>
        <v>0.166155186926214-0.0130472845946097i</v>
      </c>
      <c r="AQ104" s="174" t="str">
        <f t="shared" si="66"/>
        <v>0.833844813073786+0.0130472845946097i</v>
      </c>
      <c r="AR104" s="174" t="str">
        <f t="shared" si="67"/>
        <v>0.998742321164228-0.0156274586069263i</v>
      </c>
    </row>
    <row r="105" spans="7:44" x14ac:dyDescent="0.2">
      <c r="G105" s="703">
        <v>4786.3</v>
      </c>
      <c r="H105" s="691">
        <f t="shared" si="59"/>
        <v>4.7862999999999998</v>
      </c>
      <c r="I105" s="692">
        <f t="shared" si="36"/>
        <v>4.7755742262953431</v>
      </c>
      <c r="J105" s="693">
        <f t="shared" si="37"/>
        <v>1.3598361337115688</v>
      </c>
      <c r="K105" s="693">
        <f t="shared" si="38"/>
        <v>1.0000033444580181</v>
      </c>
      <c r="L105" s="694">
        <f t="shared" si="39"/>
        <v>2.5862902764273478E-3</v>
      </c>
      <c r="M105" s="693">
        <f t="shared" si="40"/>
        <v>1.0000186574496279</v>
      </c>
      <c r="N105" s="694">
        <f t="shared" si="41"/>
        <v>-6.1085447610438109E-3</v>
      </c>
      <c r="O105" s="692">
        <f t="shared" si="42"/>
        <v>8661.0844805298111</v>
      </c>
      <c r="P105" s="695">
        <f t="shared" si="43"/>
        <v>1.5706808678123096</v>
      </c>
      <c r="Q105" s="704">
        <f t="shared" si="44"/>
        <v>3.7447737512059716</v>
      </c>
      <c r="R105" s="705">
        <f t="shared" si="45"/>
        <v>1.3004773644956571</v>
      </c>
      <c r="S105" s="692">
        <f t="shared" si="46"/>
        <v>1.000289365477093</v>
      </c>
      <c r="T105" s="695">
        <f t="shared" si="47"/>
        <v>2.4053927635029036E-2</v>
      </c>
      <c r="U105" s="696">
        <f t="shared" si="60"/>
        <v>0.99840893687031507</v>
      </c>
      <c r="V105" s="697">
        <f t="shared" si="61"/>
        <v>-6.0110946286517433E-2</v>
      </c>
      <c r="W105" s="698">
        <f t="shared" si="48"/>
        <v>15.984558533228039</v>
      </c>
      <c r="X105" s="699">
        <f t="shared" si="49"/>
        <v>-98.418494128508087</v>
      </c>
      <c r="Y105" s="702">
        <f t="shared" si="50"/>
        <v>81.581505871491913</v>
      </c>
      <c r="AA105" s="174">
        <f t="shared" si="51"/>
        <v>1000000000</v>
      </c>
      <c r="AB105" s="174">
        <f t="shared" si="52"/>
        <v>22908667.690000001</v>
      </c>
      <c r="AD105" s="701">
        <f t="shared" si="53"/>
        <v>27.923002819855004</v>
      </c>
      <c r="AE105" s="702">
        <f t="shared" si="54"/>
        <v>-16.859708903158623</v>
      </c>
      <c r="AG105" s="701">
        <f t="shared" si="55"/>
        <v>13.477160278297724</v>
      </c>
      <c r="AH105" s="702">
        <f t="shared" si="56"/>
        <v>-74.670578167968458</v>
      </c>
      <c r="AJ105" s="174">
        <f t="shared" si="57"/>
        <v>0</v>
      </c>
      <c r="AK105" s="174">
        <f t="shared" si="68"/>
        <v>0</v>
      </c>
      <c r="AM105" s="174" t="str">
        <f t="shared" si="62"/>
        <v>0.00368914965658795+0.0858177690690373i</v>
      </c>
      <c r="AN105" s="174" t="str">
        <f t="shared" si="63"/>
        <v>0.0859234565754i</v>
      </c>
      <c r="AO105" s="174" t="str">
        <f t="shared" si="64"/>
        <v>0.99876998074129-0.0429353031596282i</v>
      </c>
      <c r="AP105" s="174" t="str">
        <f t="shared" si="65"/>
        <v>0.166051808390569-0.0143029615115062i</v>
      </c>
      <c r="AQ105" s="174" t="str">
        <f t="shared" si="66"/>
        <v>0.833948191609431+0.0143029615115062i</v>
      </c>
      <c r="AR105" s="174" t="str">
        <f t="shared" si="67"/>
        <v>0.998569276477715-0.017126361171753i</v>
      </c>
    </row>
    <row r="106" spans="7:44" x14ac:dyDescent="0.2">
      <c r="G106" s="703">
        <v>5248.1</v>
      </c>
      <c r="H106" s="691">
        <f t="shared" si="59"/>
        <v>5.2481</v>
      </c>
      <c r="I106" s="692">
        <f t="shared" si="36"/>
        <v>5.2169889206420024</v>
      </c>
      <c r="J106" s="693">
        <f t="shared" si="37"/>
        <v>1.3779212482646663</v>
      </c>
      <c r="K106" s="693">
        <f t="shared" si="38"/>
        <v>1.0000040209620371</v>
      </c>
      <c r="L106" s="694">
        <f t="shared" si="39"/>
        <v>2.8358238886461982E-3</v>
      </c>
      <c r="M106" s="693">
        <f t="shared" si="40"/>
        <v>1.0000224313715624</v>
      </c>
      <c r="N106" s="694">
        <f t="shared" si="41"/>
        <v>-6.6979029949757862E-3</v>
      </c>
      <c r="O106" s="692">
        <f t="shared" si="42"/>
        <v>9496.7380672534982</v>
      </c>
      <c r="P106" s="695">
        <f t="shared" si="43"/>
        <v>1.5706910274810937</v>
      </c>
      <c r="Q106" s="704">
        <f t="shared" si="44"/>
        <v>4.0813777825414812</v>
      </c>
      <c r="R106" s="705">
        <f t="shared" si="45"/>
        <v>1.3232608537302759</v>
      </c>
      <c r="S106" s="692">
        <f t="shared" si="46"/>
        <v>1.0003478871451299</v>
      </c>
      <c r="T106" s="695">
        <f t="shared" si="47"/>
        <v>2.637371117253192E-2</v>
      </c>
      <c r="U106" s="696">
        <f t="shared" si="60"/>
        <v>0.99816850253780542</v>
      </c>
      <c r="V106" s="697">
        <f t="shared" si="61"/>
        <v>-6.5902819420429748E-2</v>
      </c>
      <c r="W106" s="698">
        <f t="shared" si="48"/>
        <v>15.161691317444214</v>
      </c>
      <c r="X106" s="699">
        <f t="shared" si="49"/>
        <v>-98.63411340380479</v>
      </c>
      <c r="Y106" s="702">
        <f t="shared" si="50"/>
        <v>81.36588659619521</v>
      </c>
      <c r="AA106" s="174">
        <f t="shared" si="51"/>
        <v>1000000000</v>
      </c>
      <c r="AB106" s="174">
        <f t="shared" si="52"/>
        <v>27542553.610000003</v>
      </c>
      <c r="AD106" s="701">
        <f t="shared" si="53"/>
        <v>27.870075210040198</v>
      </c>
      <c r="AE106" s="702">
        <f t="shared" si="54"/>
        <v>-15.687807038319542</v>
      </c>
      <c r="AG106" s="701">
        <f t="shared" si="55"/>
        <v>12.711404604384143</v>
      </c>
      <c r="AH106" s="702">
        <f t="shared" si="56"/>
        <v>-75.394399535249065</v>
      </c>
      <c r="AJ106" s="174">
        <f t="shared" si="57"/>
        <v>0</v>
      </c>
      <c r="AK106" s="174">
        <f t="shared" si="68"/>
        <v>0</v>
      </c>
      <c r="AM106" s="174" t="str">
        <f t="shared" si="62"/>
        <v>0.00443482605178303+0.0940743558120693i</v>
      </c>
      <c r="AN106" s="174" t="str">
        <f t="shared" si="63"/>
        <v>0.0942136707798i</v>
      </c>
      <c r="AO106" s="174" t="str">
        <f t="shared" si="64"/>
        <v>0.998521287127679-0.0470720014948604i</v>
      </c>
      <c r="AP106" s="174" t="str">
        <f t="shared" si="65"/>
        <v>0.16592752899137-0.0156790593020115i</v>
      </c>
      <c r="AQ106" s="174" t="str">
        <f t="shared" si="66"/>
        <v>0.83407247100863+0.0156790593020115i</v>
      </c>
      <c r="AR106" s="174" t="str">
        <f t="shared" si="67"/>
        <v>0.998361382072445-0.0187673947509893i</v>
      </c>
    </row>
    <row r="107" spans="7:44" x14ac:dyDescent="0.2">
      <c r="G107" s="703">
        <v>5370.3</v>
      </c>
      <c r="H107" s="691">
        <f t="shared" si="59"/>
        <v>5.3703000000000003</v>
      </c>
      <c r="I107" s="692">
        <f t="shared" si="36"/>
        <v>5.3340502367267923</v>
      </c>
      <c r="J107" s="693">
        <f t="shared" si="37"/>
        <v>1.382205595810313</v>
      </c>
      <c r="K107" s="693">
        <f t="shared" si="38"/>
        <v>1.0000042103948212</v>
      </c>
      <c r="L107" s="694">
        <f t="shared" si="39"/>
        <v>2.9018545961255067E-3</v>
      </c>
      <c r="M107" s="693">
        <f t="shared" si="40"/>
        <v>1.0000234881326491</v>
      </c>
      <c r="N107" s="694">
        <f t="shared" si="41"/>
        <v>-6.8538562743469837E-3</v>
      </c>
      <c r="O107" s="692">
        <f t="shared" si="42"/>
        <v>9717.8659762295465</v>
      </c>
      <c r="P107" s="695">
        <f t="shared" si="43"/>
        <v>1.5706934235438936</v>
      </c>
      <c r="Q107" s="704">
        <f t="shared" si="44"/>
        <v>4.1707671101127888</v>
      </c>
      <c r="R107" s="705">
        <f t="shared" si="45"/>
        <v>1.3286735256554081</v>
      </c>
      <c r="S107" s="692">
        <f t="shared" si="46"/>
        <v>1.0003642736142959</v>
      </c>
      <c r="T107" s="695">
        <f t="shared" si="47"/>
        <v>2.69875181989668E-2</v>
      </c>
      <c r="U107" s="696">
        <f t="shared" si="60"/>
        <v>0.99810120621685827</v>
      </c>
      <c r="V107" s="697">
        <f t="shared" si="61"/>
        <v>-6.7435091655601812E-2</v>
      </c>
      <c r="W107" s="698">
        <f t="shared" si="48"/>
        <v>14.956484469240635</v>
      </c>
      <c r="X107" s="699">
        <f t="shared" si="49"/>
        <v>-98.697715931340099</v>
      </c>
      <c r="Y107" s="702">
        <f t="shared" si="50"/>
        <v>81.302284068659901</v>
      </c>
      <c r="AA107" s="174">
        <f t="shared" si="51"/>
        <v>1000000000</v>
      </c>
      <c r="AB107" s="174">
        <f t="shared" si="52"/>
        <v>28840122.090000004</v>
      </c>
      <c r="AD107" s="701">
        <f t="shared" si="53"/>
        <v>27.858186902473484</v>
      </c>
      <c r="AE107" s="702">
        <f t="shared" si="54"/>
        <v>-15.412989617142566</v>
      </c>
      <c r="AG107" s="701">
        <f t="shared" si="55"/>
        <v>12.519257305117025</v>
      </c>
      <c r="AH107" s="702">
        <f t="shared" si="56"/>
        <v>-75.55723401947985</v>
      </c>
      <c r="AJ107" s="174">
        <f t="shared" si="57"/>
        <v>0</v>
      </c>
      <c r="AK107" s="174">
        <f t="shared" si="68"/>
        <v>0</v>
      </c>
      <c r="AM107" s="174" t="str">
        <f t="shared" si="62"/>
        <v>0.00464359510583501+0.0962581281563451i</v>
      </c>
      <c r="AN107" s="174" t="str">
        <f t="shared" si="63"/>
        <v>0.0964074000474i</v>
      </c>
      <c r="AO107" s="174" t="str">
        <f t="shared" si="64"/>
        <v>0.998451655256946-0.0481663762693727i</v>
      </c>
      <c r="AP107" s="174" t="str">
        <f t="shared" si="65"/>
        <v>0.165892734149027-0.0160430213593909i</v>
      </c>
      <c r="AQ107" s="174" t="str">
        <f t="shared" si="66"/>
        <v>0.834107265850973+0.0160430213593909i</v>
      </c>
      <c r="AR107" s="174" t="str">
        <f t="shared" si="67"/>
        <v>0.998303203915075-0.0192011270963073i</v>
      </c>
    </row>
    <row r="108" spans="7:44" x14ac:dyDescent="0.2">
      <c r="G108" s="703">
        <v>5432.85</v>
      </c>
      <c r="H108" s="691">
        <f t="shared" si="59"/>
        <v>5.4328500000000002</v>
      </c>
      <c r="I108" s="692">
        <f t="shared" si="36"/>
        <v>5.3940065618618682</v>
      </c>
      <c r="J108" s="693">
        <f t="shared" si="37"/>
        <v>1.3843266328007804</v>
      </c>
      <c r="K108" s="693">
        <f t="shared" si="38"/>
        <v>1.0000043090460533</v>
      </c>
      <c r="L108" s="694">
        <f t="shared" si="39"/>
        <v>2.9356534468683083E-3</v>
      </c>
      <c r="M108" s="693">
        <f t="shared" si="40"/>
        <v>1.0000240384635473</v>
      </c>
      <c r="N108" s="694">
        <f t="shared" si="41"/>
        <v>-6.9336832949597324E-3</v>
      </c>
      <c r="O108" s="692">
        <f t="shared" si="42"/>
        <v>9831.0537889054885</v>
      </c>
      <c r="P108" s="695">
        <f t="shared" si="43"/>
        <v>1.570694608299281</v>
      </c>
      <c r="Q108" s="704">
        <f t="shared" si="44"/>
        <v>4.2165682136141571</v>
      </c>
      <c r="R108" s="705">
        <f t="shared" si="45"/>
        <v>1.3313552484150157</v>
      </c>
      <c r="S108" s="692">
        <f t="shared" si="46"/>
        <v>1.0003728071185387</v>
      </c>
      <c r="T108" s="695">
        <f t="shared" si="47"/>
        <v>2.7301697178612042E-2</v>
      </c>
      <c r="U108" s="696">
        <f t="shared" si="60"/>
        <v>0.99806616529484138</v>
      </c>
      <c r="V108" s="697">
        <f t="shared" si="61"/>
        <v>-6.8219349660801926E-2</v>
      </c>
      <c r="W108" s="698">
        <f t="shared" si="48"/>
        <v>14.853304156554657</v>
      </c>
      <c r="X108" s="699">
        <f t="shared" si="49"/>
        <v>-98.731231907822021</v>
      </c>
      <c r="Y108" s="702">
        <f t="shared" si="50"/>
        <v>81.268768092177979</v>
      </c>
      <c r="AA108" s="174">
        <f t="shared" si="51"/>
        <v>1000000000</v>
      </c>
      <c r="AB108" s="174">
        <f t="shared" si="52"/>
        <v>29515859.122500002</v>
      </c>
      <c r="AD108" s="701">
        <f t="shared" si="53"/>
        <v>27.852393275469272</v>
      </c>
      <c r="AE108" s="702">
        <f t="shared" si="54"/>
        <v>-15.277407232066796</v>
      </c>
      <c r="AG108" s="701">
        <f t="shared" si="55"/>
        <v>12.422480511342787</v>
      </c>
      <c r="AH108" s="702">
        <f t="shared" si="56"/>
        <v>-75.636463033440236</v>
      </c>
      <c r="AJ108" s="174">
        <f t="shared" si="57"/>
        <v>0</v>
      </c>
      <c r="AK108" s="174">
        <f t="shared" si="68"/>
        <v>0</v>
      </c>
      <c r="AM108" s="174" t="str">
        <f t="shared" si="62"/>
        <v>0.00475231037028401+0.0973757479391658i</v>
      </c>
      <c r="AN108" s="174" t="str">
        <f t="shared" si="63"/>
        <v>0.0975302950203i</v>
      </c>
      <c r="AO108" s="174" t="str">
        <f t="shared" si="64"/>
        <v>0.998415394097782-0.0487265046137189i</v>
      </c>
      <c r="AP108" s="174" t="str">
        <f t="shared" si="65"/>
        <v>0.165874614938286-0.0162292913231943i</v>
      </c>
      <c r="AQ108" s="174" t="str">
        <f t="shared" si="66"/>
        <v>0.834125385061714+0.0162292913231943i</v>
      </c>
      <c r="AR108" s="174" t="str">
        <f t="shared" si="67"/>
        <v>0.998272912586096-0.0194230534264519i</v>
      </c>
    </row>
    <row r="109" spans="7:44" x14ac:dyDescent="0.2">
      <c r="G109" s="703">
        <v>5495.4</v>
      </c>
      <c r="H109" s="691">
        <f t="shared" si="59"/>
        <v>5.4954000000000001</v>
      </c>
      <c r="I109" s="692">
        <f t="shared" si="36"/>
        <v>5.4539866199495046</v>
      </c>
      <c r="J109" s="693">
        <f t="shared" si="37"/>
        <v>1.3864010268689166</v>
      </c>
      <c r="K109" s="693">
        <f t="shared" si="38"/>
        <v>1.000004408839652</v>
      </c>
      <c r="L109" s="694">
        <f t="shared" si="39"/>
        <v>2.9694522909039316E-3</v>
      </c>
      <c r="M109" s="693">
        <f t="shared" si="40"/>
        <v>1.0000245951669449</v>
      </c>
      <c r="N109" s="694">
        <f t="shared" si="41"/>
        <v>-7.0135102272034042E-3</v>
      </c>
      <c r="O109" s="692">
        <f t="shared" si="42"/>
        <v>9944.2416015949148</v>
      </c>
      <c r="P109" s="695">
        <f t="shared" si="43"/>
        <v>1.5706957660843117</v>
      </c>
      <c r="Q109" s="704">
        <f t="shared" si="44"/>
        <v>4.2623989893312322</v>
      </c>
      <c r="R109" s="705">
        <f t="shared" si="45"/>
        <v>1.3339793201037518</v>
      </c>
      <c r="S109" s="692">
        <f t="shared" si="46"/>
        <v>1.0003814393663215</v>
      </c>
      <c r="T109" s="695">
        <f t="shared" si="47"/>
        <v>2.761587076719501E-2</v>
      </c>
      <c r="U109" s="696">
        <f t="shared" si="60"/>
        <v>0.99803072215494071</v>
      </c>
      <c r="V109" s="697">
        <f t="shared" si="61"/>
        <v>-6.900356659936073E-2</v>
      </c>
      <c r="W109" s="698">
        <f t="shared" si="48"/>
        <v>14.751341990593321</v>
      </c>
      <c r="X109" s="699">
        <f t="shared" si="49"/>
        <v>-98.765374392959473</v>
      </c>
      <c r="Y109" s="702">
        <f t="shared" si="50"/>
        <v>81.234625607040527</v>
      </c>
      <c r="AA109" s="174">
        <f t="shared" si="51"/>
        <v>1000000000</v>
      </c>
      <c r="AB109" s="174">
        <f t="shared" si="52"/>
        <v>30199421.159999996</v>
      </c>
      <c r="AD109" s="701">
        <f t="shared" si="53"/>
        <v>27.846785819115741</v>
      </c>
      <c r="AE109" s="702">
        <f t="shared" si="54"/>
        <v>-15.145126155867432</v>
      </c>
      <c r="AG109" s="701">
        <f t="shared" si="55"/>
        <v>12.326742716081313</v>
      </c>
      <c r="AH109" s="702">
        <f t="shared" si="56"/>
        <v>-75.713021953070182</v>
      </c>
      <c r="AJ109" s="174">
        <f t="shared" si="57"/>
        <v>0</v>
      </c>
      <c r="AK109" s="174">
        <f t="shared" si="68"/>
        <v>0</v>
      </c>
      <c r="AM109" s="174" t="str">
        <f t="shared" si="62"/>
        <v>0.00486228053556503+0.0984932449415889i</v>
      </c>
      <c r="AN109" s="174" t="str">
        <f t="shared" si="63"/>
        <v>0.0986531899932i</v>
      </c>
      <c r="AO109" s="174" t="str">
        <f t="shared" si="64"/>
        <v>0.998378713839642-0.0492866022467209i</v>
      </c>
      <c r="AP109" s="174" t="str">
        <f t="shared" si="65"/>
        <v>0.165856286577406-0.0164155408235982i</v>
      </c>
      <c r="AQ109" s="174" t="str">
        <f t="shared" si="66"/>
        <v>0.834143713422594+0.0164155408235982i</v>
      </c>
      <c r="AR109" s="174" t="str">
        <f t="shared" si="67"/>
        <v>0.998242274813022-0.0196449203540696i</v>
      </c>
    </row>
    <row r="110" spans="7:44" x14ac:dyDescent="0.2">
      <c r="G110" s="703">
        <v>5559.4</v>
      </c>
      <c r="H110" s="691">
        <f t="shared" si="59"/>
        <v>5.5593999999999992</v>
      </c>
      <c r="I110" s="692">
        <f t="shared" si="36"/>
        <v>5.5153808600029972</v>
      </c>
      <c r="J110" s="693">
        <f t="shared" si="37"/>
        <v>1.388476799994766</v>
      </c>
      <c r="K110" s="693">
        <f t="shared" si="38"/>
        <v>1.000004512129008</v>
      </c>
      <c r="L110" s="694">
        <f t="shared" si="39"/>
        <v>3.0040346342933349E-3</v>
      </c>
      <c r="M110" s="693">
        <f t="shared" si="40"/>
        <v>1.0000251713713233</v>
      </c>
      <c r="N110" s="694">
        <f t="shared" si="41"/>
        <v>-7.0951875713449837E-3</v>
      </c>
      <c r="O110" s="692">
        <f t="shared" si="42"/>
        <v>10060.053272465686</v>
      </c>
      <c r="P110" s="695">
        <f t="shared" si="43"/>
        <v>1.5706969237425903</v>
      </c>
      <c r="Q110" s="704">
        <f t="shared" si="44"/>
        <v>4.3093219135971097</v>
      </c>
      <c r="R110" s="705">
        <f t="shared" si="45"/>
        <v>1.3366064318694575</v>
      </c>
      <c r="S110" s="692">
        <f t="shared" si="46"/>
        <v>1.0003903739231004</v>
      </c>
      <c r="T110" s="695">
        <f t="shared" si="47"/>
        <v>2.7937321712118726E-2</v>
      </c>
      <c r="U110" s="696">
        <f t="shared" si="60"/>
        <v>0.99799404120695434</v>
      </c>
      <c r="V110" s="697">
        <f t="shared" si="61"/>
        <v>-6.9805919834819416E-2</v>
      </c>
      <c r="W110" s="698">
        <f t="shared" si="48"/>
        <v>14.648246774188465</v>
      </c>
      <c r="X110" s="699">
        <f t="shared" si="49"/>
        <v>-98.800938926101651</v>
      </c>
      <c r="Y110" s="702">
        <f t="shared" si="50"/>
        <v>81.199061073898349</v>
      </c>
      <c r="AA110" s="174">
        <f t="shared" si="51"/>
        <v>1000000000</v>
      </c>
      <c r="AB110" s="174">
        <f t="shared" si="52"/>
        <v>30906928.359999996</v>
      </c>
      <c r="AD110" s="701">
        <f t="shared" si="53"/>
        <v>27.841232731703954</v>
      </c>
      <c r="AE110" s="702">
        <f t="shared" si="54"/>
        <v>-15.013087850630567</v>
      </c>
      <c r="AG110" s="701">
        <f t="shared" si="55"/>
        <v>12.229839069479675</v>
      </c>
      <c r="AH110" s="702">
        <f t="shared" si="56"/>
        <v>-75.78868188320331</v>
      </c>
      <c r="AJ110" s="174">
        <f t="shared" si="57"/>
        <v>0</v>
      </c>
      <c r="AK110" s="174">
        <f t="shared" si="68"/>
        <v>0</v>
      </c>
      <c r="AM110" s="174" t="str">
        <f t="shared" si="62"/>
        <v>0.00497609869828097+0.0996365185978864i</v>
      </c>
      <c r="AN110" s="174" t="str">
        <f t="shared" si="63"/>
        <v>0.0998021153052i</v>
      </c>
      <c r="AO110" s="174" t="str">
        <f t="shared" si="64"/>
        <v>0.998340749524124-0.0498596516022111i</v>
      </c>
      <c r="AP110" s="174" t="str">
        <f t="shared" si="65"/>
        <v>0.16583731688362-0.0166060864329811i</v>
      </c>
      <c r="AQ110" s="174" t="str">
        <f t="shared" si="66"/>
        <v>0.83416268311638+0.0166060864329811i</v>
      </c>
      <c r="AR110" s="174" t="str">
        <f t="shared" si="67"/>
        <v>0.998210568382989-0.019871868296667i</v>
      </c>
    </row>
    <row r="111" spans="7:44" x14ac:dyDescent="0.2">
      <c r="G111" s="703">
        <v>5623.4</v>
      </c>
      <c r="H111" s="691">
        <f t="shared" si="59"/>
        <v>5.6233999999999993</v>
      </c>
      <c r="I111" s="692">
        <f t="shared" si="36"/>
        <v>5.5767983416100302</v>
      </c>
      <c r="J111" s="693">
        <f t="shared" si="37"/>
        <v>1.3905068605791375</v>
      </c>
      <c r="K111" s="693">
        <f t="shared" si="38"/>
        <v>1.0000046166143075</v>
      </c>
      <c r="L111" s="694">
        <f t="shared" si="39"/>
        <v>3.0386169704974372E-3</v>
      </c>
      <c r="M111" s="693">
        <f t="shared" si="40"/>
        <v>1.0000257542470503</v>
      </c>
      <c r="N111" s="694">
        <f t="shared" si="41"/>
        <v>-7.1768648208184165E-3</v>
      </c>
      <c r="O111" s="692">
        <f t="shared" si="42"/>
        <v>10175.86494334963</v>
      </c>
      <c r="P111" s="695">
        <f t="shared" si="43"/>
        <v>1.5706980550502168</v>
      </c>
      <c r="Q111" s="704">
        <f t="shared" si="44"/>
        <v>4.3562739387452405</v>
      </c>
      <c r="R111" s="705">
        <f t="shared" si="45"/>
        <v>1.3391769309113677</v>
      </c>
      <c r="S111" s="692">
        <f t="shared" si="46"/>
        <v>1.0003994118490738</v>
      </c>
      <c r="T111" s="695">
        <f t="shared" si="47"/>
        <v>2.825876688207727E-2</v>
      </c>
      <c r="U111" s="696">
        <f t="shared" si="60"/>
        <v>0.99795693943714503</v>
      </c>
      <c r="V111" s="697">
        <f t="shared" si="61"/>
        <v>-7.060822908887153E-2</v>
      </c>
      <c r="W111" s="698">
        <f t="shared" si="48"/>
        <v>14.546366506822206</v>
      </c>
      <c r="X111" s="699">
        <f t="shared" si="49"/>
        <v>-98.837123628063623</v>
      </c>
      <c r="Y111" s="702">
        <f t="shared" si="50"/>
        <v>81.162876371936377</v>
      </c>
      <c r="AA111" s="174">
        <f t="shared" si="51"/>
        <v>1000000000</v>
      </c>
      <c r="AB111" s="174">
        <f t="shared" si="52"/>
        <v>31622627.559999995</v>
      </c>
      <c r="AD111" s="701">
        <f t="shared" si="53"/>
        <v>27.835858068307804</v>
      </c>
      <c r="AE111" s="702">
        <f t="shared" si="54"/>
        <v>-14.884291374875332</v>
      </c>
      <c r="AG111" s="701">
        <f t="shared" si="55"/>
        <v>12.133979296757126</v>
      </c>
      <c r="AH111" s="702">
        <f t="shared" si="56"/>
        <v>-75.861725192572507</v>
      </c>
      <c r="AJ111" s="174">
        <f t="shared" si="57"/>
        <v>0</v>
      </c>
      <c r="AK111" s="174">
        <f t="shared" si="68"/>
        <v>0</v>
      </c>
      <c r="AM111" s="174" t="str">
        <f t="shared" si="62"/>
        <v>0.00509123032162795+0.100779660731067i</v>
      </c>
      <c r="AN111" s="174" t="str">
        <f t="shared" si="63"/>
        <v>0.1009510406172i</v>
      </c>
      <c r="AO111" s="174" t="str">
        <f t="shared" si="64"/>
        <v>0.998302346512872-0.0504326680587036i</v>
      </c>
      <c r="AP111" s="174" t="str">
        <f t="shared" si="65"/>
        <v>0.165818128279729-0.0167966101218445i</v>
      </c>
      <c r="AQ111" s="174" t="str">
        <f t="shared" si="66"/>
        <v>0.834181871720271+0.0167966101218445i</v>
      </c>
      <c r="AR111" s="174" t="str">
        <f t="shared" si="67"/>
        <v>0.998178499577047-0.0200987526315192i</v>
      </c>
    </row>
    <row r="112" spans="7:44" x14ac:dyDescent="0.2">
      <c r="G112" s="703">
        <v>5688.9</v>
      </c>
      <c r="H112" s="691">
        <f t="shared" si="59"/>
        <v>5.6888999999999994</v>
      </c>
      <c r="I112" s="692">
        <f t="shared" si="36"/>
        <v>5.6396785680990673</v>
      </c>
      <c r="J112" s="693">
        <f t="shared" si="37"/>
        <v>1.3925387098199624</v>
      </c>
      <c r="K112" s="693">
        <f t="shared" si="38"/>
        <v>1.0000047247867978</v>
      </c>
      <c r="L112" s="694">
        <f t="shared" si="39"/>
        <v>3.0740098226801262E-3</v>
      </c>
      <c r="M112" s="693">
        <f t="shared" si="40"/>
        <v>1.0000263576916359</v>
      </c>
      <c r="N112" s="694">
        <f t="shared" si="41"/>
        <v>-7.2604562816670389E-3</v>
      </c>
      <c r="O112" s="692">
        <f t="shared" si="42"/>
        <v>10294.390950283097</v>
      </c>
      <c r="P112" s="695">
        <f t="shared" si="43"/>
        <v>1.5706991865166224</v>
      </c>
      <c r="Q112" s="704">
        <f t="shared" si="44"/>
        <v>4.4043555627511788</v>
      </c>
      <c r="R112" s="705">
        <f t="shared" si="45"/>
        <v>1.341750911925786</v>
      </c>
      <c r="S112" s="692">
        <f t="shared" si="46"/>
        <v>1.0004087686301733</v>
      </c>
      <c r="T112" s="695">
        <f t="shared" si="47"/>
        <v>2.8587739874474719E-2</v>
      </c>
      <c r="U112" s="696">
        <f t="shared" si="60"/>
        <v>0.99791853250233253</v>
      </c>
      <c r="V112" s="697">
        <f t="shared" si="61"/>
        <v>-7.1429296404927595E-2</v>
      </c>
      <c r="W112" s="698">
        <f t="shared" si="48"/>
        <v>14.443326269738527</v>
      </c>
      <c r="X112" s="699">
        <f t="shared" si="49"/>
        <v>-98.87478062658883</v>
      </c>
      <c r="Y112" s="702">
        <f t="shared" si="50"/>
        <v>81.12521937341117</v>
      </c>
      <c r="AA112" s="174">
        <f t="shared" si="51"/>
        <v>1000000000</v>
      </c>
      <c r="AB112" s="174">
        <f t="shared" si="52"/>
        <v>32363583.209999997</v>
      </c>
      <c r="AD112" s="701">
        <f t="shared" si="53"/>
        <v>27.830534170431282</v>
      </c>
      <c r="AE112" s="702">
        <f t="shared" si="54"/>
        <v>-14.755726718343322</v>
      </c>
      <c r="AG112" s="701">
        <f t="shared" si="55"/>
        <v>12.036931533123646</v>
      </c>
      <c r="AH112" s="702">
        <f t="shared" si="56"/>
        <v>-75.933859463709865</v>
      </c>
      <c r="AJ112" s="174">
        <f t="shared" si="57"/>
        <v>0</v>
      </c>
      <c r="AK112" s="174">
        <f t="shared" si="68"/>
        <v>0</v>
      </c>
      <c r="AM112" s="174" t="str">
        <f t="shared" si="62"/>
        <v>0.00521042018153095+0.101949457500243i</v>
      </c>
      <c r="AN112" s="174" t="str">
        <f t="shared" si="63"/>
        <v>0.1021268938662i</v>
      </c>
      <c r="AO112" s="174" t="str">
        <f t="shared" si="64"/>
        <v>0.998262589223663-0.0510190801294447i</v>
      </c>
      <c r="AP112" s="174" t="str">
        <f t="shared" si="65"/>
        <v>0.165798263303078-0.0169915762500405i</v>
      </c>
      <c r="AQ112" s="174" t="str">
        <f t="shared" si="66"/>
        <v>0.834201736696922+0.0169915762500405i</v>
      </c>
      <c r="AR112" s="174" t="str">
        <f t="shared" si="67"/>
        <v>0.998145304113099-0.0203308879583638i</v>
      </c>
    </row>
    <row r="113" spans="7:44" x14ac:dyDescent="0.2">
      <c r="G113" s="703">
        <v>5754.4</v>
      </c>
      <c r="H113" s="691">
        <f t="shared" si="59"/>
        <v>5.7543999999999995</v>
      </c>
      <c r="I113" s="692">
        <f t="shared" si="36"/>
        <v>5.7025815639818198</v>
      </c>
      <c r="J113" s="693">
        <f t="shared" si="37"/>
        <v>1.3945257420104444</v>
      </c>
      <c r="K113" s="693">
        <f t="shared" si="38"/>
        <v>1.0000048342119479</v>
      </c>
      <c r="L113" s="694">
        <f t="shared" si="39"/>
        <v>3.1094026671614513E-3</v>
      </c>
      <c r="M113" s="693">
        <f t="shared" si="40"/>
        <v>1.0000269681239295</v>
      </c>
      <c r="N113" s="694">
        <f t="shared" si="41"/>
        <v>-7.3440476410486562E-3</v>
      </c>
      <c r="O113" s="692">
        <f t="shared" si="42"/>
        <v>10412.916957229445</v>
      </c>
      <c r="P113" s="695">
        <f t="shared" si="43"/>
        <v>1.5707002922249826</v>
      </c>
      <c r="Q113" s="704">
        <f t="shared" si="44"/>
        <v>4.4524657369337319</v>
      </c>
      <c r="R113" s="705">
        <f t="shared" si="45"/>
        <v>1.3442692841144159</v>
      </c>
      <c r="S113" s="692">
        <f t="shared" si="46"/>
        <v>1.0004182336767085</v>
      </c>
      <c r="T113" s="695">
        <f t="shared" si="47"/>
        <v>2.8916706677587552E-2</v>
      </c>
      <c r="U113" s="696">
        <f t="shared" si="60"/>
        <v>0.99787968507373481</v>
      </c>
      <c r="V113" s="697">
        <f t="shared" si="61"/>
        <v>-7.225031659497981E-2</v>
      </c>
      <c r="W113" s="698">
        <f t="shared" si="48"/>
        <v>14.341498467202625</v>
      </c>
      <c r="X113" s="699">
        <f t="shared" si="49"/>
        <v>-98.913051412360502</v>
      </c>
      <c r="Y113" s="702">
        <f t="shared" si="50"/>
        <v>81.086948587639498</v>
      </c>
      <c r="AA113" s="174">
        <f t="shared" si="51"/>
        <v>1000000000</v>
      </c>
      <c r="AB113" s="174">
        <f t="shared" si="52"/>
        <v>33113119.359999996</v>
      </c>
      <c r="AD113" s="701">
        <f t="shared" si="53"/>
        <v>27.825381320452408</v>
      </c>
      <c r="AE113" s="702">
        <f t="shared" si="54"/>
        <v>-14.630346382389121</v>
      </c>
      <c r="AG113" s="701">
        <f t="shared" si="55"/>
        <v>11.940932850290869</v>
      </c>
      <c r="AH113" s="702">
        <f t="shared" si="56"/>
        <v>-76.003428601758202</v>
      </c>
      <c r="AJ113" s="174">
        <f t="shared" si="57"/>
        <v>0</v>
      </c>
      <c r="AK113" s="174">
        <f t="shared" si="68"/>
        <v>0</v>
      </c>
      <c r="AM113" s="174" t="str">
        <f t="shared" si="62"/>
        <v>0.005330985468051+0.103119113310969i</v>
      </c>
      <c r="AN113" s="174" t="str">
        <f t="shared" si="63"/>
        <v>0.1033027471152i</v>
      </c>
      <c r="AO113" s="174" t="str">
        <f t="shared" si="64"/>
        <v>0.998222372498708-0.0516054569401339i</v>
      </c>
      <c r="AP113" s="174" t="str">
        <f t="shared" si="65"/>
        <v>0.165778169088658-0.0171865188851615i</v>
      </c>
      <c r="AQ113" s="174" t="str">
        <f t="shared" si="66"/>
        <v>0.834221830911342+0.0171865188851615i</v>
      </c>
      <c r="AR113" s="174" t="str">
        <f t="shared" si="67"/>
        <v>0.998111729434721-0.0205629551419089i</v>
      </c>
    </row>
    <row r="114" spans="7:44" x14ac:dyDescent="0.2">
      <c r="G114" s="703">
        <v>5821.4</v>
      </c>
      <c r="H114" s="691">
        <f t="shared" si="59"/>
        <v>5.8213999999999997</v>
      </c>
      <c r="I114" s="692">
        <f t="shared" si="36"/>
        <v>5.7669478672598906</v>
      </c>
      <c r="J114" s="693">
        <f t="shared" si="37"/>
        <v>1.3965134232216139</v>
      </c>
      <c r="K114" s="693">
        <f t="shared" si="38"/>
        <v>1.0000049474390353</v>
      </c>
      <c r="L114" s="694">
        <f t="shared" si="39"/>
        <v>3.1456060267384656E-3</v>
      </c>
      <c r="M114" s="693">
        <f t="shared" si="40"/>
        <v>1.0000275997651513</v>
      </c>
      <c r="N114" s="694">
        <f t="shared" si="41"/>
        <v>-7.4295532001735316E-3</v>
      </c>
      <c r="O114" s="692">
        <f t="shared" si="42"/>
        <v>10534.157300225603</v>
      </c>
      <c r="P114" s="695">
        <f t="shared" si="43"/>
        <v>1.5707013975117083</v>
      </c>
      <c r="Q114" s="704">
        <f t="shared" si="44"/>
        <v>4.5017062549532021</v>
      </c>
      <c r="R114" s="705">
        <f t="shared" si="45"/>
        <v>1.3467896212424806</v>
      </c>
      <c r="S114" s="692">
        <f t="shared" si="46"/>
        <v>1.0004280274896982</v>
      </c>
      <c r="T114" s="695">
        <f t="shared" si="47"/>
        <v>2.9253200594051159E-2</v>
      </c>
      <c r="U114" s="696">
        <f t="shared" si="60"/>
        <v>0.99783949242154768</v>
      </c>
      <c r="V114" s="697">
        <f t="shared" si="61"/>
        <v>-7.3090089458997892E-2</v>
      </c>
      <c r="W114" s="698">
        <f t="shared" si="48"/>
        <v>14.238563106373288</v>
      </c>
      <c r="X114" s="699">
        <f t="shared" si="49"/>
        <v>-98.95281573475755</v>
      </c>
      <c r="Y114" s="702">
        <f t="shared" si="50"/>
        <v>81.04718426524245</v>
      </c>
      <c r="AA114" s="174">
        <f t="shared" si="51"/>
        <v>1000000000</v>
      </c>
      <c r="AB114" s="174">
        <f t="shared" si="52"/>
        <v>33888697.959999993</v>
      </c>
      <c r="AD114" s="701">
        <f t="shared" si="53"/>
        <v>27.820279742473417</v>
      </c>
      <c r="AE114" s="702">
        <f t="shared" si="54"/>
        <v>-14.505284711367718</v>
      </c>
      <c r="AG114" s="701">
        <f t="shared" si="55"/>
        <v>11.84379878300199</v>
      </c>
      <c r="AH114" s="702">
        <f t="shared" si="56"/>
        <v>-76.072023713350987</v>
      </c>
      <c r="AJ114" s="174">
        <f t="shared" si="57"/>
        <v>0</v>
      </c>
      <c r="AK114" s="174">
        <f t="shared" si="68"/>
        <v>0</v>
      </c>
      <c r="AM114" s="174" t="str">
        <f t="shared" si="62"/>
        <v>0.00545573465263505+0.104315407609181i</v>
      </c>
      <c r="AN114" s="174" t="str">
        <f t="shared" si="63"/>
        <v>0.1045055283012i</v>
      </c>
      <c r="AO114" s="174" t="str">
        <f t="shared" si="64"/>
        <v>0.998180759476465-0.0522052253246435i</v>
      </c>
      <c r="AP114" s="174" t="str">
        <f t="shared" si="65"/>
        <v>0.165757377557894-0.0173859012681968i</v>
      </c>
      <c r="AQ114" s="174" t="str">
        <f t="shared" si="66"/>
        <v>0.834242622442106+0.0173859012681968i</v>
      </c>
      <c r="AR114" s="174" t="str">
        <f t="shared" si="67"/>
        <v>0.998076993716259-0.0208002655390744i</v>
      </c>
    </row>
    <row r="115" spans="7:44" x14ac:dyDescent="0.2">
      <c r="G115" s="703">
        <v>5888.4</v>
      </c>
      <c r="H115" s="691">
        <f t="shared" si="59"/>
        <v>5.8883999999999999</v>
      </c>
      <c r="I115" s="692">
        <f t="shared" si="36"/>
        <v>5.8313364519948028</v>
      </c>
      <c r="J115" s="693">
        <f t="shared" si="37"/>
        <v>1.3984572167237108</v>
      </c>
      <c r="K115" s="693">
        <f t="shared" si="38"/>
        <v>1.0000050619768122</v>
      </c>
      <c r="L115" s="694">
        <f t="shared" si="39"/>
        <v>3.1818093780696692E-3</v>
      </c>
      <c r="M115" s="693">
        <f t="shared" si="40"/>
        <v>1.0000282387177664</v>
      </c>
      <c r="N115" s="694">
        <f t="shared" si="41"/>
        <v>-7.5150586506586379E-3</v>
      </c>
      <c r="O115" s="692">
        <f t="shared" si="42"/>
        <v>10655.397643234335</v>
      </c>
      <c r="P115" s="695">
        <f t="shared" si="43"/>
        <v>1.5707024776458596</v>
      </c>
      <c r="Q115" s="704">
        <f t="shared" si="44"/>
        <v>4.5509747493639088</v>
      </c>
      <c r="R115" s="705">
        <f t="shared" si="45"/>
        <v>1.3492554038094022</v>
      </c>
      <c r="S115" s="692">
        <f t="shared" si="46"/>
        <v>1.0004379345770831</v>
      </c>
      <c r="T115" s="695">
        <f t="shared" si="47"/>
        <v>2.9589687884183292E-2</v>
      </c>
      <c r="U115" s="696">
        <f t="shared" si="60"/>
        <v>0.99779883918152545</v>
      </c>
      <c r="V115" s="697">
        <f t="shared" si="61"/>
        <v>-7.3929811881385685E-2</v>
      </c>
      <c r="W115" s="698">
        <f t="shared" si="48"/>
        <v>14.136836477243271</v>
      </c>
      <c r="X115" s="699">
        <f t="shared" si="49"/>
        <v>-98.993186506117723</v>
      </c>
      <c r="Y115" s="702">
        <f t="shared" si="50"/>
        <v>81.006813493882277</v>
      </c>
      <c r="AA115" s="174">
        <f t="shared" si="51"/>
        <v>1000000000</v>
      </c>
      <c r="AB115" s="174">
        <f t="shared" si="52"/>
        <v>34673254.559999995</v>
      </c>
      <c r="AD115" s="701">
        <f t="shared" si="53"/>
        <v>27.815341935947711</v>
      </c>
      <c r="AE115" s="702">
        <f t="shared" si="54"/>
        <v>-14.383346965659378</v>
      </c>
      <c r="AG115" s="701">
        <f t="shared" si="55"/>
        <v>11.747717723023246</v>
      </c>
      <c r="AH115" s="702">
        <f t="shared" si="56"/>
        <v>-76.138107128778941</v>
      </c>
      <c r="AJ115" s="174">
        <f t="shared" si="57"/>
        <v>0</v>
      </c>
      <c r="AK115" s="174">
        <f t="shared" si="68"/>
        <v>0</v>
      </c>
      <c r="AM115" s="174" t="str">
        <f t="shared" si="62"/>
        <v>0.00558192262691104+0.105511550996127i</v>
      </c>
      <c r="AN115" s="174" t="str">
        <f t="shared" si="63"/>
        <v>0.1057083094872i</v>
      </c>
      <c r="AO115" s="174" t="str">
        <f t="shared" si="64"/>
        <v>0.998138665805673-0.0528049559584239i</v>
      </c>
      <c r="AP115" s="174" t="str">
        <f t="shared" si="65"/>
        <v>0.165736346228848-0.0175852584993545i</v>
      </c>
      <c r="AQ115" s="174" t="str">
        <f t="shared" si="66"/>
        <v>0.834263653771152+0.0175852584993545i</v>
      </c>
      <c r="AR115" s="174" t="str">
        <f t="shared" si="67"/>
        <v>0.998041861595646-0.021037503012388i</v>
      </c>
    </row>
    <row r="116" spans="7:44" x14ac:dyDescent="0.2">
      <c r="G116" s="703">
        <v>5957</v>
      </c>
      <c r="H116" s="691">
        <f t="shared" si="59"/>
        <v>5.9569999999999999</v>
      </c>
      <c r="I116" s="692">
        <f t="shared" si="36"/>
        <v>5.8972849983241229</v>
      </c>
      <c r="J116" s="693">
        <f t="shared" si="37"/>
        <v>1.4004034430758991</v>
      </c>
      <c r="K116" s="693">
        <f t="shared" si="38"/>
        <v>1.0000051806078323</v>
      </c>
      <c r="L116" s="694">
        <f t="shared" si="39"/>
        <v>3.2188772784019592E-3</v>
      </c>
      <c r="M116" s="693">
        <f t="shared" si="40"/>
        <v>1.0000289005043153</v>
      </c>
      <c r="N116" s="694">
        <f t="shared" si="41"/>
        <v>-7.6026059084815115E-3</v>
      </c>
      <c r="O116" s="692">
        <f t="shared" si="42"/>
        <v>10779.533278028997</v>
      </c>
      <c r="P116" s="695">
        <f t="shared" si="43"/>
        <v>1.5707035583998612</v>
      </c>
      <c r="Q116" s="704">
        <f t="shared" si="44"/>
        <v>4.601447852837679</v>
      </c>
      <c r="R116" s="705">
        <f t="shared" si="45"/>
        <v>1.3517253457272722</v>
      </c>
      <c r="S116" s="692">
        <f t="shared" si="46"/>
        <v>1.0004481956123994</v>
      </c>
      <c r="T116" s="695">
        <f t="shared" si="47"/>
        <v>2.9934203746740239E-2</v>
      </c>
      <c r="U116" s="696">
        <f t="shared" si="60"/>
        <v>0.9977567380677298</v>
      </c>
      <c r="V116" s="697">
        <f t="shared" si="61"/>
        <v>-7.4789534516052511E-2</v>
      </c>
      <c r="W116" s="698">
        <f t="shared" si="48"/>
        <v>14.033902989159547</v>
      </c>
      <c r="X116" s="699">
        <f t="shared" si="49"/>
        <v>-99.035131774784631</v>
      </c>
      <c r="Y116" s="702">
        <f t="shared" si="50"/>
        <v>80.964868225215369</v>
      </c>
      <c r="AA116" s="174">
        <f t="shared" si="51"/>
        <v>1000000000</v>
      </c>
      <c r="AB116" s="174">
        <f t="shared" si="52"/>
        <v>35485849</v>
      </c>
      <c r="AD116" s="701">
        <f t="shared" si="53"/>
        <v>27.810448503808711</v>
      </c>
      <c r="AE116" s="702">
        <f t="shared" si="54"/>
        <v>-14.26163094552671</v>
      </c>
      <c r="AG116" s="701">
        <f t="shared" si="55"/>
        <v>11.650410667216008</v>
      </c>
      <c r="AH116" s="702">
        <f t="shared" si="56"/>
        <v>-76.203251460429371</v>
      </c>
      <c r="AJ116" s="174">
        <f t="shared" si="57"/>
        <v>0</v>
      </c>
      <c r="AK116" s="174">
        <f t="shared" si="68"/>
        <v>0</v>
      </c>
      <c r="AM116" s="174" t="str">
        <f t="shared" si="62"/>
        <v>0.00571261459337002+0.106736100834007i</v>
      </c>
      <c r="AN116" s="174" t="str">
        <f t="shared" si="63"/>
        <v>0.106939813806i</v>
      </c>
      <c r="AO116" s="174" t="str">
        <f t="shared" si="64"/>
        <v>0.998095068948198-0.0534189689513889i</v>
      </c>
      <c r="AP116" s="174" t="str">
        <f t="shared" si="65"/>
        <v>0.165714564234438-0.0177893501390012i</v>
      </c>
      <c r="AQ116" s="174" t="str">
        <f t="shared" si="66"/>
        <v>0.834285435765562+0.0177893501390012i</v>
      </c>
      <c r="AR116" s="174" t="str">
        <f t="shared" si="67"/>
        <v>0.998005479988269-0.0212803294448762i</v>
      </c>
    </row>
    <row r="117" spans="7:44" x14ac:dyDescent="0.2">
      <c r="G117" s="703">
        <v>6025.6</v>
      </c>
      <c r="H117" s="691">
        <f t="shared" si="59"/>
        <v>6.0256000000000007</v>
      </c>
      <c r="I117" s="692">
        <f t="shared" si="36"/>
        <v>5.9632553882508015</v>
      </c>
      <c r="J117" s="693">
        <f t="shared" si="37"/>
        <v>1.4023066150212464</v>
      </c>
      <c r="K117" s="693">
        <f t="shared" si="38"/>
        <v>1.0000053006128884</v>
      </c>
      <c r="L117" s="694">
        <f t="shared" si="39"/>
        <v>3.2559451698885582E-3</v>
      </c>
      <c r="M117" s="693">
        <f t="shared" si="40"/>
        <v>1.0000295699555979</v>
      </c>
      <c r="N117" s="694">
        <f t="shared" si="41"/>
        <v>-7.6901530497616088E-3</v>
      </c>
      <c r="O117" s="692">
        <f t="shared" si="42"/>
        <v>10903.668912835965</v>
      </c>
      <c r="P117" s="695">
        <f t="shared" si="43"/>
        <v>1.5707046145456165</v>
      </c>
      <c r="Q117" s="704">
        <f t="shared" si="44"/>
        <v>4.651948418717387</v>
      </c>
      <c r="R117" s="705">
        <f t="shared" si="45"/>
        <v>1.3541416757890206</v>
      </c>
      <c r="S117" s="692">
        <f t="shared" si="46"/>
        <v>1.0004585753896484</v>
      </c>
      <c r="T117" s="695">
        <f t="shared" si="47"/>
        <v>3.0278712501469032E-2</v>
      </c>
      <c r="U117" s="696">
        <f t="shared" si="60"/>
        <v>0.99771415444781764</v>
      </c>
      <c r="V117" s="697">
        <f t="shared" si="61"/>
        <v>-7.5649203057377545E-2</v>
      </c>
      <c r="W117" s="698">
        <f t="shared" si="48"/>
        <v>13.932176912043463</v>
      </c>
      <c r="X117" s="699">
        <f t="shared" si="49"/>
        <v>-99.077677018050423</v>
      </c>
      <c r="Y117" s="702">
        <f t="shared" si="50"/>
        <v>80.922322981949577</v>
      </c>
      <c r="AA117" s="174">
        <f t="shared" si="51"/>
        <v>1000000000</v>
      </c>
      <c r="AB117" s="174">
        <f t="shared" si="52"/>
        <v>36307855.360000007</v>
      </c>
      <c r="AD117" s="701">
        <f t="shared" si="53"/>
        <v>27.805712142185783</v>
      </c>
      <c r="AE117" s="702">
        <f t="shared" si="54"/>
        <v>-14.142984841287962</v>
      </c>
      <c r="AG117" s="701">
        <f t="shared" si="55"/>
        <v>11.55416238398206</v>
      </c>
      <c r="AH117" s="702">
        <f t="shared" si="56"/>
        <v>-76.26593204942516</v>
      </c>
      <c r="AJ117" s="174">
        <f t="shared" si="57"/>
        <v>0</v>
      </c>
      <c r="AK117" s="174">
        <f t="shared" si="68"/>
        <v>0</v>
      </c>
      <c r="AM117" s="174" t="str">
        <f t="shared" si="62"/>
        <v>0.00584481449875796+0.107960488795629i</v>
      </c>
      <c r="AN117" s="174" t="str">
        <f t="shared" si="63"/>
        <v>0.1081713181248i</v>
      </c>
      <c r="AO117" s="174" t="str">
        <f t="shared" si="64"/>
        <v>0.998050968289692-0.0540329414495499i</v>
      </c>
      <c r="AP117" s="174" t="str">
        <f t="shared" si="65"/>
        <v>0.165692530916874-0.0179934147992715i</v>
      </c>
      <c r="AQ117" s="174" t="str">
        <f t="shared" si="66"/>
        <v>0.834307469083126+0.0179934147992715i</v>
      </c>
      <c r="AR117" s="174" t="str">
        <f t="shared" si="67"/>
        <v>0.99796868323663-0.0215230776896837i</v>
      </c>
    </row>
    <row r="118" spans="7:44" x14ac:dyDescent="0.2">
      <c r="G118" s="703">
        <v>6095.8</v>
      </c>
      <c r="H118" s="691">
        <f t="shared" si="59"/>
        <v>6.0958000000000006</v>
      </c>
      <c r="I118" s="692">
        <f t="shared" si="36"/>
        <v>6.0307863120283276</v>
      </c>
      <c r="J118" s="693">
        <f t="shared" si="37"/>
        <v>1.4042110633762381</v>
      </c>
      <c r="K118" s="693">
        <f t="shared" si="38"/>
        <v>1.0000054248393766</v>
      </c>
      <c r="L118" s="694">
        <f t="shared" si="39"/>
        <v>3.2938776093471554E-3</v>
      </c>
      <c r="M118" s="693">
        <f t="shared" si="40"/>
        <v>1.0000302629558611</v>
      </c>
      <c r="N118" s="694">
        <f t="shared" si="41"/>
        <v>-7.7797419848216554E-3</v>
      </c>
      <c r="O118" s="692">
        <f t="shared" si="42"/>
        <v>11030.699839429162</v>
      </c>
      <c r="P118" s="695">
        <f t="shared" si="43"/>
        <v>1.5707056707154161</v>
      </c>
      <c r="Q118" s="704">
        <f t="shared" si="44"/>
        <v>4.70365434816493</v>
      </c>
      <c r="R118" s="705">
        <f t="shared" si="45"/>
        <v>1.3565606339638869</v>
      </c>
      <c r="S118" s="692">
        <f t="shared" si="46"/>
        <v>1.0004693201854375</v>
      </c>
      <c r="T118" s="695">
        <f t="shared" si="47"/>
        <v>3.0631249002294518E-2</v>
      </c>
      <c r="U118" s="696">
        <f t="shared" si="60"/>
        <v>0.99767007828978271</v>
      </c>
      <c r="V118" s="697">
        <f t="shared" si="61"/>
        <v>-7.652886553623596E-2</v>
      </c>
      <c r="W118" s="698">
        <f t="shared" si="48"/>
        <v>13.829298334789966</v>
      </c>
      <c r="X118" s="699">
        <f t="shared" si="49"/>
        <v>-99.121817791214582</v>
      </c>
      <c r="Y118" s="702">
        <f t="shared" si="50"/>
        <v>80.878182208785418</v>
      </c>
      <c r="AA118" s="174">
        <f t="shared" si="51"/>
        <v>1000000000</v>
      </c>
      <c r="AB118" s="174">
        <f t="shared" si="52"/>
        <v>37158777.640000001</v>
      </c>
      <c r="AD118" s="701">
        <f t="shared" si="53"/>
        <v>27.801020816679216</v>
      </c>
      <c r="AE118" s="702">
        <f t="shared" si="54"/>
        <v>-14.024648114607807</v>
      </c>
      <c r="AG118" s="701">
        <f t="shared" si="55"/>
        <v>11.456742584714984</v>
      </c>
      <c r="AH118" s="702">
        <f t="shared" si="56"/>
        <v>-76.327607654285089</v>
      </c>
      <c r="AJ118" s="174">
        <f t="shared" si="57"/>
        <v>0</v>
      </c>
      <c r="AK118" s="174">
        <f t="shared" si="68"/>
        <v>0</v>
      </c>
      <c r="AM118" s="174" t="str">
        <f t="shared" si="62"/>
        <v>0.00598165867963496+0.109213264389954i</v>
      </c>
      <c r="AN118" s="174" t="str">
        <f t="shared" si="63"/>
        <v>0.1094315455764i</v>
      </c>
      <c r="AO118" s="174" t="str">
        <f t="shared" si="64"/>
        <v>0.998005317522509-0.0546611915981653i</v>
      </c>
      <c r="AP118" s="174" t="str">
        <f t="shared" si="65"/>
        <v>0.165669723553394-0.018202210731659i</v>
      </c>
      <c r="AQ118" s="174" t="str">
        <f t="shared" si="66"/>
        <v>0.834330276446606+0.018202210731659i</v>
      </c>
      <c r="AR118" s="174" t="str">
        <f t="shared" si="67"/>
        <v>0.997930598694103-0.0217714058398589i</v>
      </c>
    </row>
    <row r="119" spans="7:44" x14ac:dyDescent="0.2">
      <c r="G119" s="703">
        <v>6166</v>
      </c>
      <c r="H119" s="691">
        <f t="shared" si="59"/>
        <v>6.1660000000000004</v>
      </c>
      <c r="I119" s="692">
        <f t="shared" si="36"/>
        <v>6.0983386245282576</v>
      </c>
      <c r="J119" s="693">
        <f t="shared" si="37"/>
        <v>1.406073326578237</v>
      </c>
      <c r="K119" s="693">
        <f t="shared" si="38"/>
        <v>1.0000055505047423</v>
      </c>
      <c r="L119" s="694">
        <f t="shared" si="39"/>
        <v>3.3318100393267976E-3</v>
      </c>
      <c r="M119" s="693">
        <f t="shared" si="40"/>
        <v>1.0000309639825329</v>
      </c>
      <c r="N119" s="694">
        <f t="shared" si="41"/>
        <v>-7.8693307949961825E-3</v>
      </c>
      <c r="O119" s="692">
        <f t="shared" si="42"/>
        <v>11157.730766034379</v>
      </c>
      <c r="P119" s="695">
        <f t="shared" si="43"/>
        <v>1.5707067028361985</v>
      </c>
      <c r="Q119" s="704">
        <f t="shared" si="44"/>
        <v>4.7553872017711791</v>
      </c>
      <c r="R119" s="705">
        <f t="shared" si="45"/>
        <v>1.3589269750643755</v>
      </c>
      <c r="S119" s="692">
        <f t="shared" si="46"/>
        <v>1.0004801893188595</v>
      </c>
      <c r="T119" s="695">
        <f t="shared" si="47"/>
        <v>3.0983777887077853E-2</v>
      </c>
      <c r="U119" s="696">
        <f t="shared" si="60"/>
        <v>0.99762549723110705</v>
      </c>
      <c r="V119" s="697">
        <f t="shared" si="61"/>
        <v>-7.7408470069283516E-2</v>
      </c>
      <c r="W119" s="698">
        <f t="shared" si="48"/>
        <v>13.727624585552862</v>
      </c>
      <c r="X119" s="699">
        <f t="shared" si="49"/>
        <v>-99.166551128510022</v>
      </c>
      <c r="Y119" s="702">
        <f t="shared" si="50"/>
        <v>80.833448871489978</v>
      </c>
      <c r="AA119" s="174">
        <f t="shared" si="51"/>
        <v>1000000000</v>
      </c>
      <c r="AB119" s="174">
        <f t="shared" si="52"/>
        <v>38019556</v>
      </c>
      <c r="AD119" s="701">
        <f t="shared" si="53"/>
        <v>27.796479935543076</v>
      </c>
      <c r="AE119" s="702">
        <f t="shared" si="54"/>
        <v>-13.909324309949014</v>
      </c>
      <c r="AG119" s="701">
        <f t="shared" si="55"/>
        <v>11.360385994896644</v>
      </c>
      <c r="AH119" s="702">
        <f t="shared" si="56"/>
        <v>-76.386869541355765</v>
      </c>
      <c r="AJ119" s="174">
        <f t="shared" si="57"/>
        <v>0</v>
      </c>
      <c r="AK119" s="174">
        <f t="shared" si="68"/>
        <v>0</v>
      </c>
      <c r="AM119" s="174" t="str">
        <f t="shared" si="62"/>
        <v>0.00612008153362198+0.110465866534719i</v>
      </c>
      <c r="AN119" s="174" t="str">
        <f t="shared" si="63"/>
        <v>0.110691773028i</v>
      </c>
      <c r="AO119" s="174" t="str">
        <f t="shared" si="64"/>
        <v>0.997959139264814-0.0552893983555027i</v>
      </c>
      <c r="AP119" s="174" t="str">
        <f t="shared" si="65"/>
        <v>0.16564665307773-0.0184109777557865i</v>
      </c>
      <c r="AQ119" s="174" t="str">
        <f t="shared" si="66"/>
        <v>0.83435334692227+0.0184109777557865i</v>
      </c>
      <c r="AR119" s="174" t="str">
        <f t="shared" si="67"/>
        <v>0.997892079872725-0.0220196502512788i</v>
      </c>
    </row>
    <row r="120" spans="7:44" x14ac:dyDescent="0.2">
      <c r="G120" s="703">
        <v>6237.8</v>
      </c>
      <c r="H120" s="691">
        <f t="shared" si="59"/>
        <v>6.2378</v>
      </c>
      <c r="I120" s="692">
        <f t="shared" si="36"/>
        <v>6.1674519838412447</v>
      </c>
      <c r="J120" s="693">
        <f t="shared" si="37"/>
        <v>1.4079358277617151</v>
      </c>
      <c r="K120" s="693">
        <f t="shared" si="38"/>
        <v>1.0000056805227189</v>
      </c>
      <c r="L120" s="694">
        <f t="shared" si="39"/>
        <v>3.3706070161958349E-3</v>
      </c>
      <c r="M120" s="693">
        <f t="shared" si="40"/>
        <v>1.0000316892899042</v>
      </c>
      <c r="N120" s="694">
        <f t="shared" si="41"/>
        <v>-7.96096138468789E-3</v>
      </c>
      <c r="O120" s="692">
        <f t="shared" si="42"/>
        <v>11287.656984426092</v>
      </c>
      <c r="P120" s="695">
        <f t="shared" si="43"/>
        <v>1.5707077344499407</v>
      </c>
      <c r="Q120" s="704">
        <f t="shared" si="44"/>
        <v>4.8083260975910171</v>
      </c>
      <c r="R120" s="705">
        <f t="shared" si="45"/>
        <v>1.3612945632583979</v>
      </c>
      <c r="S120" s="692">
        <f t="shared" si="46"/>
        <v>1.0004914347983811</v>
      </c>
      <c r="T120" s="695">
        <f t="shared" si="47"/>
        <v>3.1344333648771261E-2</v>
      </c>
      <c r="U120" s="696">
        <f t="shared" si="60"/>
        <v>0.99757937798787355</v>
      </c>
      <c r="V120" s="697">
        <f t="shared" si="61"/>
        <v>-7.8308061942371443E-2</v>
      </c>
      <c r="W120" s="698">
        <f t="shared" si="48"/>
        <v>13.624850080318129</v>
      </c>
      <c r="X120" s="699">
        <f t="shared" si="49"/>
        <v>-99.212899165752958</v>
      </c>
      <c r="Y120" s="702">
        <f t="shared" si="50"/>
        <v>80.787100834247042</v>
      </c>
      <c r="AA120" s="174">
        <f t="shared" si="51"/>
        <v>1000000000</v>
      </c>
      <c r="AB120" s="174">
        <f t="shared" si="52"/>
        <v>38910148.840000004</v>
      </c>
      <c r="AD120" s="701">
        <f t="shared" si="53"/>
        <v>27.791984372576756</v>
      </c>
      <c r="AE120" s="702">
        <f t="shared" si="54"/>
        <v>-13.794388929212873</v>
      </c>
      <c r="AG120" s="701">
        <f t="shared" si="55"/>
        <v>11.262910151421675</v>
      </c>
      <c r="AH120" s="702">
        <f t="shared" si="56"/>
        <v>-76.445067323992618</v>
      </c>
      <c r="AJ120" s="174">
        <f t="shared" si="57"/>
        <v>0</v>
      </c>
      <c r="AK120" s="174">
        <f t="shared" si="68"/>
        <v>0</v>
      </c>
      <c r="AM120" s="174" t="str">
        <f t="shared" si="62"/>
        <v>0.00626329215017996+0.111746836518095i</v>
      </c>
      <c r="AN120" s="174" t="str">
        <f t="shared" si="63"/>
        <v>0.1119807236124i</v>
      </c>
      <c r="AO120" s="174" t="str">
        <f t="shared" si="64"/>
        <v>0.997911362895684-0.0559318778101413i</v>
      </c>
      <c r="AP120" s="174" t="str">
        <f t="shared" si="65"/>
        <v>0.165622784641637-0.0186244727530158i</v>
      </c>
      <c r="AQ120" s="174" t="str">
        <f t="shared" si="66"/>
        <v>0.834377215358363+0.0186244727530158i</v>
      </c>
      <c r="AR120" s="174" t="str">
        <f t="shared" si="67"/>
        <v>0.997852234135416-0.0222734650516661i</v>
      </c>
    </row>
    <row r="121" spans="7:44" x14ac:dyDescent="0.2">
      <c r="G121" s="703">
        <v>6309.6</v>
      </c>
      <c r="H121" s="691">
        <f t="shared" si="59"/>
        <v>6.3096000000000005</v>
      </c>
      <c r="I121" s="692">
        <f t="shared" si="36"/>
        <v>6.2365862632706373</v>
      </c>
      <c r="J121" s="693">
        <f t="shared" si="37"/>
        <v>1.4097570424676544</v>
      </c>
      <c r="K121" s="693">
        <f t="shared" si="38"/>
        <v>1.000005812045909</v>
      </c>
      <c r="L121" s="694">
        <f t="shared" si="39"/>
        <v>3.4094039829179242E-3</v>
      </c>
      <c r="M121" s="693">
        <f t="shared" si="40"/>
        <v>1.0000324229936943</v>
      </c>
      <c r="N121" s="694">
        <f t="shared" si="41"/>
        <v>-8.0525918406938821E-3</v>
      </c>
      <c r="O121" s="692">
        <f t="shared" si="42"/>
        <v>11417.583202829546</v>
      </c>
      <c r="P121" s="695">
        <f t="shared" si="43"/>
        <v>1.5707087425852164</v>
      </c>
      <c r="Q121" s="704">
        <f t="shared" si="44"/>
        <v>4.8612913592412079</v>
      </c>
      <c r="R121" s="705">
        <f t="shared" si="45"/>
        <v>1.3636105729997627</v>
      </c>
      <c r="S121" s="692">
        <f t="shared" si="46"/>
        <v>1.0005028103393132</v>
      </c>
      <c r="T121" s="695">
        <f t="shared" si="47"/>
        <v>3.1704881258424002E-2</v>
      </c>
      <c r="U121" s="696">
        <f t="shared" si="60"/>
        <v>0.9975327309772738</v>
      </c>
      <c r="V121" s="697">
        <f t="shared" si="61"/>
        <v>-7.9207591808645381E-2</v>
      </c>
      <c r="W121" s="698">
        <f t="shared" si="48"/>
        <v>13.523276654355572</v>
      </c>
      <c r="X121" s="699">
        <f t="shared" si="49"/>
        <v>-99.259831517632179</v>
      </c>
      <c r="Y121" s="702">
        <f t="shared" si="50"/>
        <v>80.740168482367821</v>
      </c>
      <c r="AA121" s="174">
        <f t="shared" si="51"/>
        <v>1000000000</v>
      </c>
      <c r="AB121" s="174">
        <f t="shared" si="52"/>
        <v>39811052.160000004</v>
      </c>
      <c r="AD121" s="701">
        <f t="shared" si="53"/>
        <v>27.787632730715714</v>
      </c>
      <c r="AE121" s="702">
        <f t="shared" si="54"/>
        <v>-13.68240696383663</v>
      </c>
      <c r="AG121" s="701">
        <f t="shared" si="55"/>
        <v>11.166500694174912</v>
      </c>
      <c r="AH121" s="702">
        <f t="shared" si="56"/>
        <v>-76.500903111363357</v>
      </c>
      <c r="AJ121" s="174">
        <f t="shared" si="57"/>
        <v>0</v>
      </c>
      <c r="AK121" s="174">
        <f t="shared" si="68"/>
        <v>0</v>
      </c>
      <c r="AM121" s="174" t="str">
        <f t="shared" si="62"/>
        <v>0.00640815375432502+0.113027620846017i</v>
      </c>
      <c r="AN121" s="174" t="str">
        <f t="shared" si="63"/>
        <v>0.1132696741968i</v>
      </c>
      <c r="AO121" s="174" t="str">
        <f t="shared" si="64"/>
        <v>0.997863034810514-0.0565743108185444i</v>
      </c>
      <c r="AP121" s="174" t="str">
        <f t="shared" si="65"/>
        <v>0.165598641040946-0.0188379368076695i</v>
      </c>
      <c r="AQ121" s="174" t="str">
        <f t="shared" si="66"/>
        <v>0.834401358959054+0.0188379368076695i</v>
      </c>
      <c r="AR121" s="174" t="str">
        <f t="shared" si="67"/>
        <v>0.997811934597062-0.0225271902640805i</v>
      </c>
    </row>
    <row r="122" spans="7:44" x14ac:dyDescent="0.2">
      <c r="G122" s="703">
        <v>6383.05</v>
      </c>
      <c r="H122" s="691">
        <f t="shared" si="59"/>
        <v>6.3830499999999999</v>
      </c>
      <c r="I122" s="692">
        <f t="shared" si="36"/>
        <v>6.3073302126164803</v>
      </c>
      <c r="J122" s="693">
        <f t="shared" si="37"/>
        <v>1.411578792194085</v>
      </c>
      <c r="K122" s="693">
        <f t="shared" si="38"/>
        <v>1.0000059481490644</v>
      </c>
      <c r="L122" s="694">
        <f t="shared" si="39"/>
        <v>3.4490925127666325E-3</v>
      </c>
      <c r="M122" s="693">
        <f t="shared" si="40"/>
        <v>1.0000331822464128</v>
      </c>
      <c r="N122" s="694">
        <f t="shared" si="41"/>
        <v>-8.1463278705884538E-3</v>
      </c>
      <c r="O122" s="692">
        <f t="shared" si="42"/>
        <v>11550.495190887708</v>
      </c>
      <c r="P122" s="695">
        <f t="shared" si="43"/>
        <v>1.5707097504200553</v>
      </c>
      <c r="Q122" s="704">
        <f t="shared" si="44"/>
        <v>4.9155001821533908</v>
      </c>
      <c r="R122" s="705">
        <f t="shared" si="45"/>
        <v>1.3659281487349177</v>
      </c>
      <c r="S122" s="692">
        <f t="shared" si="46"/>
        <v>1.0005145818703216</v>
      </c>
      <c r="T122" s="695">
        <f t="shared" si="47"/>
        <v>3.2073705900276521E-2</v>
      </c>
      <c r="U122" s="696">
        <f t="shared" si="60"/>
        <v>0.99748446611602215</v>
      </c>
      <c r="V122" s="697">
        <f t="shared" si="61"/>
        <v>-8.012772842971444E-2</v>
      </c>
      <c r="W122" s="698">
        <f t="shared" si="48"/>
        <v>13.420582209883358</v>
      </c>
      <c r="X122" s="699">
        <f t="shared" si="49"/>
        <v>-99.308429258664816</v>
      </c>
      <c r="Y122" s="702">
        <f t="shared" si="50"/>
        <v>80.691570741335184</v>
      </c>
      <c r="AA122" s="174">
        <f t="shared" si="51"/>
        <v>1000000000</v>
      </c>
      <c r="AB122" s="174">
        <f t="shared" si="52"/>
        <v>40743327.302500002</v>
      </c>
      <c r="AD122" s="701">
        <f t="shared" si="53"/>
        <v>27.783323474810157</v>
      </c>
      <c r="AE122" s="702">
        <f t="shared" si="54"/>
        <v>-13.570809495424088</v>
      </c>
      <c r="AG122" s="701">
        <f t="shared" si="55"/>
        <v>11.068956046249045</v>
      </c>
      <c r="AH122" s="702">
        <f t="shared" si="56"/>
        <v>-76.555658430762691</v>
      </c>
      <c r="AJ122" s="174">
        <f t="shared" si="57"/>
        <v>0</v>
      </c>
      <c r="AK122" s="174">
        <f t="shared" si="68"/>
        <v>0</v>
      </c>
      <c r="AM122" s="174" t="str">
        <f t="shared" si="62"/>
        <v>0.00655805243412699+0.114337643917148i</v>
      </c>
      <c r="AN122" s="174" t="str">
        <f t="shared" si="63"/>
        <v>0.1145882455119i</v>
      </c>
      <c r="AO122" s="174" t="str">
        <f t="shared" si="64"/>
        <v>0.997813025292145-0.0572314586442109i</v>
      </c>
      <c r="AP122" s="174" t="str">
        <f t="shared" si="65"/>
        <v>0.165573657927646-0.0190562739861913i</v>
      </c>
      <c r="AQ122" s="174" t="str">
        <f t="shared" si="66"/>
        <v>0.834426342072354+0.0190562739861913i</v>
      </c>
      <c r="AR122" s="174" t="str">
        <f t="shared" si="67"/>
        <v>0.997770239659161-0.0227866524623261i</v>
      </c>
    </row>
    <row r="123" spans="7:44" x14ac:dyDescent="0.2">
      <c r="G123" s="703">
        <v>6456.5</v>
      </c>
      <c r="H123" s="691">
        <f t="shared" si="59"/>
        <v>6.4565000000000001</v>
      </c>
      <c r="I123" s="692">
        <f t="shared" si="36"/>
        <v>6.3780946301573582</v>
      </c>
      <c r="J123" s="693">
        <f t="shared" si="37"/>
        <v>1.4133601234069346</v>
      </c>
      <c r="K123" s="693">
        <f t="shared" si="38"/>
        <v>1.000006085827408</v>
      </c>
      <c r="L123" s="694">
        <f t="shared" si="39"/>
        <v>3.4887810317494215E-3</v>
      </c>
      <c r="M123" s="693">
        <f t="shared" si="40"/>
        <v>1.0000339502858528</v>
      </c>
      <c r="N123" s="694">
        <f t="shared" si="41"/>
        <v>-8.2400637573255813E-3</v>
      </c>
      <c r="O123" s="692">
        <f t="shared" si="42"/>
        <v>11683.407178957335</v>
      </c>
      <c r="P123" s="695">
        <f t="shared" si="43"/>
        <v>1.570710735324369</v>
      </c>
      <c r="Q123" s="704">
        <f t="shared" si="44"/>
        <v>4.9697348309352565</v>
      </c>
      <c r="R123" s="705">
        <f t="shared" si="45"/>
        <v>1.3681951530809475</v>
      </c>
      <c r="S123" s="692">
        <f t="shared" si="46"/>
        <v>1.0005264894997326</v>
      </c>
      <c r="T123" s="695">
        <f t="shared" si="47"/>
        <v>3.2442521813266442E-2</v>
      </c>
      <c r="U123" s="696">
        <f t="shared" si="60"/>
        <v>0.99743564940179119</v>
      </c>
      <c r="V123" s="697">
        <f t="shared" si="61"/>
        <v>-8.1047798675609933E-2</v>
      </c>
      <c r="W123" s="698">
        <f t="shared" si="48"/>
        <v>13.319085633651142</v>
      </c>
      <c r="X123" s="699">
        <f t="shared" si="49"/>
        <v>-99.357603092070377</v>
      </c>
      <c r="Y123" s="702">
        <f t="shared" si="50"/>
        <v>80.642396907929623</v>
      </c>
      <c r="AA123" s="174">
        <f t="shared" si="51"/>
        <v>1000000000</v>
      </c>
      <c r="AB123" s="174">
        <f t="shared" si="52"/>
        <v>41686392.25</v>
      </c>
      <c r="AD123" s="701">
        <f t="shared" si="53"/>
        <v>27.779151926594565</v>
      </c>
      <c r="AE123" s="702">
        <f t="shared" si="54"/>
        <v>-13.462107740226545</v>
      </c>
      <c r="AG123" s="701">
        <f t="shared" si="55"/>
        <v>10.97248121085736</v>
      </c>
      <c r="AH123" s="702">
        <f t="shared" si="56"/>
        <v>-76.608101735354566</v>
      </c>
      <c r="AJ123" s="174">
        <f t="shared" si="57"/>
        <v>0</v>
      </c>
      <c r="AK123" s="174">
        <f t="shared" si="68"/>
        <v>0</v>
      </c>
      <c r="AM123" s="174" t="str">
        <f t="shared" si="62"/>
        <v>0.00670967834196201+0.115647468197414i</v>
      </c>
      <c r="AN123" s="174" t="str">
        <f t="shared" si="63"/>
        <v>0.115906816827i</v>
      </c>
      <c r="AO123" s="174" t="str">
        <f t="shared" si="64"/>
        <v>0.997762438511506-0.0578885567358539i</v>
      </c>
      <c r="AP123" s="174" t="str">
        <f t="shared" si="65"/>
        <v>0.165548386943006-0.0192745780329023i</v>
      </c>
      <c r="AQ123" s="174" t="str">
        <f t="shared" si="66"/>
        <v>0.834451613056994+0.0192745780329023i</v>
      </c>
      <c r="AR123" s="174" t="str">
        <f t="shared" si="67"/>
        <v>0.997728070370158-0.0230460187829407i</v>
      </c>
    </row>
    <row r="124" spans="7:44" x14ac:dyDescent="0.2">
      <c r="G124" s="703">
        <v>6531.7</v>
      </c>
      <c r="H124" s="691">
        <f t="shared" si="59"/>
        <v>6.5316999999999998</v>
      </c>
      <c r="I124" s="692">
        <f t="shared" si="36"/>
        <v>6.450565563806073</v>
      </c>
      <c r="J124" s="693">
        <f t="shared" si="37"/>
        <v>1.4151433991145463</v>
      </c>
      <c r="K124" s="693">
        <f t="shared" si="38"/>
        <v>1.0000062284179687</v>
      </c>
      <c r="L124" s="694">
        <f t="shared" si="39"/>
        <v>3.529415147352753E-3</v>
      </c>
      <c r="M124" s="693">
        <f t="shared" si="40"/>
        <v>1.000034745727614</v>
      </c>
      <c r="N124" s="694">
        <f t="shared" si="41"/>
        <v>-8.3360328201251676E-3</v>
      </c>
      <c r="O124" s="692">
        <f t="shared" si="42"/>
        <v>11819.485892417903</v>
      </c>
      <c r="P124" s="695">
        <f t="shared" si="43"/>
        <v>1.5707117207460131</v>
      </c>
      <c r="Q124" s="704">
        <f t="shared" si="44"/>
        <v>5.0252875429246773</v>
      </c>
      <c r="R124" s="705">
        <f t="shared" si="45"/>
        <v>1.3704654632478126</v>
      </c>
      <c r="S124" s="692">
        <f t="shared" si="46"/>
        <v>1.0005388218330511</v>
      </c>
      <c r="T124" s="695">
        <f t="shared" si="47"/>
        <v>3.2820115887532801E-2</v>
      </c>
      <c r="U124" s="696">
        <f t="shared" si="60"/>
        <v>0.99738509810308162</v>
      </c>
      <c r="V124" s="697">
        <f t="shared" si="61"/>
        <v>-8.1989720718411305E-2</v>
      </c>
      <c r="W124" s="698">
        <f t="shared" si="48"/>
        <v>13.216382310565999</v>
      </c>
      <c r="X124" s="699">
        <f t="shared" si="49"/>
        <v>-99.408527697078554</v>
      </c>
      <c r="Y124" s="702">
        <f t="shared" si="50"/>
        <v>80.591472302921446</v>
      </c>
      <c r="AA124" s="174">
        <f t="shared" si="51"/>
        <v>1000000000</v>
      </c>
      <c r="AB124" s="174">
        <f t="shared" si="52"/>
        <v>42663104.890000001</v>
      </c>
      <c r="AD124" s="701">
        <f t="shared" si="53"/>
        <v>27.775017385272896</v>
      </c>
      <c r="AE124" s="702">
        <f t="shared" si="54"/>
        <v>-13.353719556681536</v>
      </c>
      <c r="AG124" s="701">
        <f t="shared" si="55"/>
        <v>10.874792875123527</v>
      </c>
      <c r="AH124" s="702">
        <f t="shared" si="56"/>
        <v>-76.65947820841869</v>
      </c>
      <c r="AJ124" s="174">
        <f t="shared" si="57"/>
        <v>0</v>
      </c>
      <c r="AK124" s="174">
        <f t="shared" si="68"/>
        <v>0</v>
      </c>
      <c r="AM124" s="174" t="str">
        <f t="shared" si="62"/>
        <v>0.00686670601969097+0.11698829166981i</v>
      </c>
      <c r="AN124" s="174" t="str">
        <f t="shared" si="63"/>
        <v>0.1172568040686i</v>
      </c>
      <c r="AO124" s="174" t="str">
        <f t="shared" si="64"/>
        <v>0.997710048462237-0.0585612585490021i</v>
      </c>
      <c r="AP124" s="174" t="str">
        <f t="shared" si="65"/>
        <v>0.165522215663385-0.019498048611635i</v>
      </c>
      <c r="AQ124" s="174" t="str">
        <f t="shared" si="66"/>
        <v>0.834477784336615+0.019498048611635i</v>
      </c>
      <c r="AR124" s="174" t="str">
        <f t="shared" si="67"/>
        <v>0.997684405222133-0.023311464244139i</v>
      </c>
    </row>
    <row r="125" spans="7:44" x14ac:dyDescent="0.2">
      <c r="G125" s="703">
        <v>6606.9</v>
      </c>
      <c r="H125" s="691">
        <f t="shared" si="59"/>
        <v>6.6068999999999996</v>
      </c>
      <c r="I125" s="692">
        <f t="shared" si="36"/>
        <v>6.5230565548784503</v>
      </c>
      <c r="J125" s="693">
        <f t="shared" si="37"/>
        <v>1.4168870450348539</v>
      </c>
      <c r="K125" s="693">
        <f t="shared" si="38"/>
        <v>1.0000063726596706</v>
      </c>
      <c r="L125" s="694">
        <f t="shared" si="39"/>
        <v>3.570049251300984E-3</v>
      </c>
      <c r="M125" s="693">
        <f t="shared" si="40"/>
        <v>1.0000355503797413</v>
      </c>
      <c r="N125" s="694">
        <f t="shared" si="41"/>
        <v>-8.432001729370699E-3</v>
      </c>
      <c r="O125" s="692">
        <f t="shared" si="42"/>
        <v>11955.564605889689</v>
      </c>
      <c r="P125" s="695">
        <f t="shared" si="43"/>
        <v>1.5707126837354402</v>
      </c>
      <c r="Q125" s="704">
        <f t="shared" si="44"/>
        <v>5.0808655903109621</v>
      </c>
      <c r="R125" s="705">
        <f t="shared" si="45"/>
        <v>1.3726861161844792</v>
      </c>
      <c r="S125" s="692">
        <f t="shared" si="46"/>
        <v>1.0005512968169501</v>
      </c>
      <c r="T125" s="695">
        <f t="shared" si="47"/>
        <v>3.3197700599863947E-2</v>
      </c>
      <c r="U125" s="696">
        <f t="shared" si="60"/>
        <v>0.99733396883493153</v>
      </c>
      <c r="V125" s="697">
        <f t="shared" si="61"/>
        <v>-8.2931571593568523E-2</v>
      </c>
      <c r="W125" s="698">
        <f t="shared" si="48"/>
        <v>13.114875681764131</v>
      </c>
      <c r="X125" s="699">
        <f t="shared" si="49"/>
        <v>-99.460020924837934</v>
      </c>
      <c r="Y125" s="702">
        <f t="shared" si="50"/>
        <v>80.539979075162066</v>
      </c>
      <c r="AA125" s="174">
        <f t="shared" si="51"/>
        <v>1000000000</v>
      </c>
      <c r="AB125" s="174">
        <f t="shared" si="52"/>
        <v>43651127.609999992</v>
      </c>
      <c r="AD125" s="701">
        <f t="shared" si="53"/>
        <v>27.771014795507433</v>
      </c>
      <c r="AE125" s="702">
        <f t="shared" si="54"/>
        <v>-13.248174701181737</v>
      </c>
      <c r="AG125" s="701">
        <f t="shared" si="55"/>
        <v>10.778179393936364</v>
      </c>
      <c r="AH125" s="702">
        <f t="shared" si="56"/>
        <v>-76.708588131400134</v>
      </c>
      <c r="AJ125" s="174">
        <f t="shared" si="57"/>
        <v>0</v>
      </c>
      <c r="AK125" s="174">
        <f t="shared" si="68"/>
        <v>0</v>
      </c>
      <c r="AM125" s="174" t="str">
        <f t="shared" si="62"/>
        <v>0.00702554364836205+0.118328901935107i</v>
      </c>
      <c r="AN125" s="174" t="str">
        <f t="shared" si="63"/>
        <v>0.1186067913102i</v>
      </c>
      <c r="AO125" s="174" t="str">
        <f t="shared" si="64"/>
        <v>0.997657053428195-0.0592339070196047i</v>
      </c>
      <c r="AP125" s="174" t="str">
        <f t="shared" si="65"/>
        <v>0.165495742725273-0.0197214836558512i</v>
      </c>
      <c r="AQ125" s="174" t="str">
        <f t="shared" si="66"/>
        <v>0.834504257274727+0.0197214836558512i</v>
      </c>
      <c r="AR125" s="174" t="str">
        <f t="shared" si="67"/>
        <v>0.997640243449835-0.023576806929504i</v>
      </c>
    </row>
    <row r="126" spans="7:44" x14ac:dyDescent="0.2">
      <c r="G126" s="703">
        <v>6683.85</v>
      </c>
      <c r="H126" s="691">
        <f t="shared" si="59"/>
        <v>6.6838500000000005</v>
      </c>
      <c r="I126" s="692">
        <f t="shared" si="36"/>
        <v>6.5972545771071633</v>
      </c>
      <c r="J126" s="693">
        <f t="shared" si="37"/>
        <v>1.4186315958837343</v>
      </c>
      <c r="K126" s="693">
        <f t="shared" si="38"/>
        <v>1.0000065219672847</v>
      </c>
      <c r="L126" s="694">
        <f t="shared" si="39"/>
        <v>3.6116289505163371E-3</v>
      </c>
      <c r="M126" s="693">
        <f t="shared" si="40"/>
        <v>1.0000363832914936</v>
      </c>
      <c r="N126" s="694">
        <f t="shared" si="41"/>
        <v>-8.5302037968484033E-3</v>
      </c>
      <c r="O126" s="692">
        <f t="shared" si="42"/>
        <v>12094.810044752687</v>
      </c>
      <c r="P126" s="695">
        <f t="shared" si="43"/>
        <v>1.5707136467033995</v>
      </c>
      <c r="Q126" s="704">
        <f t="shared" si="44"/>
        <v>5.1377623787192004</v>
      </c>
      <c r="R126" s="705">
        <f t="shared" si="45"/>
        <v>1.3749087011647005</v>
      </c>
      <c r="S126" s="692">
        <f t="shared" si="46"/>
        <v>1.0005642097727814</v>
      </c>
      <c r="T126" s="695">
        <f t="shared" si="47"/>
        <v>3.3584062387258515E-2</v>
      </c>
      <c r="U126" s="696">
        <f t="shared" si="60"/>
        <v>0.997281051687123</v>
      </c>
      <c r="V126" s="697">
        <f t="shared" si="61"/>
        <v>-8.389526603043572E-2</v>
      </c>
      <c r="W126" s="698">
        <f t="shared" si="48"/>
        <v>13.012216193174353</v>
      </c>
      <c r="X126" s="699">
        <f t="shared" si="49"/>
        <v>-99.513283507192639</v>
      </c>
      <c r="Y126" s="702">
        <f t="shared" si="50"/>
        <v>80.486716492807361</v>
      </c>
      <c r="AA126" s="174">
        <f t="shared" si="51"/>
        <v>1000000000</v>
      </c>
      <c r="AB126" s="174">
        <f t="shared" si="52"/>
        <v>44673850.822500005</v>
      </c>
      <c r="AD126" s="701">
        <f t="shared" si="53"/>
        <v>27.767049633874379</v>
      </c>
      <c r="AE126" s="702">
        <f t="shared" si="54"/>
        <v>-13.143022035868446</v>
      </c>
      <c r="AG126" s="701">
        <f t="shared" si="55"/>
        <v>10.680406813785323</v>
      </c>
      <c r="AH126" s="702">
        <f t="shared" si="56"/>
        <v>-76.756572130996517</v>
      </c>
      <c r="AJ126" s="174">
        <f t="shared" si="57"/>
        <v>0</v>
      </c>
      <c r="AK126" s="174">
        <f t="shared" si="68"/>
        <v>0</v>
      </c>
      <c r="AM126" s="174" t="str">
        <f t="shared" si="62"/>
        <v>0.00718995095025698+0.119700486656683i</v>
      </c>
      <c r="AN126" s="174" t="str">
        <f t="shared" si="63"/>
        <v>0.1199881944783i</v>
      </c>
      <c r="AO126" s="174" t="str">
        <f t="shared" si="64"/>
        <v>0.997602198925753-0.0599221530211232i</v>
      </c>
      <c r="AP126" s="174" t="str">
        <f t="shared" si="65"/>
        <v>0.165468341508291-0.0199500811094472i</v>
      </c>
      <c r="AQ126" s="174" t="str">
        <f t="shared" si="66"/>
        <v>0.834531658491709+0.0199500811094472i</v>
      </c>
      <c r="AR126" s="174" t="str">
        <f t="shared" si="67"/>
        <v>0.997594540204066-0.0238482168877606i</v>
      </c>
    </row>
    <row r="127" spans="7:44" x14ac:dyDescent="0.2">
      <c r="G127" s="703">
        <v>6760.8</v>
      </c>
      <c r="H127" s="691">
        <f t="shared" si="59"/>
        <v>6.7608000000000006</v>
      </c>
      <c r="I127" s="692">
        <f t="shared" si="36"/>
        <v>6.6714722311529204</v>
      </c>
      <c r="J127" s="693">
        <f t="shared" si="37"/>
        <v>1.420337336865912</v>
      </c>
      <c r="K127" s="693">
        <f t="shared" si="38"/>
        <v>1.0000066730037809</v>
      </c>
      <c r="L127" s="694">
        <f t="shared" si="39"/>
        <v>3.653208637243555E-3</v>
      </c>
      <c r="M127" s="693">
        <f t="shared" si="40"/>
        <v>1.0000372258472265</v>
      </c>
      <c r="N127" s="694">
        <f t="shared" si="41"/>
        <v>-8.6284056997978607E-3</v>
      </c>
      <c r="O127" s="692">
        <f t="shared" si="42"/>
        <v>12234.055483626642</v>
      </c>
      <c r="P127" s="695">
        <f t="shared" si="43"/>
        <v>1.5707145877507627</v>
      </c>
      <c r="Q127" s="704">
        <f t="shared" si="44"/>
        <v>5.1946839910379223</v>
      </c>
      <c r="R127" s="705">
        <f t="shared" si="45"/>
        <v>1.3770825880005642</v>
      </c>
      <c r="S127" s="692">
        <f t="shared" si="46"/>
        <v>1.000577272084398</v>
      </c>
      <c r="T127" s="695">
        <f t="shared" si="47"/>
        <v>3.3970414144591884E-2</v>
      </c>
      <c r="U127" s="696">
        <f t="shared" si="60"/>
        <v>0.99722752989737784</v>
      </c>
      <c r="V127" s="697">
        <f t="shared" si="61"/>
        <v>-8.4858884244778776E-2</v>
      </c>
      <c r="W127" s="698">
        <f t="shared" si="48"/>
        <v>12.910750975424126</v>
      </c>
      <c r="X127" s="699">
        <f t="shared" si="49"/>
        <v>-99.567106439546308</v>
      </c>
      <c r="Y127" s="702">
        <f t="shared" si="50"/>
        <v>80.432893560453692</v>
      </c>
      <c r="AA127" s="174">
        <f t="shared" si="51"/>
        <v>1000000000</v>
      </c>
      <c r="AB127" s="174">
        <f t="shared" si="52"/>
        <v>45708416.640000001</v>
      </c>
      <c r="AD127" s="701">
        <f t="shared" si="53"/>
        <v>27.763210742116943</v>
      </c>
      <c r="AE127" s="702">
        <f t="shared" si="54"/>
        <v>-13.040657738062333</v>
      </c>
      <c r="AG127" s="701">
        <f t="shared" si="55"/>
        <v>10.583712816413948</v>
      </c>
      <c r="AH127" s="702">
        <f t="shared" si="56"/>
        <v>-76.802336847542506</v>
      </c>
      <c r="AJ127" s="174">
        <f t="shared" si="57"/>
        <v>0</v>
      </c>
      <c r="AK127" s="174">
        <f t="shared" si="68"/>
        <v>0</v>
      </c>
      <c r="AM127" s="174" t="str">
        <f t="shared" si="62"/>
        <v>0.00735625280616203+0.121071842956884i</v>
      </c>
      <c r="AN127" s="174" t="str">
        <f t="shared" si="63"/>
        <v>0.1213695976464i</v>
      </c>
      <c r="AO127" s="174" t="str">
        <f t="shared" si="64"/>
        <v>0.997546711076826-0.0606103418715603i</v>
      </c>
      <c r="AP127" s="174" t="str">
        <f t="shared" si="65"/>
        <v>0.165440624532306-0.020178640492814i</v>
      </c>
      <c r="AQ127" s="174" t="str">
        <f t="shared" si="66"/>
        <v>0.834559375467694+0.020178640492814i</v>
      </c>
      <c r="AR127" s="174" t="str">
        <f t="shared" si="67"/>
        <v>0.997548317607879-0.0241195167976398i</v>
      </c>
    </row>
    <row r="128" spans="7:44" x14ac:dyDescent="0.2">
      <c r="G128" s="703">
        <v>6839.55</v>
      </c>
      <c r="H128" s="691">
        <f t="shared" si="59"/>
        <v>6.83955</v>
      </c>
      <c r="I128" s="692">
        <f t="shared" si="36"/>
        <v>6.7474456207460021</v>
      </c>
      <c r="J128" s="693">
        <f t="shared" si="37"/>
        <v>1.4220441220821554</v>
      </c>
      <c r="K128" s="693">
        <f t="shared" si="38"/>
        <v>1.0000068293633115</v>
      </c>
      <c r="L128" s="694">
        <f t="shared" si="39"/>
        <v>3.6957609351419606E-3</v>
      </c>
      <c r="M128" s="693">
        <f t="shared" si="40"/>
        <v>1.0000380980968446</v>
      </c>
      <c r="N128" s="694">
        <f t="shared" si="41"/>
        <v>-8.7289045509620928E-3</v>
      </c>
      <c r="O128" s="692">
        <f t="shared" si="42"/>
        <v>12376.558125760075</v>
      </c>
      <c r="P128" s="695">
        <f t="shared" si="43"/>
        <v>1.5707155288871968</v>
      </c>
      <c r="Q128" s="704">
        <f t="shared" si="44"/>
        <v>5.2529619627406028</v>
      </c>
      <c r="R128" s="705">
        <f t="shared" si="45"/>
        <v>1.3792585365882888</v>
      </c>
      <c r="S128" s="692">
        <f t="shared" si="46"/>
        <v>1.0005907945782608</v>
      </c>
      <c r="T128" s="695">
        <f t="shared" si="47"/>
        <v>3.4365792865258801E-2</v>
      </c>
      <c r="U128" s="696">
        <f t="shared" si="60"/>
        <v>0.99717213040316532</v>
      </c>
      <c r="V128" s="697">
        <f t="shared" si="61"/>
        <v>-8.5844963419840686E-2</v>
      </c>
      <c r="W128" s="698">
        <f t="shared" si="48"/>
        <v>12.808119424635612</v>
      </c>
      <c r="X128" s="699">
        <f t="shared" si="49"/>
        <v>-99.622751081607262</v>
      </c>
      <c r="Y128" s="702">
        <f t="shared" si="50"/>
        <v>80.377248918392738</v>
      </c>
      <c r="AA128" s="174">
        <f t="shared" si="51"/>
        <v>1000000000</v>
      </c>
      <c r="AB128" s="174">
        <f t="shared" si="52"/>
        <v>46779444.202500001</v>
      </c>
      <c r="AD128" s="701">
        <f t="shared" si="53"/>
        <v>27.759407011779484</v>
      </c>
      <c r="AE128" s="702">
        <f t="shared" si="54"/>
        <v>-12.938692522580867</v>
      </c>
      <c r="AG128" s="701">
        <f t="shared" si="55"/>
        <v>10.485850086165096</v>
      </c>
      <c r="AH128" s="702">
        <f t="shared" si="56"/>
        <v>-76.846950354962246</v>
      </c>
      <c r="AJ128" s="174">
        <f t="shared" si="57"/>
        <v>0</v>
      </c>
      <c r="AK128" s="174">
        <f t="shared" si="68"/>
        <v>0</v>
      </c>
      <c r="AM128" s="174" t="str">
        <f t="shared" si="62"/>
        <v>0.00752840598072202+0.122475038537791i</v>
      </c>
      <c r="AN128" s="174" t="str">
        <f t="shared" si="63"/>
        <v>0.1227833143389i</v>
      </c>
      <c r="AO128" s="174" t="str">
        <f t="shared" si="64"/>
        <v>0.997489269590344-0.0613145688504752i</v>
      </c>
      <c r="AP128" s="174" t="str">
        <f t="shared" si="65"/>
        <v>0.165411932336546-0.0204125064229652i</v>
      </c>
      <c r="AQ128" s="174" t="str">
        <f t="shared" si="66"/>
        <v>0.834588067663454+0.0204125064229652i</v>
      </c>
      <c r="AR128" s="174" t="str">
        <f t="shared" si="67"/>
        <v>0.997500476418493-0.0243970476822274i</v>
      </c>
    </row>
    <row r="129" spans="7:44" x14ac:dyDescent="0.2">
      <c r="G129" s="703">
        <v>6918.3</v>
      </c>
      <c r="H129" s="691">
        <f t="shared" si="59"/>
        <v>6.9183000000000003</v>
      </c>
      <c r="I129" s="692">
        <f t="shared" si="36"/>
        <v>6.8234382286875022</v>
      </c>
      <c r="J129" s="693">
        <f t="shared" si="37"/>
        <v>1.4237128951478111</v>
      </c>
      <c r="K129" s="693">
        <f t="shared" si="38"/>
        <v>1.0000069875335518</v>
      </c>
      <c r="L129" s="694">
        <f t="shared" si="39"/>
        <v>3.7383132196564953E-3</v>
      </c>
      <c r="M129" s="693">
        <f t="shared" si="40"/>
        <v>1.000038980446849</v>
      </c>
      <c r="N129" s="694">
        <f t="shared" si="41"/>
        <v>-8.8294032257979528E-3</v>
      </c>
      <c r="O129" s="692">
        <f t="shared" si="42"/>
        <v>12519.060767904219</v>
      </c>
      <c r="P129" s="695">
        <f t="shared" si="43"/>
        <v>1.5707164485979932</v>
      </c>
      <c r="Q129" s="704">
        <f t="shared" si="44"/>
        <v>5.3112642600433322</v>
      </c>
      <c r="R129" s="705">
        <f t="shared" si="45"/>
        <v>1.3813867238433903</v>
      </c>
      <c r="S129" s="692">
        <f t="shared" si="46"/>
        <v>1.0006044734845703</v>
      </c>
      <c r="T129" s="695">
        <f t="shared" si="47"/>
        <v>3.4761160837567452E-2</v>
      </c>
      <c r="U129" s="696">
        <f t="shared" si="60"/>
        <v>0.99711609824129221</v>
      </c>
      <c r="V129" s="697">
        <f t="shared" si="61"/>
        <v>-8.6830960940749963E-2</v>
      </c>
      <c r="W129" s="698">
        <f t="shared" si="48"/>
        <v>12.706680061057776</v>
      </c>
      <c r="X129" s="699">
        <f t="shared" si="49"/>
        <v>-99.678947779444641</v>
      </c>
      <c r="Y129" s="702">
        <f t="shared" si="50"/>
        <v>80.321052220555359</v>
      </c>
      <c r="AA129" s="174">
        <f t="shared" si="51"/>
        <v>1000000000</v>
      </c>
      <c r="AB129" s="174">
        <f t="shared" si="52"/>
        <v>47862874.890000001</v>
      </c>
      <c r="AD129" s="701">
        <f t="shared" si="53"/>
        <v>27.755724116855411</v>
      </c>
      <c r="AE129" s="702">
        <f t="shared" si="54"/>
        <v>-12.839461986451575</v>
      </c>
      <c r="AG129" s="701">
        <f t="shared" si="55"/>
        <v>10.389069783678995</v>
      </c>
      <c r="AH129" s="702">
        <f t="shared" si="56"/>
        <v>-76.889390595682869</v>
      </c>
      <c r="AJ129" s="174">
        <f t="shared" si="57"/>
        <v>0</v>
      </c>
      <c r="AK129" s="174">
        <f t="shared" si="68"/>
        <v>0</v>
      </c>
      <c r="AM129" s="174" t="str">
        <f t="shared" si="62"/>
        <v>0.00770254270360404+0.123877989340753i</v>
      </c>
      <c r="AN129" s="174" t="str">
        <f t="shared" si="63"/>
        <v>0.1241970310314i</v>
      </c>
      <c r="AO129" s="174" t="str">
        <f t="shared" si="64"/>
        <v>0.997431164915961-0.0620187345835719i</v>
      </c>
      <c r="AP129" s="174" t="str">
        <f t="shared" si="65"/>
        <v>0.165382909549399-0.0206463315567922i</v>
      </c>
      <c r="AQ129" s="174" t="str">
        <f t="shared" si="66"/>
        <v>0.834617090450601+0.0206463315567922i</v>
      </c>
      <c r="AR129" s="174" t="str">
        <f t="shared" si="67"/>
        <v>0.997452092017195-0.0246744607071066i</v>
      </c>
    </row>
    <row r="130" spans="7:44" x14ac:dyDescent="0.2">
      <c r="G130" s="703">
        <v>6998.9</v>
      </c>
      <c r="H130" s="691">
        <f t="shared" si="59"/>
        <v>6.9988999999999999</v>
      </c>
      <c r="I130" s="692">
        <f t="shared" si="36"/>
        <v>6.9012352981079461</v>
      </c>
      <c r="J130" s="693">
        <f t="shared" si="37"/>
        <v>1.4253828099693227</v>
      </c>
      <c r="K130" s="693">
        <f t="shared" si="38"/>
        <v>1.0000071512945523</v>
      </c>
      <c r="L130" s="694">
        <f t="shared" si="39"/>
        <v>3.7818651311205772E-3</v>
      </c>
      <c r="M130" s="693">
        <f t="shared" si="40"/>
        <v>1.0000398939841395</v>
      </c>
      <c r="N130" s="694">
        <f t="shared" si="41"/>
        <v>-8.9322626371752811E-3</v>
      </c>
      <c r="O130" s="692">
        <f t="shared" si="42"/>
        <v>12664.911091176114</v>
      </c>
      <c r="P130" s="695">
        <f t="shared" si="43"/>
        <v>1.5707173684829243</v>
      </c>
      <c r="Q130" s="704">
        <f t="shared" si="44"/>
        <v>5.3709605613873617</v>
      </c>
      <c r="R130" s="705">
        <f t="shared" si="45"/>
        <v>1.3835170525062468</v>
      </c>
      <c r="S130" s="692">
        <f t="shared" si="46"/>
        <v>1.0006186356972033</v>
      </c>
      <c r="T130" s="695">
        <f t="shared" si="47"/>
        <v>3.5165805560774782E-2</v>
      </c>
      <c r="U130" s="696">
        <f t="shared" si="60"/>
        <v>0.99705809495002462</v>
      </c>
      <c r="V130" s="697">
        <f t="shared" si="61"/>
        <v>-8.7840036062216076E-2</v>
      </c>
      <c r="W130" s="698">
        <f t="shared" si="48"/>
        <v>12.60406289557406</v>
      </c>
      <c r="X130" s="699">
        <f t="shared" si="49"/>
        <v>-99.737018965048875</v>
      </c>
      <c r="Y130" s="702">
        <f t="shared" si="50"/>
        <v>80.262981034951125</v>
      </c>
      <c r="AA130" s="174">
        <f t="shared" si="51"/>
        <v>1000000000</v>
      </c>
      <c r="AB130" s="174">
        <f t="shared" si="52"/>
        <v>48984601.209999993</v>
      </c>
      <c r="AD130" s="701">
        <f t="shared" si="53"/>
        <v>27.752074289286995</v>
      </c>
      <c r="AE130" s="702">
        <f t="shared" si="54"/>
        <v>-12.740640285347441</v>
      </c>
      <c r="AG130" s="701">
        <f t="shared" si="55"/>
        <v>10.291113009812623</v>
      </c>
      <c r="AH130" s="702">
        <f t="shared" si="56"/>
        <v>-76.93065199091582</v>
      </c>
      <c r="AJ130" s="174">
        <f t="shared" si="57"/>
        <v>0</v>
      </c>
      <c r="AK130" s="174">
        <f t="shared" si="68"/>
        <v>0</v>
      </c>
      <c r="AM130" s="174" t="str">
        <f t="shared" si="62"/>
        <v>0.007882823886326+0.125313641955815i</v>
      </c>
      <c r="AN130" s="174" t="str">
        <f t="shared" si="63"/>
        <v>0.1256439588462i</v>
      </c>
      <c r="AO130" s="174" t="str">
        <f t="shared" si="64"/>
        <v>0.997371008575197-0.0627393784684492i</v>
      </c>
      <c r="AP130" s="174" t="str">
        <f t="shared" si="65"/>
        <v>0.165352862685612-0.0208856069926358i</v>
      </c>
      <c r="AQ130" s="174" t="str">
        <f t="shared" si="66"/>
        <v>0.834647137314388+0.0208856069926358i</v>
      </c>
      <c r="AR130" s="174" t="str">
        <f t="shared" si="67"/>
        <v>0.997402008849134-0.0249582673194288i</v>
      </c>
    </row>
    <row r="131" spans="7:44" x14ac:dyDescent="0.2">
      <c r="G131" s="703">
        <v>7079.5</v>
      </c>
      <c r="H131" s="691">
        <f t="shared" si="59"/>
        <v>7.0795000000000003</v>
      </c>
      <c r="I131" s="692">
        <f t="shared" si="36"/>
        <v>6.9790511833349331</v>
      </c>
      <c r="J131" s="693">
        <f t="shared" si="37"/>
        <v>1.4270154904152594</v>
      </c>
      <c r="K131" s="693">
        <f t="shared" si="38"/>
        <v>1.0000073169523345</v>
      </c>
      <c r="L131" s="694">
        <f t="shared" si="39"/>
        <v>3.8254170282379465E-3</v>
      </c>
      <c r="M131" s="693">
        <f t="shared" si="40"/>
        <v>1.0000408181018912</v>
      </c>
      <c r="N131" s="694">
        <f t="shared" si="41"/>
        <v>-9.0351218595402082E-3</v>
      </c>
      <c r="O131" s="692">
        <f t="shared" si="42"/>
        <v>12810.761414458488</v>
      </c>
      <c r="P131" s="695">
        <f t="shared" si="43"/>
        <v>1.5707182674221034</v>
      </c>
      <c r="Q131" s="704">
        <f t="shared" si="44"/>
        <v>5.430680701818182</v>
      </c>
      <c r="R131" s="705">
        <f t="shared" si="45"/>
        <v>1.3856005368313602</v>
      </c>
      <c r="S131" s="692">
        <f t="shared" si="46"/>
        <v>1.0006329617438288</v>
      </c>
      <c r="T131" s="695">
        <f t="shared" si="47"/>
        <v>3.5570438763649646E-2</v>
      </c>
      <c r="U131" s="696">
        <f t="shared" si="60"/>
        <v>0.99699942956599363</v>
      </c>
      <c r="V131" s="697">
        <f t="shared" si="61"/>
        <v>-8.8849023695236992E-2</v>
      </c>
      <c r="W131" s="698">
        <f t="shared" si="48"/>
        <v>12.502636116429592</v>
      </c>
      <c r="X131" s="699">
        <f t="shared" si="49"/>
        <v>-99.79563387803141</v>
      </c>
      <c r="Y131" s="702">
        <f t="shared" si="50"/>
        <v>80.20436612196859</v>
      </c>
      <c r="AA131" s="174">
        <f t="shared" si="51"/>
        <v>1000000000</v>
      </c>
      <c r="AB131" s="174">
        <f t="shared" si="52"/>
        <v>50119320.25</v>
      </c>
      <c r="AD131" s="701">
        <f t="shared" si="53"/>
        <v>27.748540092993039</v>
      </c>
      <c r="AE131" s="702">
        <f t="shared" si="54"/>
        <v>-12.644500706923518</v>
      </c>
      <c r="AG131" s="701">
        <f t="shared" si="55"/>
        <v>10.194242586142879</v>
      </c>
      <c r="AH131" s="702">
        <f t="shared" si="56"/>
        <v>-76.969785016284149</v>
      </c>
      <c r="AJ131" s="174">
        <f t="shared" si="57"/>
        <v>0</v>
      </c>
      <c r="AK131" s="174">
        <f t="shared" si="68"/>
        <v>0</v>
      </c>
      <c r="AM131" s="174" t="str">
        <f t="shared" si="62"/>
        <v>0.00806518216530705+0.126749032214269i</v>
      </c>
      <c r="AN131" s="174" t="str">
        <f t="shared" si="63"/>
        <v>0.127090886661i</v>
      </c>
      <c r="AO131" s="174" t="str">
        <f t="shared" si="64"/>
        <v>0.99731015766974-0.0634599567065731i</v>
      </c>
      <c r="AP131" s="174" t="str">
        <f t="shared" si="65"/>
        <v>0.165322469639115-0.0211248387023782i</v>
      </c>
      <c r="AQ131" s="174" t="str">
        <f t="shared" si="66"/>
        <v>0.834677530360885+0.0211248387023782i</v>
      </c>
      <c r="AR131" s="174" t="str">
        <f t="shared" si="67"/>
        <v>0.99735135743583-0.0252419476852581i</v>
      </c>
    </row>
    <row r="132" spans="7:44" x14ac:dyDescent="0.2">
      <c r="G132" s="703">
        <v>7161.95</v>
      </c>
      <c r="H132" s="691">
        <f t="shared" si="59"/>
        <v>7.16195</v>
      </c>
      <c r="I132" s="692">
        <f t="shared" si="36"/>
        <v>7.0586719849598554</v>
      </c>
      <c r="J132" s="693">
        <f t="shared" si="37"/>
        <v>1.4286483943809907</v>
      </c>
      <c r="K132" s="693">
        <f t="shared" si="38"/>
        <v>1.000007488375021</v>
      </c>
      <c r="L132" s="694">
        <f t="shared" si="39"/>
        <v>3.8699685506570799E-3</v>
      </c>
      <c r="M132" s="693">
        <f t="shared" si="40"/>
        <v>1.0000417743782777</v>
      </c>
      <c r="N132" s="694">
        <f t="shared" si="41"/>
        <v>-9.1403417967388378E-3</v>
      </c>
      <c r="O132" s="692">
        <f t="shared" si="42"/>
        <v>12959.959418868846</v>
      </c>
      <c r="P132" s="695">
        <f t="shared" si="43"/>
        <v>1.5707191660593827</v>
      </c>
      <c r="Q132" s="704">
        <f t="shared" si="44"/>
        <v>5.4917954451695135</v>
      </c>
      <c r="R132" s="705">
        <f t="shared" si="45"/>
        <v>1.3876849483609572</v>
      </c>
      <c r="S132" s="692">
        <f t="shared" si="46"/>
        <v>1.0006477861246037</v>
      </c>
      <c r="T132" s="695">
        <f t="shared" si="47"/>
        <v>3.5984347395560827E-2</v>
      </c>
      <c r="U132" s="696">
        <f t="shared" si="60"/>
        <v>0.99693873292962931</v>
      </c>
      <c r="V132" s="697">
        <f t="shared" si="61"/>
        <v>-8.9881078921269897E-2</v>
      </c>
      <c r="W132" s="698">
        <f t="shared" si="48"/>
        <v>12.40008377248423</v>
      </c>
      <c r="X132" s="699">
        <f t="shared" si="49"/>
        <v>-99.856139558901475</v>
      </c>
      <c r="Y132" s="702">
        <f t="shared" si="50"/>
        <v>80.143860441098525</v>
      </c>
      <c r="AA132" s="174">
        <f t="shared" si="51"/>
        <v>1000000000</v>
      </c>
      <c r="AB132" s="174">
        <f t="shared" si="52"/>
        <v>51293527.802499995</v>
      </c>
      <c r="AD132" s="701">
        <f t="shared" si="53"/>
        <v>27.745039109380095</v>
      </c>
      <c r="AE132" s="702">
        <f t="shared" si="54"/>
        <v>-12.548839429235841</v>
      </c>
      <c r="AG132" s="701">
        <f t="shared" si="55"/>
        <v>10.096248839922957</v>
      </c>
      <c r="AH132" s="702">
        <f t="shared" si="56"/>
        <v>-77.007687157354539</v>
      </c>
      <c r="AJ132" s="174">
        <f t="shared" si="57"/>
        <v>0</v>
      </c>
      <c r="AK132" s="174">
        <f t="shared" si="68"/>
        <v>0</v>
      </c>
      <c r="AM132" s="174" t="str">
        <f t="shared" si="62"/>
        <v>0.00825387484541695+0.128217094183541i</v>
      </c>
      <c r="AN132" s="174" t="str">
        <f t="shared" si="63"/>
        <v>0.1285710255981i</v>
      </c>
      <c r="AO132" s="174" t="str">
        <f t="shared" si="64"/>
        <v>0.997247191481031-0.0641970055618731i</v>
      </c>
      <c r="AP132" s="174" t="str">
        <f t="shared" si="65"/>
        <v>0.165291020859097-0.0213695156972568i</v>
      </c>
      <c r="AQ132" s="174" t="str">
        <f t="shared" si="66"/>
        <v>0.834708979140903+0.0213695156972568i</v>
      </c>
      <c r="AR132" s="174" t="str">
        <f t="shared" si="67"/>
        <v>0.997298955891706-0.0255320072328922i</v>
      </c>
    </row>
    <row r="133" spans="7:44" x14ac:dyDescent="0.2">
      <c r="G133" s="703">
        <v>7244.4</v>
      </c>
      <c r="H133" s="691">
        <f t="shared" si="59"/>
        <v>7.2443999999999997</v>
      </c>
      <c r="I133" s="692">
        <f t="shared" si="36"/>
        <v>7.1383111877641303</v>
      </c>
      <c r="J133" s="693">
        <f t="shared" si="37"/>
        <v>1.4302448672484647</v>
      </c>
      <c r="K133" s="693">
        <f t="shared" si="38"/>
        <v>1.00000766178256</v>
      </c>
      <c r="L133" s="694">
        <f t="shared" si="39"/>
        <v>3.9145200577136198E-3</v>
      </c>
      <c r="M133" s="693">
        <f t="shared" si="40"/>
        <v>1.0000427417263404</v>
      </c>
      <c r="N133" s="694">
        <f t="shared" si="41"/>
        <v>-9.2455615315424726E-3</v>
      </c>
      <c r="O133" s="692">
        <f t="shared" si="42"/>
        <v>13109.157423289435</v>
      </c>
      <c r="P133" s="695">
        <f t="shared" si="43"/>
        <v>1.5707200442415119</v>
      </c>
      <c r="Q133" s="704">
        <f t="shared" si="44"/>
        <v>5.5529335238448851</v>
      </c>
      <c r="R133" s="705">
        <f t="shared" si="45"/>
        <v>1.3897234696331584</v>
      </c>
      <c r="S133" s="692">
        <f t="shared" si="46"/>
        <v>1.0006627819316165</v>
      </c>
      <c r="T133" s="695">
        <f t="shared" si="47"/>
        <v>3.6398243692813366E-2</v>
      </c>
      <c r="U133" s="696">
        <f t="shared" si="60"/>
        <v>0.99687734416870322</v>
      </c>
      <c r="V133" s="697">
        <f t="shared" si="61"/>
        <v>-9.0913040508594695E-2</v>
      </c>
      <c r="W133" s="698">
        <f t="shared" si="48"/>
        <v>12.298718820743426</v>
      </c>
      <c r="X133" s="699">
        <f t="shared" si="49"/>
        <v>-99.917179955131957</v>
      </c>
      <c r="Y133" s="702">
        <f t="shared" si="50"/>
        <v>80.082820044868043</v>
      </c>
      <c r="AA133" s="174">
        <f t="shared" si="51"/>
        <v>1000000000</v>
      </c>
      <c r="AB133" s="174">
        <f t="shared" si="52"/>
        <v>52481331.359999992</v>
      </c>
      <c r="AD133" s="701">
        <f t="shared" si="53"/>
        <v>27.741648637141783</v>
      </c>
      <c r="AE133" s="702">
        <f t="shared" si="54"/>
        <v>-12.455805590903084</v>
      </c>
      <c r="AG133" s="701">
        <f t="shared" si="55"/>
        <v>9.9993441000192469</v>
      </c>
      <c r="AH133" s="702">
        <f t="shared" si="56"/>
        <v>-77.043507304635995</v>
      </c>
      <c r="AJ133" s="174">
        <f t="shared" si="57"/>
        <v>0</v>
      </c>
      <c r="AK133" s="174">
        <f t="shared" si="68"/>
        <v>0</v>
      </c>
      <c r="AM133" s="174" t="str">
        <f t="shared" si="62"/>
        <v>0.00844474025372199+0.129684875253408i</v>
      </c>
      <c r="AN133" s="174" t="str">
        <f t="shared" si="63"/>
        <v>0.1300511645352i</v>
      </c>
      <c r="AO133" s="174" t="str">
        <f t="shared" si="64"/>
        <v>0.997183498639931-0.0649339841277339i</v>
      </c>
      <c r="AP133" s="174" t="str">
        <f t="shared" si="65"/>
        <v>0.165259209957713-0.021614145875568i</v>
      </c>
      <c r="AQ133" s="174" t="str">
        <f t="shared" si="66"/>
        <v>0.834740790042287+0.021614145875568i</v>
      </c>
      <c r="AR133" s="174" t="str">
        <f t="shared" si="67"/>
        <v>0.997245960580559-0.0258219316977636i</v>
      </c>
    </row>
    <row r="134" spans="7:44" x14ac:dyDescent="0.2">
      <c r="G134" s="703">
        <v>7328.75</v>
      </c>
      <c r="H134" s="691">
        <f t="shared" si="59"/>
        <v>7.3287500000000003</v>
      </c>
      <c r="I134" s="692">
        <f t="shared" si="36"/>
        <v>7.2198040249459146</v>
      </c>
      <c r="J134" s="693">
        <f t="shared" si="37"/>
        <v>1.4318416784135453</v>
      </c>
      <c r="K134" s="693">
        <f t="shared" si="38"/>
        <v>1.0000078412401361</v>
      </c>
      <c r="L134" s="694">
        <f t="shared" si="39"/>
        <v>3.9600982056123314E-3</v>
      </c>
      <c r="M134" s="693">
        <f t="shared" si="40"/>
        <v>1.0000437428235234</v>
      </c>
      <c r="N134" s="694">
        <f t="shared" si="41"/>
        <v>-9.3532057663720958E-3</v>
      </c>
      <c r="O134" s="692">
        <f t="shared" si="42"/>
        <v>13261.79358670629</v>
      </c>
      <c r="P134" s="695">
        <f t="shared" si="43"/>
        <v>1.5707209222129741</v>
      </c>
      <c r="Q134" s="704">
        <f t="shared" si="44"/>
        <v>5.6155038382156421</v>
      </c>
      <c r="R134" s="705">
        <f t="shared" si="45"/>
        <v>1.3917630240593342</v>
      </c>
      <c r="S134" s="692">
        <f t="shared" si="46"/>
        <v>1.0006783006953504</v>
      </c>
      <c r="T134" s="695">
        <f t="shared" si="47"/>
        <v>3.6821665016190303E-2</v>
      </c>
      <c r="U134" s="696">
        <f t="shared" si="60"/>
        <v>0.99681382489713255</v>
      </c>
      <c r="V134" s="697">
        <f t="shared" si="61"/>
        <v>-9.1968684896498412E-2</v>
      </c>
      <c r="W134" s="698">
        <f t="shared" si="48"/>
        <v>12.196217627979042</v>
      </c>
      <c r="X134" s="699">
        <f t="shared" si="49"/>
        <v>-99.980163286705562</v>
      </c>
      <c r="Y134" s="702">
        <f t="shared" si="50"/>
        <v>80.019836713294438</v>
      </c>
      <c r="AA134" s="174">
        <f t="shared" si="51"/>
        <v>1000000000</v>
      </c>
      <c r="AB134" s="174">
        <f t="shared" si="52"/>
        <v>53710576.5625</v>
      </c>
      <c r="AD134" s="701">
        <f t="shared" si="53"/>
        <v>27.7382893082208</v>
      </c>
      <c r="AE134" s="702">
        <f t="shared" si="54"/>
        <v>-12.363258288934896</v>
      </c>
      <c r="AG134" s="701">
        <f t="shared" si="55"/>
        <v>9.9013091706730272</v>
      </c>
      <c r="AH134" s="702">
        <f t="shared" si="56"/>
        <v>-77.078070001852453</v>
      </c>
      <c r="AJ134" s="174">
        <f t="shared" si="57"/>
        <v>0</v>
      </c>
      <c r="AK134" s="174">
        <f t="shared" si="68"/>
        <v>0</v>
      </c>
      <c r="AM134" s="174" t="str">
        <f t="shared" si="62"/>
        <v>0.00864225198831603+0.13118618622859i</v>
      </c>
      <c r="AN134" s="174" t="str">
        <f t="shared" si="63"/>
        <v>0.1315654121925i</v>
      </c>
      <c r="AO134" s="174" t="str">
        <f t="shared" si="64"/>
        <v>0.997117586168049-0.0656878722476931i</v>
      </c>
      <c r="AP134" s="174" t="str">
        <f t="shared" si="65"/>
        <v>0.165226291335281-0.0218643643714317i</v>
      </c>
      <c r="AQ134" s="174" t="str">
        <f t="shared" si="66"/>
        <v>0.834773708664719+0.0218643643714317i</v>
      </c>
      <c r="AR134" s="174" t="str">
        <f t="shared" si="67"/>
        <v>0.997191130044851-0.0261183959065215i</v>
      </c>
    </row>
    <row r="135" spans="7:44" x14ac:dyDescent="0.2">
      <c r="G135" s="703">
        <v>7413.1</v>
      </c>
      <c r="H135" s="691">
        <f t="shared" si="59"/>
        <v>7.4131</v>
      </c>
      <c r="I135" s="692">
        <f t="shared" si="36"/>
        <v>7.301314860257218</v>
      </c>
      <c r="J135" s="693">
        <f t="shared" si="37"/>
        <v>1.4334028403424208</v>
      </c>
      <c r="K135" s="693">
        <f t="shared" si="38"/>
        <v>1.0000080227750958</v>
      </c>
      <c r="L135" s="694">
        <f t="shared" si="39"/>
        <v>4.0056763370578032E-3</v>
      </c>
      <c r="M135" s="693">
        <f t="shared" si="40"/>
        <v>1.0000447555084711</v>
      </c>
      <c r="N135" s="694">
        <f t="shared" si="41"/>
        <v>-9.4608497844393836E-3</v>
      </c>
      <c r="O135" s="692">
        <f t="shared" si="42"/>
        <v>13414.429750133137</v>
      </c>
      <c r="P135" s="695">
        <f t="shared" si="43"/>
        <v>1.57072178020443</v>
      </c>
      <c r="Q135" s="704">
        <f t="shared" si="44"/>
        <v>5.6780969969843476</v>
      </c>
      <c r="R135" s="705">
        <f t="shared" si="45"/>
        <v>1.3937576201027768</v>
      </c>
      <c r="S135" s="692">
        <f t="shared" si="46"/>
        <v>1.0006939988607275</v>
      </c>
      <c r="T135" s="695">
        <f t="shared" si="47"/>
        <v>3.7245073130819865E-2</v>
      </c>
      <c r="U135" s="696">
        <f t="shared" si="60"/>
        <v>0.99674958201252262</v>
      </c>
      <c r="V135" s="697">
        <f t="shared" si="61"/>
        <v>-9.3024229048060167E-2</v>
      </c>
      <c r="W135" s="698">
        <f t="shared" si="48"/>
        <v>12.094901118300891</v>
      </c>
      <c r="X135" s="699">
        <f t="shared" si="49"/>
        <v>-100.04367233691497</v>
      </c>
      <c r="Y135" s="702">
        <f t="shared" si="50"/>
        <v>79.956327663085034</v>
      </c>
      <c r="AA135" s="174">
        <f t="shared" si="51"/>
        <v>1000000000</v>
      </c>
      <c r="AB135" s="174">
        <f t="shared" si="52"/>
        <v>54954051.610000007</v>
      </c>
      <c r="AD135" s="701">
        <f t="shared" si="53"/>
        <v>27.735035595587508</v>
      </c>
      <c r="AE135" s="702">
        <f t="shared" si="54"/>
        <v>-12.273285010978471</v>
      </c>
      <c r="AG135" s="701">
        <f t="shared" si="55"/>
        <v>9.8043659900978746</v>
      </c>
      <c r="AH135" s="702">
        <f t="shared" si="56"/>
        <v>-77.110595879931665</v>
      </c>
      <c r="AJ135" s="174">
        <f t="shared" si="57"/>
        <v>0</v>
      </c>
      <c r="AK135" s="174">
        <f t="shared" si="68"/>
        <v>0</v>
      </c>
      <c r="AM135" s="174" t="str">
        <f t="shared" si="62"/>
        <v>0.00884203685222595+0.132687196400993i</v>
      </c>
      <c r="AN135" s="174" t="str">
        <f t="shared" si="63"/>
        <v>0.1330796598498i</v>
      </c>
      <c r="AO135" s="174" t="str">
        <f t="shared" si="64"/>
        <v>0.997050913345811-0.0664416850945178i</v>
      </c>
      <c r="AP135" s="174" t="str">
        <f t="shared" si="65"/>
        <v>0.165192993857962-0.0221145327334988i</v>
      </c>
      <c r="AQ135" s="174" t="str">
        <f t="shared" si="66"/>
        <v>0.834807006142038+0.0221145327334988i</v>
      </c>
      <c r="AR135" s="174" t="str">
        <f t="shared" si="67"/>
        <v>0.997135679005687-0.0264147155580519i</v>
      </c>
    </row>
    <row r="136" spans="7:44" x14ac:dyDescent="0.2">
      <c r="G136" s="703">
        <v>7499.45</v>
      </c>
      <c r="H136" s="691">
        <f t="shared" si="59"/>
        <v>7.4994499999999995</v>
      </c>
      <c r="I136" s="692">
        <f t="shared" si="36"/>
        <v>7.3847763979986754</v>
      </c>
      <c r="J136" s="693">
        <f t="shared" si="37"/>
        <v>1.434965316022903</v>
      </c>
      <c r="K136" s="693">
        <f t="shared" si="38"/>
        <v>1.0000082107662318</v>
      </c>
      <c r="L136" s="694">
        <f t="shared" si="39"/>
        <v>4.0523351419903507E-3</v>
      </c>
      <c r="M136" s="693">
        <f t="shared" si="40"/>
        <v>1.0000458042080342</v>
      </c>
      <c r="N136" s="694">
        <f t="shared" si="41"/>
        <v>-9.571045893522423E-3</v>
      </c>
      <c r="O136" s="692">
        <f t="shared" si="42"/>
        <v>13570.685028292604</v>
      </c>
      <c r="P136" s="695">
        <f t="shared" si="43"/>
        <v>1.5707226385471169</v>
      </c>
      <c r="Q136" s="704">
        <f t="shared" si="44"/>
        <v>5.7421971685425035</v>
      </c>
      <c r="R136" s="705">
        <f t="shared" si="45"/>
        <v>1.3957544581204289</v>
      </c>
      <c r="S136" s="692">
        <f t="shared" si="46"/>
        <v>1.0007102550649252</v>
      </c>
      <c r="T136" s="695">
        <f t="shared" si="47"/>
        <v>3.7678506720467866E-2</v>
      </c>
      <c r="U136" s="696">
        <f t="shared" si="60"/>
        <v>0.99668306674736307</v>
      </c>
      <c r="V136" s="697">
        <f t="shared" si="61"/>
        <v>-9.4104695914357495E-2</v>
      </c>
      <c r="W136" s="698">
        <f t="shared" si="48"/>
        <v>11.992380422551506</v>
      </c>
      <c r="X136" s="699">
        <f t="shared" si="49"/>
        <v>-100.10921491380199</v>
      </c>
      <c r="Y136" s="702">
        <f t="shared" si="50"/>
        <v>79.890785086198008</v>
      </c>
      <c r="AA136" s="174">
        <f t="shared" si="51"/>
        <v>1000000000</v>
      </c>
      <c r="AB136" s="174">
        <f t="shared" si="52"/>
        <v>56241750.302499995</v>
      </c>
      <c r="AD136" s="701">
        <f t="shared" si="53"/>
        <v>27.731809259713202</v>
      </c>
      <c r="AE136" s="702">
        <f t="shared" si="54"/>
        <v>-12.183757714892817</v>
      </c>
      <c r="AG136" s="701">
        <f t="shared" si="55"/>
        <v>9.7062309254776356</v>
      </c>
      <c r="AH136" s="702">
        <f t="shared" si="56"/>
        <v>-77.141853370077726</v>
      </c>
      <c r="AJ136" s="174">
        <f t="shared" si="57"/>
        <v>0</v>
      </c>
      <c r="AK136" s="174">
        <f t="shared" si="68"/>
        <v>0</v>
      </c>
      <c r="AM136" s="174" t="str">
        <f t="shared" si="62"/>
        <v>0.00904891289724497+0.13422348143998i</v>
      </c>
      <c r="AN136" s="174" t="str">
        <f t="shared" si="63"/>
        <v>0.1346298114231i</v>
      </c>
      <c r="AO136" s="174" t="str">
        <f t="shared" si="64"/>
        <v>0.99698187215131-0.0672132925211269i</v>
      </c>
      <c r="AP136" s="174" t="str">
        <f t="shared" si="65"/>
        <v>0.165158514517126-0.0223705802399967i</v>
      </c>
      <c r="AQ136" s="174" t="str">
        <f t="shared" si="66"/>
        <v>0.834841485482874+0.0223705802399967i</v>
      </c>
      <c r="AR136" s="174" t="str">
        <f t="shared" si="67"/>
        <v>0.997078270942182-0.0267179097511761i</v>
      </c>
    </row>
    <row r="137" spans="7:44" x14ac:dyDescent="0.2">
      <c r="G137" s="703">
        <v>7585.8</v>
      </c>
      <c r="H137" s="691">
        <f t="shared" si="59"/>
        <v>7.5857999999999999</v>
      </c>
      <c r="I137" s="692">
        <f t="shared" si="36"/>
        <v>7.4682555614336099</v>
      </c>
      <c r="J137" s="693">
        <f t="shared" si="37"/>
        <v>1.4364928650744386</v>
      </c>
      <c r="K137" s="693">
        <f t="shared" si="38"/>
        <v>1.0000084009344288</v>
      </c>
      <c r="L137" s="694">
        <f t="shared" si="39"/>
        <v>4.0989939292785851E-3</v>
      </c>
      <c r="M137" s="693">
        <f t="shared" si="40"/>
        <v>1.0000468650513104</v>
      </c>
      <c r="N137" s="694">
        <f t="shared" si="41"/>
        <v>-9.6812417701529416E-3</v>
      </c>
      <c r="O137" s="692">
        <f t="shared" si="42"/>
        <v>13726.940306461844</v>
      </c>
      <c r="P137" s="695">
        <f t="shared" si="43"/>
        <v>1.5707234773485845</v>
      </c>
      <c r="Q137" s="704">
        <f t="shared" si="44"/>
        <v>5.8063197307313654</v>
      </c>
      <c r="R137" s="705">
        <f t="shared" si="45"/>
        <v>1.3977071992969725</v>
      </c>
      <c r="S137" s="692">
        <f t="shared" si="46"/>
        <v>1.0007266992611026</v>
      </c>
      <c r="T137" s="695">
        <f t="shared" si="47"/>
        <v>3.811192614695541E-2</v>
      </c>
      <c r="U137" s="696">
        <f t="shared" si="60"/>
        <v>0.99661579400057831</v>
      </c>
      <c r="V137" s="697">
        <f t="shared" si="61"/>
        <v>-9.5185055344311986E-2</v>
      </c>
      <c r="W137" s="698">
        <f t="shared" si="48"/>
        <v>11.891043289700566</v>
      </c>
      <c r="X137" s="699">
        <f t="shared" si="49"/>
        <v>-100.17527480606836</v>
      </c>
      <c r="Y137" s="702">
        <f t="shared" si="50"/>
        <v>79.824725193931641</v>
      </c>
      <c r="AA137" s="174">
        <f t="shared" si="51"/>
        <v>1000000000</v>
      </c>
      <c r="AB137" s="174">
        <f t="shared" si="52"/>
        <v>57544361.640000001</v>
      </c>
      <c r="AD137" s="701">
        <f t="shared" si="53"/>
        <v>27.728683969515181</v>
      </c>
      <c r="AE137" s="702">
        <f t="shared" si="54"/>
        <v>-12.096755050576695</v>
      </c>
      <c r="AG137" s="701">
        <f t="shared" si="55"/>
        <v>9.6091916589314899</v>
      </c>
      <c r="AH137" s="702">
        <f t="shared" si="56"/>
        <v>-77.171115855131674</v>
      </c>
      <c r="AJ137" s="174">
        <f t="shared" si="57"/>
        <v>0</v>
      </c>
      <c r="AK137" s="174">
        <f t="shared" si="68"/>
        <v>0</v>
      </c>
      <c r="AM137" s="174" t="str">
        <f t="shared" si="62"/>
        <v>0.00925817016742303+0.135759443944045i</v>
      </c>
      <c r="AN137" s="174" t="str">
        <f t="shared" si="63"/>
        <v>0.1361799629964i</v>
      </c>
      <c r="AO137" s="174" t="str">
        <f t="shared" si="64"/>
        <v>0.996912034317661-0.067984819232678i</v>
      </c>
      <c r="AP137" s="174" t="str">
        <f t="shared" si="65"/>
        <v>0.16512363830543-0.0226265739906742i</v>
      </c>
      <c r="AQ137" s="174" t="str">
        <f t="shared" si="66"/>
        <v>0.83487636169457+0.0226265739906742i</v>
      </c>
      <c r="AR137" s="174" t="str">
        <f t="shared" si="67"/>
        <v>0.997020213636731-0.0270209490519775i</v>
      </c>
    </row>
    <row r="138" spans="7:44" x14ac:dyDescent="0.2">
      <c r="G138" s="703">
        <v>7674.15</v>
      </c>
      <c r="H138" s="691">
        <f t="shared" si="59"/>
        <v>7.67415</v>
      </c>
      <c r="I138" s="692">
        <f t="shared" si="36"/>
        <v>7.553685865119836</v>
      </c>
      <c r="J138" s="693">
        <f t="shared" si="37"/>
        <v>1.438020845557374</v>
      </c>
      <c r="K138" s="693">
        <f t="shared" si="38"/>
        <v>1.0000085977604964</v>
      </c>
      <c r="L138" s="694">
        <f t="shared" si="39"/>
        <v>4.1467333880127058E-3</v>
      </c>
      <c r="M138" s="693">
        <f t="shared" si="40"/>
        <v>1.0000479630341941</v>
      </c>
      <c r="N138" s="694">
        <f t="shared" si="41"/>
        <v>-9.7939897109094644E-3</v>
      </c>
      <c r="O138" s="692">
        <f t="shared" si="42"/>
        <v>13886.814699363938</v>
      </c>
      <c r="P138" s="695">
        <f t="shared" si="43"/>
        <v>1.5707243160406299</v>
      </c>
      <c r="Q138" s="704">
        <f t="shared" si="44"/>
        <v>5.8719498804354204</v>
      </c>
      <c r="R138" s="705">
        <f t="shared" si="45"/>
        <v>1.3996610197744617</v>
      </c>
      <c r="S138" s="692">
        <f t="shared" si="46"/>
        <v>1.0007437188943997</v>
      </c>
      <c r="T138" s="695">
        <f t="shared" si="47"/>
        <v>3.8555369411823109E-2</v>
      </c>
      <c r="U138" s="696">
        <f t="shared" si="60"/>
        <v>0.99654617956863356</v>
      </c>
      <c r="V138" s="697">
        <f t="shared" si="61"/>
        <v>-9.6290325117799377E-2</v>
      </c>
      <c r="W138" s="698">
        <f t="shared" si="48"/>
        <v>11.788555050652075</v>
      </c>
      <c r="X138" s="699">
        <f t="shared" si="49"/>
        <v>-100.24338345765194</v>
      </c>
      <c r="Y138" s="702">
        <f t="shared" si="50"/>
        <v>79.756616542348056</v>
      </c>
      <c r="AA138" s="174">
        <f t="shared" si="51"/>
        <v>1000000000</v>
      </c>
      <c r="AB138" s="174">
        <f t="shared" si="52"/>
        <v>58892578.222499996</v>
      </c>
      <c r="AD138" s="701">
        <f t="shared" si="53"/>
        <v>27.725586200496068</v>
      </c>
      <c r="AE138" s="702">
        <f t="shared" si="54"/>
        <v>-12.010264864236431</v>
      </c>
      <c r="AG138" s="701">
        <f t="shared" si="55"/>
        <v>9.5110146643373294</v>
      </c>
      <c r="AH138" s="702">
        <f t="shared" si="56"/>
        <v>-77.199060106422408</v>
      </c>
      <c r="AJ138" s="174">
        <f t="shared" si="57"/>
        <v>0</v>
      </c>
      <c r="AK138" s="174">
        <f t="shared" si="68"/>
        <v>0</v>
      </c>
      <c r="AM138" s="174" t="str">
        <f t="shared" si="62"/>
        <v>0.00947473822938705+0.13733064404662i</v>
      </c>
      <c r="AN138" s="174" t="str">
        <f t="shared" si="63"/>
        <v>0.1377660184857i</v>
      </c>
      <c r="AO138" s="174" t="str">
        <f t="shared" si="64"/>
        <v>0.996839754506477-0.0687741311938293i</v>
      </c>
      <c r="AP138" s="174" t="str">
        <f t="shared" si="65"/>
        <v>0.165087543628436-0.0228884406744367i</v>
      </c>
      <c r="AQ138" s="174" t="str">
        <f t="shared" si="66"/>
        <v>0.834912456371564+0.0228884406744367i</v>
      </c>
      <c r="AR138" s="174" t="str">
        <f t="shared" si="67"/>
        <v>0.996960140217049-0.0273308451083653i</v>
      </c>
    </row>
    <row r="139" spans="7:44" x14ac:dyDescent="0.2">
      <c r="G139" s="703">
        <v>7762.5</v>
      </c>
      <c r="H139" s="691">
        <f t="shared" si="59"/>
        <v>7.7625000000000002</v>
      </c>
      <c r="I139" s="692">
        <f t="shared" si="36"/>
        <v>7.6391334101063446</v>
      </c>
      <c r="J139" s="693">
        <f t="shared" si="37"/>
        <v>1.439514647004527</v>
      </c>
      <c r="K139" s="693">
        <f t="shared" si="38"/>
        <v>1.0000087968656386</v>
      </c>
      <c r="L139" s="694">
        <f t="shared" si="39"/>
        <v>4.1944728278454505E-3</v>
      </c>
      <c r="M139" s="693">
        <f t="shared" si="40"/>
        <v>1.0000490737297576</v>
      </c>
      <c r="N139" s="694">
        <f t="shared" si="41"/>
        <v>-9.9067374026542577E-3</v>
      </c>
      <c r="O139" s="692">
        <f t="shared" si="42"/>
        <v>14046.689092275577</v>
      </c>
      <c r="P139" s="695">
        <f t="shared" si="43"/>
        <v>1.5707251356412892</v>
      </c>
      <c r="Q139" s="704">
        <f t="shared" si="44"/>
        <v>5.937601950222005</v>
      </c>
      <c r="R139" s="705">
        <f t="shared" si="45"/>
        <v>1.4015716406224425</v>
      </c>
      <c r="S139" s="692">
        <f t="shared" si="46"/>
        <v>1.000760935309156</v>
      </c>
      <c r="T139" s="695">
        <f t="shared" si="47"/>
        <v>3.8998797506488443E-2</v>
      </c>
      <c r="U139" s="696">
        <f t="shared" si="60"/>
        <v>0.9964757730940218</v>
      </c>
      <c r="V139" s="697">
        <f t="shared" si="61"/>
        <v>-9.7395479863749287E-2</v>
      </c>
      <c r="W139" s="698">
        <f t="shared" si="48"/>
        <v>11.687248024006717</v>
      </c>
      <c r="X139" s="699">
        <f t="shared" si="49"/>
        <v>-100.31200038436414</v>
      </c>
      <c r="Y139" s="702">
        <f t="shared" si="50"/>
        <v>79.68799961563586</v>
      </c>
      <c r="AA139" s="174">
        <f t="shared" si="51"/>
        <v>1000000000</v>
      </c>
      <c r="AB139" s="174">
        <f t="shared" si="52"/>
        <v>60256406.25</v>
      </c>
      <c r="AD139" s="701">
        <f t="shared" si="53"/>
        <v>27.722584976609252</v>
      </c>
      <c r="AE139" s="702">
        <f t="shared" si="54"/>
        <v>-11.926247871301943</v>
      </c>
      <c r="AG139" s="701">
        <f t="shared" si="55"/>
        <v>9.4139362296320499</v>
      </c>
      <c r="AH139" s="702">
        <f t="shared" si="56"/>
        <v>-77.225052620620801</v>
      </c>
      <c r="AJ139" s="174">
        <f t="shared" si="57"/>
        <v>0</v>
      </c>
      <c r="AK139" s="174">
        <f t="shared" si="68"/>
        <v>0</v>
      </c>
      <c r="AM139" s="174" t="str">
        <f t="shared" si="62"/>
        <v>0.00969379802845904+0.138901498684143i</v>
      </c>
      <c r="AN139" s="174" t="str">
        <f t="shared" si="63"/>
        <v>0.139352073975i</v>
      </c>
      <c r="AO139" s="174" t="str">
        <f t="shared" si="64"/>
        <v>0.99676664094043-0.0695633566974979i</v>
      </c>
      <c r="AP139" s="174" t="str">
        <f t="shared" si="65"/>
        <v>0.165051033661924-0.0231502497806905i</v>
      </c>
      <c r="AQ139" s="174" t="str">
        <f t="shared" si="66"/>
        <v>0.834948966338076+0.0231502497806905i</v>
      </c>
      <c r="AR139" s="174" t="str">
        <f t="shared" si="67"/>
        <v>0.996899388266068-0.0276405753824629i</v>
      </c>
    </row>
    <row r="140" spans="7:44" x14ac:dyDescent="0.2">
      <c r="G140" s="703">
        <v>7852.9</v>
      </c>
      <c r="H140" s="691">
        <f t="shared" si="59"/>
        <v>7.8529</v>
      </c>
      <c r="I140" s="692">
        <f t="shared" si="36"/>
        <v>7.7265808583062929</v>
      </c>
      <c r="J140" s="693">
        <f t="shared" si="37"/>
        <v>1.44100890751264</v>
      </c>
      <c r="K140" s="693">
        <f t="shared" si="38"/>
        <v>1.0000090029496607</v>
      </c>
      <c r="L140" s="694">
        <f t="shared" si="39"/>
        <v>4.2433199541875005E-3</v>
      </c>
      <c r="M140" s="693">
        <f t="shared" si="40"/>
        <v>1.0000502233554978</v>
      </c>
      <c r="N140" s="694">
        <f t="shared" si="41"/>
        <v>-1.0022100937434344E-2</v>
      </c>
      <c r="O140" s="692">
        <f t="shared" si="42"/>
        <v>14210.273077788372</v>
      </c>
      <c r="P140" s="695">
        <f t="shared" si="43"/>
        <v>1.570725955170414</v>
      </c>
      <c r="Q140" s="704">
        <f t="shared" si="44"/>
        <v>6.0047992950505655</v>
      </c>
      <c r="R140" s="705">
        <f t="shared" si="45"/>
        <v>1.4034833427926723</v>
      </c>
      <c r="S140" s="692">
        <f t="shared" si="46"/>
        <v>1.0007787548720655</v>
      </c>
      <c r="T140" s="695">
        <f t="shared" si="47"/>
        <v>3.9452498654915132E-2</v>
      </c>
      <c r="U140" s="696">
        <f t="shared" si="60"/>
        <v>0.99640291364428213</v>
      </c>
      <c r="V140" s="697">
        <f t="shared" si="61"/>
        <v>-9.8526157293233732E-2</v>
      </c>
      <c r="W140" s="698">
        <f t="shared" si="48"/>
        <v>11.584784095280183</v>
      </c>
      <c r="X140" s="699">
        <f t="shared" si="49"/>
        <v>-100.38271900970989</v>
      </c>
      <c r="Y140" s="702">
        <f t="shared" si="50"/>
        <v>79.617280990290112</v>
      </c>
      <c r="AA140" s="174">
        <f t="shared" si="51"/>
        <v>1000000000</v>
      </c>
      <c r="AB140" s="174">
        <f t="shared" si="52"/>
        <v>61668038.409999996</v>
      </c>
      <c r="AD140" s="701">
        <f t="shared" si="53"/>
        <v>27.719609567454206</v>
      </c>
      <c r="AE140" s="702">
        <f t="shared" si="54"/>
        <v>-11.842757521691503</v>
      </c>
      <c r="AG140" s="701">
        <f t="shared" si="55"/>
        <v>9.3157179311613696</v>
      </c>
      <c r="AH140" s="702">
        <f t="shared" si="56"/>
        <v>-77.249695506028615</v>
      </c>
      <c r="AJ140" s="174">
        <f t="shared" si="57"/>
        <v>0</v>
      </c>
      <c r="AK140" s="174">
        <f t="shared" si="68"/>
        <v>0</v>
      </c>
      <c r="AM140" s="174" t="str">
        <f t="shared" si="62"/>
        <v>0.00992051926644+0.14050844042393i</v>
      </c>
      <c r="AN140" s="174" t="str">
        <f t="shared" si="63"/>
        <v>0.1409749309782i</v>
      </c>
      <c r="AO140" s="174" t="str">
        <f t="shared" si="64"/>
        <v>0.996690968025073-0.0703708042103889i</v>
      </c>
      <c r="AP140" s="174" t="str">
        <f t="shared" si="65"/>
        <v>0.165013246788927-0.0234180734039883i</v>
      </c>
      <c r="AQ140" s="174" t="str">
        <f t="shared" si="66"/>
        <v>0.834986753211073+0.0234180734039883i</v>
      </c>
      <c r="AR140" s="174" t="str">
        <f t="shared" si="67"/>
        <v>0.996836524955119-0.0279573188717098i</v>
      </c>
    </row>
    <row r="141" spans="7:44" x14ac:dyDescent="0.2">
      <c r="G141" s="703">
        <v>7943.3</v>
      </c>
      <c r="H141" s="691">
        <f t="shared" si="59"/>
        <v>7.9432999999999998</v>
      </c>
      <c r="I141" s="692">
        <f t="shared" ref="I141:I204" si="69">SQRT(1+(G141/pole1)^2)</f>
        <v>7.8140451723687674</v>
      </c>
      <c r="J141" s="693">
        <f t="shared" ref="J141:J204" si="70">ATAN(G141/pole1)</f>
        <v>1.4424697200535312</v>
      </c>
      <c r="K141" s="693">
        <f t="shared" ref="K141:K204" si="71">SQRT(1+(G141/Zero1)^2)</f>
        <v>1.0000092114197447</v>
      </c>
      <c r="L141" s="694">
        <f t="shared" ref="L141:L204" si="72">ATAN(G141/Zero1)</f>
        <v>4.2921670602799611E-3</v>
      </c>
      <c r="M141" s="693">
        <f t="shared" ref="M141:M204" si="73">SQRT(1+(G141/z_RHP)^2)</f>
        <v>1.0000513862906208</v>
      </c>
      <c r="N141" s="694">
        <f t="shared" ref="N141:N204" si="74">-ATAN(G141/z_RHP)</f>
        <v>-1.0137464205442943E-2</v>
      </c>
      <c r="O141" s="692">
        <f t="shared" ref="O141:O204" si="75">SQRT(1+(G141/Pole2)^2)</f>
        <v>14373.857063310496</v>
      </c>
      <c r="P141" s="695">
        <f t="shared" ref="P141:P204" si="76">ATAN(G141/Pole2)</f>
        <v>1.5707267560459737</v>
      </c>
      <c r="Q141" s="704">
        <f t="shared" ref="Q141:Q147" si="77">SQRT(1+(G141/Zero2)^2)</f>
        <v>6.0720180992813404</v>
      </c>
      <c r="R141" s="705">
        <f t="shared" ref="R141:R147" si="78">ATAN(G141/Zero2)</f>
        <v>1.4053527255985019</v>
      </c>
      <c r="S141" s="692">
        <f t="shared" ref="S141:S204" si="79">SQRT(1+(G141/pole4)^2)</f>
        <v>1.0007967804326487</v>
      </c>
      <c r="T141" s="695">
        <f t="shared" ref="T141:T204" si="80">ATAN(G141/pole4)</f>
        <v>3.9906183553314725E-2</v>
      </c>
      <c r="U141" s="696">
        <f t="shared" si="60"/>
        <v>0.99632922599252405</v>
      </c>
      <c r="V141" s="697">
        <f t="shared" si="61"/>
        <v>-9.9656711561060263E-2</v>
      </c>
      <c r="W141" s="698">
        <f t="shared" ref="W141:W204" si="81">20*LOG10(((K141*Q141*M141*U141)/(I141*O141*S141))*Adc)</f>
        <v>11.483499177439988</v>
      </c>
      <c r="X141" s="699">
        <f t="shared" ref="X141:X204" si="82">((L141+R141+N141+V141)-(J141+P141+T141))*radconv</f>
        <v>-100.45393685807653</v>
      </c>
      <c r="Y141" s="702">
        <f t="shared" ref="Y141:Y204" si="83">IF(X141&gt;0,X141,X141+180)</f>
        <v>79.546063141923469</v>
      </c>
      <c r="AA141" s="174">
        <f t="shared" ref="AA141:AA204" si="84">IF(W141&lt;0,G141,1000000000)</f>
        <v>1000000000</v>
      </c>
      <c r="AB141" s="174">
        <f t="shared" ref="AB141:AB204" si="85">G141^2</f>
        <v>63096014.890000001</v>
      </c>
      <c r="AD141" s="701">
        <f t="shared" ref="AD141:AD204" si="86">20*LOG10((Q141/(O141*S141))*Aea)</f>
        <v>27.716726389157984</v>
      </c>
      <c r="AE141" s="702">
        <f t="shared" ref="AE141:AE204" si="87">(R141-(P141+T141))*radconv</f>
        <v>-11.761689893227111</v>
      </c>
      <c r="AG141" s="701">
        <f t="shared" ref="AG141:AG204" si="88">20*LOG10((K141*M141/(I141*U141))*Acs*Am)</f>
        <v>9.2186009459472356</v>
      </c>
      <c r="AH141" s="702">
        <f t="shared" ref="AH141:AH204" si="89">(L141+N141-(J141+V141))*radconv</f>
        <v>-77.27242900659769</v>
      </c>
      <c r="AJ141" s="174">
        <f t="shared" ref="AJ141:AJ204" si="90">SUM((W142&lt;0)*(W141&gt;0))*G141</f>
        <v>0</v>
      </c>
      <c r="AK141" s="174">
        <f t="shared" si="68"/>
        <v>0</v>
      </c>
      <c r="AM141" s="174" t="str">
        <f t="shared" si="62"/>
        <v>0.01014984804138+0.142115012111656i</v>
      </c>
      <c r="AN141" s="174" t="str">
        <f t="shared" si="63"/>
        <v>0.1425977879814i</v>
      </c>
      <c r="AO141" s="174" t="str">
        <f t="shared" si="64"/>
        <v>0.996614422449478-0.0711781591079373i</v>
      </c>
      <c r="AP141" s="174" t="str">
        <f t="shared" si="65"/>
        <v>0.164975025326437-0.0236858353519427i</v>
      </c>
      <c r="AQ141" s="174" t="str">
        <f t="shared" si="66"/>
        <v>0.835024974673563+0.0236858353519427i</v>
      </c>
      <c r="AR141" s="174" t="str">
        <f t="shared" si="67"/>
        <v>0.996772952500606-0.0282738849163509i</v>
      </c>
    </row>
    <row r="142" spans="7:44" x14ac:dyDescent="0.2">
      <c r="G142" s="703">
        <v>8035.8</v>
      </c>
      <c r="H142" s="691">
        <f t="shared" ref="H142:H205" si="91">G142/1000</f>
        <v>8.0358000000000001</v>
      </c>
      <c r="I142" s="692">
        <f t="shared" si="69"/>
        <v>7.9035581642072437</v>
      </c>
      <c r="J142" s="693">
        <f t="shared" si="70"/>
        <v>1.4439309968595389</v>
      </c>
      <c r="K142" s="693">
        <f t="shared" si="71"/>
        <v>1.0000094272024544</v>
      </c>
      <c r="L142" s="694">
        <f t="shared" si="72"/>
        <v>4.3421488677659057E-3</v>
      </c>
      <c r="M142" s="693">
        <f t="shared" si="73"/>
        <v>1.0000525900175226</v>
      </c>
      <c r="N142" s="694">
        <f t="shared" si="74"/>
        <v>-1.0255507093035236E-2</v>
      </c>
      <c r="O142" s="692">
        <f t="shared" si="75"/>
        <v>14541.241119302082</v>
      </c>
      <c r="P142" s="695">
        <f t="shared" si="76"/>
        <v>1.5707275568740497</v>
      </c>
      <c r="Q142" s="704">
        <f t="shared" si="77"/>
        <v>6.1408198801375011</v>
      </c>
      <c r="R142" s="705">
        <f t="shared" si="78"/>
        <v>1.4072231651763265</v>
      </c>
      <c r="S142" s="692">
        <f t="shared" si="79"/>
        <v>1.0008154379482606</v>
      </c>
      <c r="T142" s="695">
        <f t="shared" si="80"/>
        <v>4.0370390577509602E-2</v>
      </c>
      <c r="U142" s="696">
        <f t="shared" ref="U142:U205" si="92">IMABS(IMPRODUCT(AO142, AR142))</f>
        <v>0.99625296983432754</v>
      </c>
      <c r="V142" s="697">
        <f t="shared" ref="V142:V205" si="93">IMARGUMENT(IMPRODUCT(AO142, AR142))</f>
        <v>-0.10081339977759421</v>
      </c>
      <c r="W142" s="698">
        <f t="shared" si="81"/>
        <v>11.381052989037407</v>
      </c>
      <c r="X142" s="699">
        <f t="shared" si="82"/>
        <v>-100.52730951123606</v>
      </c>
      <c r="Y142" s="702">
        <f t="shared" si="83"/>
        <v>79.472690488763945</v>
      </c>
      <c r="AA142" s="174">
        <f t="shared" si="84"/>
        <v>1000000000</v>
      </c>
      <c r="AB142" s="174">
        <f t="shared" si="85"/>
        <v>64574081.640000001</v>
      </c>
      <c r="AD142" s="701">
        <f t="shared" si="86"/>
        <v>27.713867413960568</v>
      </c>
      <c r="AE142" s="702">
        <f t="shared" si="87"/>
        <v>-11.681164586867085</v>
      </c>
      <c r="AG142" s="701">
        <f t="shared" si="88"/>
        <v>9.1203433693834697</v>
      </c>
      <c r="AH142" s="702">
        <f t="shared" si="89"/>
        <v>-77.293780259925953</v>
      </c>
      <c r="AJ142" s="174">
        <f t="shared" si="90"/>
        <v>0</v>
      </c>
      <c r="AK142" s="174">
        <f t="shared" si="68"/>
        <v>0</v>
      </c>
      <c r="AM142" s="174" t="str">
        <f t="shared" ref="AM142:AM205" si="94">IMSUB(1,IMEXP(COMPLEX(0,-2*Pi*G142*Tsw)))</f>
        <v>0.01038720261448+0.143758517141787i</v>
      </c>
      <c r="AN142" s="174" t="str">
        <f t="shared" ref="AN142:AN205" si="95">COMPLEX(0, 2*Pi*G142*Tsw)</f>
        <v>0.1442583440964i</v>
      </c>
      <c r="AO142" s="174" t="str">
        <f t="shared" ref="AO142:AO205" si="96">IMDIV(AM142, AN142)</f>
        <v>0.996535195535871-0.0720041719565199i</v>
      </c>
      <c r="AP142" s="174" t="str">
        <f t="shared" ref="AP142:AP205" si="97">IMDIV(IMEXP(COMPLEX(0,-2*Pi*G142*Tsw)),6)</f>
        <v>0.16493546623092-0.0239597528569645i</v>
      </c>
      <c r="AQ142" s="174" t="str">
        <f t="shared" ref="AQ142:AQ205" si="98">IMSUB(1, AP142)</f>
        <v>0.83506453376908+0.0239597528569645i</v>
      </c>
      <c r="AR142" s="174" t="str">
        <f t="shared" ref="AR142:AR205" si="99">IMDIV(0.833, AQ142)</f>
        <v>0.996707169872716-0.0285976191003204i</v>
      </c>
    </row>
    <row r="143" spans="7:44" x14ac:dyDescent="0.2">
      <c r="G143" s="703">
        <v>8128.3</v>
      </c>
      <c r="H143" s="691">
        <f t="shared" si="91"/>
        <v>8.1282999999999994</v>
      </c>
      <c r="I143" s="692">
        <f t="shared" si="69"/>
        <v>7.9930876547313945</v>
      </c>
      <c r="J143" s="693">
        <f t="shared" si="70"/>
        <v>1.4453595415327238</v>
      </c>
      <c r="K143" s="693">
        <f t="shared" si="71"/>
        <v>1.0000096454833678</v>
      </c>
      <c r="L143" s="694">
        <f t="shared" si="72"/>
        <v>4.392130653556774E-3</v>
      </c>
      <c r="M143" s="693">
        <f t="shared" si="73"/>
        <v>1.0000538076792467</v>
      </c>
      <c r="N143" s="694">
        <f t="shared" si="74"/>
        <v>-1.0373549694815201E-2</v>
      </c>
      <c r="O143" s="692">
        <f t="shared" si="75"/>
        <v>14708.625175302781</v>
      </c>
      <c r="P143" s="695">
        <f t="shared" si="76"/>
        <v>1.5707283394752898</v>
      </c>
      <c r="Q143" s="704">
        <f t="shared" si="77"/>
        <v>6.2096426688037027</v>
      </c>
      <c r="R143" s="705">
        <f t="shared" si="78"/>
        <v>1.4090521500770086</v>
      </c>
      <c r="S143" s="692">
        <f t="shared" si="79"/>
        <v>1.0008343111196829</v>
      </c>
      <c r="T143" s="695">
        <f t="shared" si="80"/>
        <v>4.0834580194217943E-2</v>
      </c>
      <c r="U143" s="696">
        <f t="shared" si="92"/>
        <v>0.99617584766880762</v>
      </c>
      <c r="V143" s="697">
        <f t="shared" si="93"/>
        <v>-0.10196995611997089</v>
      </c>
      <c r="W143" s="698">
        <f t="shared" si="81"/>
        <v>11.279783719922605</v>
      </c>
      <c r="X143" s="699">
        <f t="shared" si="82"/>
        <v>-100.60117231671057</v>
      </c>
      <c r="Y143" s="702">
        <f t="shared" si="83"/>
        <v>79.398827683289426</v>
      </c>
      <c r="AA143" s="174">
        <f t="shared" si="84"/>
        <v>1000000000</v>
      </c>
      <c r="AB143" s="174">
        <f t="shared" si="85"/>
        <v>66069260.890000001</v>
      </c>
      <c r="AD143" s="701">
        <f t="shared" si="86"/>
        <v>27.711096530871401</v>
      </c>
      <c r="AE143" s="702">
        <f t="shared" si="87"/>
        <v>-11.603012416854828</v>
      </c>
      <c r="AG143" s="701">
        <f t="shared" si="88"/>
        <v>9.0231898236107035</v>
      </c>
      <c r="AH143" s="702">
        <f t="shared" si="89"/>
        <v>-77.313263640886731</v>
      </c>
      <c r="AJ143" s="174">
        <f t="shared" si="90"/>
        <v>0</v>
      </c>
      <c r="AK143" s="174">
        <f t="shared" si="68"/>
        <v>0</v>
      </c>
      <c r="AM143" s="174" t="str">
        <f t="shared" si="94"/>
        <v>0.0106272859914071+0.145401625765574i</v>
      </c>
      <c r="AN143" s="174" t="str">
        <f t="shared" si="95"/>
        <v>0.1459189002114i</v>
      </c>
      <c r="AO143" s="174" t="str">
        <f t="shared" si="96"/>
        <v>0.996455055204798-0.0728300855887128i</v>
      </c>
      <c r="AP143" s="174" t="str">
        <f t="shared" si="97"/>
        <v>0.164895452334765-0.0242336042942623i</v>
      </c>
      <c r="AQ143" s="174" t="str">
        <f t="shared" si="98"/>
        <v>0.835104547665235+0.0242336042942623i</v>
      </c>
      <c r="AR143" s="174" t="str">
        <f t="shared" si="99"/>
        <v>0.996640646130399-0.0289211633554459i</v>
      </c>
    </row>
    <row r="144" spans="7:44" x14ac:dyDescent="0.2">
      <c r="G144" s="703">
        <v>8222.9500000000007</v>
      </c>
      <c r="H144" s="691">
        <f t="shared" si="91"/>
        <v>8.2229500000000009</v>
      </c>
      <c r="I144" s="692">
        <f t="shared" si="69"/>
        <v>8.0847146075781477</v>
      </c>
      <c r="J144" s="693">
        <f t="shared" si="70"/>
        <v>1.4467885364091921</v>
      </c>
      <c r="K144" s="693">
        <f t="shared" si="71"/>
        <v>1.0000098714238137</v>
      </c>
      <c r="L144" s="694">
        <f t="shared" si="72"/>
        <v>4.4432741554346917E-3</v>
      </c>
      <c r="M144" s="693">
        <f t="shared" si="73"/>
        <v>1.0000550680677474</v>
      </c>
      <c r="N144" s="694">
        <f t="shared" si="74"/>
        <v>-1.0494335690216572E-2</v>
      </c>
      <c r="O144" s="692">
        <f t="shared" si="75"/>
        <v>14879.899779641259</v>
      </c>
      <c r="P144" s="695">
        <f t="shared" si="76"/>
        <v>1.5707291220411306</v>
      </c>
      <c r="Q144" s="704">
        <f t="shared" si="77"/>
        <v>6.2800861477328347</v>
      </c>
      <c r="R144" s="705">
        <f t="shared" si="78"/>
        <v>1.4108821444896664</v>
      </c>
      <c r="S144" s="692">
        <f t="shared" si="79"/>
        <v>1.0008538461849672</v>
      </c>
      <c r="T144" s="695">
        <f t="shared" si="80"/>
        <v>4.1309540856361106E-2</v>
      </c>
      <c r="U144" s="696">
        <f t="shared" si="92"/>
        <v>0.99609603710014372</v>
      </c>
      <c r="V144" s="697">
        <f t="shared" si="93"/>
        <v>-0.10315325653478274</v>
      </c>
      <c r="W144" s="698">
        <f t="shared" si="81"/>
        <v>11.1773501414721</v>
      </c>
      <c r="X144" s="699">
        <f t="shared" si="82"/>
        <v>-100.67724315550097</v>
      </c>
      <c r="Y144" s="702">
        <f t="shared" si="83"/>
        <v>79.322756844499025</v>
      </c>
      <c r="AA144" s="174">
        <f t="shared" si="84"/>
        <v>1000000000</v>
      </c>
      <c r="AB144" s="174">
        <f t="shared" si="85"/>
        <v>67616906.702500015</v>
      </c>
      <c r="AD144" s="701">
        <f t="shared" si="86"/>
        <v>27.708348321867511</v>
      </c>
      <c r="AE144" s="702">
        <f t="shared" si="87"/>
        <v>-11.525419539483751</v>
      </c>
      <c r="AG144" s="701">
        <f t="shared" si="88"/>
        <v>8.9248962838576826</v>
      </c>
      <c r="AH144" s="702">
        <f t="shared" si="89"/>
        <v>-77.331331117563693</v>
      </c>
      <c r="AJ144" s="174">
        <f t="shared" si="90"/>
        <v>0</v>
      </c>
      <c r="AK144" s="174">
        <f t="shared" si="68"/>
        <v>0</v>
      </c>
      <c r="AM144" s="174" t="str">
        <f t="shared" si="94"/>
        <v>0.010875773674352+0.147082510502398i</v>
      </c>
      <c r="AN144" s="174" t="str">
        <f t="shared" si="95"/>
        <v>0.1476180530361i</v>
      </c>
      <c r="AO144" s="174" t="str">
        <f t="shared" si="96"/>
        <v>0.996372106780388-0.073675092244255i</v>
      </c>
      <c r="AP144" s="174" t="str">
        <f t="shared" si="97"/>
        <v>0.164854037720941-0.0245137517503997i</v>
      </c>
      <c r="AQ144" s="174" t="str">
        <f t="shared" si="98"/>
        <v>0.835145962279059+0.0245137517503997i</v>
      </c>
      <c r="AR144" s="174" t="str">
        <f t="shared" si="99"/>
        <v>0.996571809735573-0.0292520290448837i</v>
      </c>
    </row>
    <row r="145" spans="7:44" x14ac:dyDescent="0.2">
      <c r="G145" s="703">
        <v>8270.2750000000015</v>
      </c>
      <c r="H145" s="691">
        <f t="shared" si="91"/>
        <v>8.2702750000000016</v>
      </c>
      <c r="I145" s="692">
        <f t="shared" si="69"/>
        <v>8.1305341702950003</v>
      </c>
      <c r="J145" s="693">
        <f t="shared" si="70"/>
        <v>1.4474909551013979</v>
      </c>
      <c r="K145" s="693">
        <f t="shared" si="71"/>
        <v>1.0000099853749176</v>
      </c>
      <c r="L145" s="694">
        <f t="shared" si="72"/>
        <v>4.4688458976737547E-3</v>
      </c>
      <c r="M145" s="693">
        <f t="shared" si="73"/>
        <v>1.00005570373326</v>
      </c>
      <c r="N145" s="694">
        <f t="shared" si="74"/>
        <v>-1.0554728573305115E-2</v>
      </c>
      <c r="O145" s="692">
        <f t="shared" si="75"/>
        <v>14965.537081813858</v>
      </c>
      <c r="P145" s="695">
        <f t="shared" si="76"/>
        <v>1.5707295066069356</v>
      </c>
      <c r="Q145" s="704">
        <f t="shared" si="77"/>
        <v>6.3153156419525507</v>
      </c>
      <c r="R145" s="705">
        <f t="shared" si="78"/>
        <v>1.4117818308413259</v>
      </c>
      <c r="S145" s="692">
        <f t="shared" si="79"/>
        <v>1.0008636983827182</v>
      </c>
      <c r="T145" s="695">
        <f t="shared" si="80"/>
        <v>4.1547014207861679E-2</v>
      </c>
      <c r="U145" s="696">
        <f t="shared" si="92"/>
        <v>0.99605579221165852</v>
      </c>
      <c r="V145" s="697">
        <f t="shared" si="93"/>
        <v>-0.1037448538899902</v>
      </c>
      <c r="W145" s="698">
        <f t="shared" si="81"/>
        <v>11.126575682246768</v>
      </c>
      <c r="X145" s="699">
        <f t="shared" si="82"/>
        <v>-100.71545994204189</v>
      </c>
      <c r="Y145" s="702">
        <f t="shared" si="83"/>
        <v>79.284540057958111</v>
      </c>
      <c r="AA145" s="174">
        <f t="shared" si="84"/>
        <v>1000000000</v>
      </c>
      <c r="AB145" s="174">
        <f t="shared" si="85"/>
        <v>68397448.575625017</v>
      </c>
      <c r="AD145" s="701">
        <f t="shared" si="86"/>
        <v>27.707006002818098</v>
      </c>
      <c r="AE145" s="702">
        <f t="shared" si="87"/>
        <v>-11.487499563390196</v>
      </c>
      <c r="AG145" s="701">
        <f t="shared" si="88"/>
        <v>8.8761660232368982</v>
      </c>
      <c r="AH145" s="702">
        <f t="shared" si="89"/>
        <v>-77.339675816871747</v>
      </c>
      <c r="AJ145" s="174">
        <f t="shared" si="90"/>
        <v>0</v>
      </c>
      <c r="AK145" s="174">
        <f t="shared" si="68"/>
        <v>0</v>
      </c>
      <c r="AM145" s="174" t="str">
        <f t="shared" si="94"/>
        <v>0.011001088455972+0.147922793932269i</v>
      </c>
      <c r="AN145" s="174" t="str">
        <f t="shared" si="95"/>
        <v>0.14846762944845i</v>
      </c>
      <c r="AO145" s="174" t="str">
        <f t="shared" si="96"/>
        <v>0.996330274025355-0.0740975557893698i</v>
      </c>
      <c r="AP145" s="174" t="str">
        <f t="shared" si="97"/>
        <v>0.164833151924005-0.0246537989887115i</v>
      </c>
      <c r="AQ145" s="174" t="str">
        <f t="shared" si="98"/>
        <v>0.835166848075995+0.0246537989887115i</v>
      </c>
      <c r="AR145" s="174" t="str">
        <f t="shared" si="99"/>
        <v>0.996537101060873-0.0294173857965594i</v>
      </c>
    </row>
    <row r="146" spans="7:44" x14ac:dyDescent="0.2">
      <c r="G146" s="703">
        <v>8317.6</v>
      </c>
      <c r="H146" s="691">
        <f t="shared" si="91"/>
        <v>8.3176000000000005</v>
      </c>
      <c r="I146" s="692">
        <f t="shared" si="69"/>
        <v>8.1763576995907581</v>
      </c>
      <c r="J146" s="693">
        <f t="shared" si="70"/>
        <v>1.4481855008710123</v>
      </c>
      <c r="K146" s="693">
        <f t="shared" si="71"/>
        <v>1.0000100999799419</v>
      </c>
      <c r="L146" s="694">
        <f t="shared" si="72"/>
        <v>4.4944176340682975E-3</v>
      </c>
      <c r="M146" s="693">
        <f t="shared" si="73"/>
        <v>1.0000563430462714</v>
      </c>
      <c r="N146" s="694">
        <f t="shared" si="74"/>
        <v>-1.0615121379398362E-2</v>
      </c>
      <c r="O146" s="692">
        <f t="shared" si="75"/>
        <v>15051.17438398864</v>
      </c>
      <c r="P146" s="695">
        <f t="shared" si="76"/>
        <v>1.57072988679658</v>
      </c>
      <c r="Q146" s="704">
        <f t="shared" si="77"/>
        <v>6.3505501912951603</v>
      </c>
      <c r="R146" s="705">
        <f t="shared" si="78"/>
        <v>1.4126715345059444</v>
      </c>
      <c r="S146" s="692">
        <f t="shared" si="79"/>
        <v>1.000873607021656</v>
      </c>
      <c r="T146" s="695">
        <f t="shared" si="80"/>
        <v>4.1784482870786011E-2</v>
      </c>
      <c r="U146" s="696">
        <f t="shared" si="92"/>
        <v>0.99601532102502222</v>
      </c>
      <c r="V146" s="697">
        <f t="shared" si="93"/>
        <v>-0.10433641574714203</v>
      </c>
      <c r="W146" s="698">
        <f t="shared" si="81"/>
        <v>11.076091464804389</v>
      </c>
      <c r="X146" s="699">
        <f t="shared" si="82"/>
        <v>-100.75379505184512</v>
      </c>
      <c r="Y146" s="702">
        <f t="shared" si="83"/>
        <v>79.246204948154883</v>
      </c>
      <c r="AA146" s="174">
        <f t="shared" si="84"/>
        <v>1000000000</v>
      </c>
      <c r="AB146" s="174">
        <f t="shared" si="85"/>
        <v>69182469.760000005</v>
      </c>
      <c r="AD146" s="701">
        <f t="shared" si="86"/>
        <v>27.70568423202554</v>
      </c>
      <c r="AE146" s="702">
        <f t="shared" si="87"/>
        <v>-11.450151033761774</v>
      </c>
      <c r="AG146" s="701">
        <f t="shared" si="88"/>
        <v>8.8277094314300246</v>
      </c>
      <c r="AH146" s="702">
        <f t="shared" si="89"/>
        <v>-77.34757146075448</v>
      </c>
      <c r="AJ146" s="174">
        <f t="shared" si="90"/>
        <v>0</v>
      </c>
      <c r="AK146" s="174">
        <f t="shared" si="68"/>
        <v>0</v>
      </c>
      <c r="AM146" s="174" t="str">
        <f t="shared" si="94"/>
        <v>0.011127117077264+0.148762970594419i</v>
      </c>
      <c r="AN146" s="174" t="str">
        <f t="shared" si="95"/>
        <v>0.1493172058608i</v>
      </c>
      <c r="AO146" s="174" t="str">
        <f t="shared" si="96"/>
        <v>0.996288202265868-0.074519992609808i</v>
      </c>
      <c r="AP146" s="174" t="str">
        <f t="shared" si="97"/>
        <v>0.164812147153789-0.0247938284324032i</v>
      </c>
      <c r="AQ146" s="174" t="str">
        <f t="shared" si="98"/>
        <v>0.835187852846211+0.0247938284324032i</v>
      </c>
      <c r="AR146" s="174" t="str">
        <f t="shared" si="99"/>
        <v>0.996502198861534-0.0295826914470641i</v>
      </c>
    </row>
    <row r="147" spans="7:44" x14ac:dyDescent="0.2">
      <c r="G147" s="703">
        <v>8366.0499999999993</v>
      </c>
      <c r="H147" s="691">
        <f t="shared" si="91"/>
        <v>8.3660499999999995</v>
      </c>
      <c r="I147" s="692">
        <f t="shared" si="69"/>
        <v>8.2232745761398345</v>
      </c>
      <c r="J147" s="693">
        <f t="shared" si="70"/>
        <v>1.4488885380907439</v>
      </c>
      <c r="K147" s="693">
        <f t="shared" si="71"/>
        <v>1.0000102179867552</v>
      </c>
      <c r="L147" s="694">
        <f t="shared" si="72"/>
        <v>4.5205972503415239E-3</v>
      </c>
      <c r="M147" s="693">
        <f t="shared" si="73"/>
        <v>1.0000570013354817</v>
      </c>
      <c r="N147" s="694">
        <f t="shared" si="74"/>
        <v>-1.0676949750422026E-2</v>
      </c>
      <c r="O147" s="692">
        <f t="shared" si="75"/>
        <v>15138.847438198332</v>
      </c>
      <c r="P147" s="695">
        <f t="shared" si="76"/>
        <v>1.570730271568116</v>
      </c>
      <c r="Q147" s="704">
        <f t="shared" si="77"/>
        <v>6.3866274784191033</v>
      </c>
      <c r="R147" s="705">
        <f t="shared" si="78"/>
        <v>1.4135722176102699</v>
      </c>
      <c r="S147" s="692">
        <f t="shared" si="79"/>
        <v>1.0008838096746318</v>
      </c>
      <c r="T147" s="695">
        <f t="shared" si="80"/>
        <v>4.2027591704185192E-2</v>
      </c>
      <c r="U147" s="696">
        <f t="shared" si="92"/>
        <v>0.99597365341696698</v>
      </c>
      <c r="V147" s="697">
        <f t="shared" si="93"/>
        <v>-0.1049420031091004</v>
      </c>
      <c r="W147" s="698">
        <f t="shared" si="81"/>
        <v>11.024704263028703</v>
      </c>
      <c r="X147" s="699">
        <f t="shared" si="82"/>
        <v>-100.79316205592474</v>
      </c>
      <c r="Y147" s="702">
        <f t="shared" si="83"/>
        <v>79.206837944075261</v>
      </c>
      <c r="AA147" s="174">
        <f t="shared" si="84"/>
        <v>1000000000</v>
      </c>
      <c r="AB147" s="174">
        <f t="shared" si="85"/>
        <v>69990792.602499992</v>
      </c>
      <c r="AD147" s="701">
        <f t="shared" si="86"/>
        <v>27.704351841715148</v>
      </c>
      <c r="AE147" s="702">
        <f t="shared" si="87"/>
        <v>-11.412496849063368</v>
      </c>
      <c r="AG147" s="701">
        <f t="shared" si="88"/>
        <v>8.7783813714673578</v>
      </c>
      <c r="AH147" s="702">
        <f t="shared" si="89"/>
        <v>-77.355197449519849</v>
      </c>
      <c r="AJ147" s="174">
        <f t="shared" si="90"/>
        <v>0</v>
      </c>
      <c r="AK147" s="174">
        <f t="shared" si="68"/>
        <v>0</v>
      </c>
      <c r="AM147" s="174" t="str">
        <f t="shared" si="94"/>
        <v>0.011256881024829+0.149623008522253i</v>
      </c>
      <c r="AN147" s="174" t="str">
        <f t="shared" si="95"/>
        <v>0.1501869782259i</v>
      </c>
      <c r="AO147" s="174" t="str">
        <f t="shared" si="96"/>
        <v>0.996244882810022-0.0749524436659032i</v>
      </c>
      <c r="AP147" s="174" t="str">
        <f t="shared" si="97"/>
        <v>0.164790519829195-0.0249371680870422i</v>
      </c>
      <c r="AQ147" s="174" t="str">
        <f t="shared" si="98"/>
        <v>0.835209480170805+0.0249371680870422i</v>
      </c>
      <c r="AR147" s="174" t="str">
        <f t="shared" si="99"/>
        <v>0.996466266594495-0.0297518734797557i</v>
      </c>
    </row>
    <row r="148" spans="7:44" x14ac:dyDescent="0.2">
      <c r="G148" s="706">
        <v>8414.5</v>
      </c>
      <c r="H148" s="691">
        <f t="shared" si="91"/>
        <v>8.4145000000000003</v>
      </c>
      <c r="I148" s="692">
        <f t="shared" si="69"/>
        <v>8.2701954710191288</v>
      </c>
      <c r="J148" s="693">
        <f t="shared" si="70"/>
        <v>1.4495835982974961</v>
      </c>
      <c r="K148" s="693">
        <f t="shared" si="71"/>
        <v>1.0000103366789477</v>
      </c>
      <c r="L148" s="694">
        <f t="shared" si="72"/>
        <v>4.5467768604181263E-3</v>
      </c>
      <c r="M148" s="693">
        <f t="shared" si="73"/>
        <v>1.0000576634476521</v>
      </c>
      <c r="N148" s="694">
        <f t="shared" si="74"/>
        <v>-1.0738778039812135E-2</v>
      </c>
      <c r="O148" s="692">
        <f t="shared" si="75"/>
        <v>15226.520492410244</v>
      </c>
      <c r="P148" s="695">
        <f t="shared" si="76"/>
        <v>1.5707306519086863</v>
      </c>
      <c r="Q148" s="704">
        <f t="shared" ref="Q148:Q157" si="100">SQRT(1+(G148/Zero2)^2)</f>
        <v>6.4227098883596501</v>
      </c>
      <c r="R148" s="705">
        <f t="shared" ref="R148:R157" si="101">ATAN(G148/Zero2)</f>
        <v>1.4144627814598933</v>
      </c>
      <c r="S148" s="692">
        <f t="shared" si="79"/>
        <v>1.000894071480539</v>
      </c>
      <c r="T148" s="695">
        <f t="shared" si="80"/>
        <v>4.2270695566937661E-2</v>
      </c>
      <c r="U148" s="696">
        <f t="shared" si="92"/>
        <v>0.99593174879191471</v>
      </c>
      <c r="V148" s="697">
        <f t="shared" si="93"/>
        <v>-0.10554755284678334</v>
      </c>
      <c r="W148" s="698">
        <f t="shared" si="81"/>
        <v>10.973614103949288</v>
      </c>
      <c r="X148" s="699">
        <f t="shared" si="82"/>
        <v>-100.83264910270677</v>
      </c>
      <c r="Y148" s="702">
        <f t="shared" si="83"/>
        <v>79.167350897293232</v>
      </c>
      <c r="AA148" s="174">
        <f t="shared" si="84"/>
        <v>1000000000</v>
      </c>
      <c r="AB148" s="174">
        <f t="shared" si="85"/>
        <v>70803810.25</v>
      </c>
      <c r="AD148" s="701">
        <f t="shared" si="86"/>
        <v>27.70304001580039</v>
      </c>
      <c r="AE148" s="702">
        <f t="shared" si="87"/>
        <v>-11.375421916279153</v>
      </c>
      <c r="AG148" s="701">
        <f t="shared" si="88"/>
        <v>8.7293339544359245</v>
      </c>
      <c r="AH148" s="702">
        <f t="shared" si="89"/>
        <v>-77.362368540497826</v>
      </c>
      <c r="AJ148" s="174">
        <f t="shared" si="90"/>
        <v>0</v>
      </c>
      <c r="AK148" s="174">
        <f t="shared" si="68"/>
        <v>0</v>
      </c>
      <c r="AM148" s="174" t="str">
        <f t="shared" si="94"/>
        <v>0.011387392960439+0.150482933259694i</v>
      </c>
      <c r="AN148" s="174" t="str">
        <f t="shared" si="95"/>
        <v>0.151056750591i</v>
      </c>
      <c r="AO148" s="174" t="str">
        <f t="shared" si="96"/>
        <v>0.996201312890282-0.0753848663888674i</v>
      </c>
      <c r="AP148" s="174" t="str">
        <f t="shared" si="97"/>
        <v>0.164768767839927-0.0250804888766157i</v>
      </c>
      <c r="AQ148" s="174" t="str">
        <f t="shared" si="98"/>
        <v>0.835231232160073+0.0250804888766157i</v>
      </c>
      <c r="AR148" s="174" t="str">
        <f t="shared" si="99"/>
        <v>0.996430131696372-0.0299210013611488i</v>
      </c>
    </row>
    <row r="149" spans="7:44" x14ac:dyDescent="0.2">
      <c r="G149" s="706">
        <v>8462.9500000000007</v>
      </c>
      <c r="H149" s="691">
        <f t="shared" si="91"/>
        <v>8.4629500000000011</v>
      </c>
      <c r="I149" s="692">
        <f t="shared" si="69"/>
        <v>8.3171203162206133</v>
      </c>
      <c r="J149" s="693">
        <f t="shared" si="70"/>
        <v>1.4502708158318629</v>
      </c>
      <c r="K149" s="693">
        <f t="shared" si="71"/>
        <v>1.0000104560565188</v>
      </c>
      <c r="L149" s="694">
        <f t="shared" si="72"/>
        <v>4.5729564642622202E-3</v>
      </c>
      <c r="M149" s="693">
        <f t="shared" si="73"/>
        <v>1.0000583293827754</v>
      </c>
      <c r="N149" s="694">
        <f t="shared" si="74"/>
        <v>-1.0800606247096141E-2</v>
      </c>
      <c r="O149" s="692">
        <f t="shared" si="75"/>
        <v>15314.193546624332</v>
      </c>
      <c r="P149" s="695">
        <f t="shared" si="76"/>
        <v>1.570731027894392</v>
      </c>
      <c r="Q149" s="704">
        <f t="shared" si="100"/>
        <v>6.4587973352601491</v>
      </c>
      <c r="R149" s="705">
        <f t="shared" si="101"/>
        <v>1.41534339424914</v>
      </c>
      <c r="S149" s="692">
        <f t="shared" si="79"/>
        <v>1.0009043924375587</v>
      </c>
      <c r="T149" s="695">
        <f t="shared" si="80"/>
        <v>4.2513794430462125E-2</v>
      </c>
      <c r="U149" s="696">
        <f t="shared" si="92"/>
        <v>0.99588960723557718</v>
      </c>
      <c r="V149" s="697">
        <f t="shared" si="93"/>
        <v>-0.10615306474866183</v>
      </c>
      <c r="W149" s="698">
        <f t="shared" si="81"/>
        <v>10.922817459951927</v>
      </c>
      <c r="X149" s="699">
        <f t="shared" si="82"/>
        <v>-100.87225424309328</v>
      </c>
      <c r="Y149" s="702">
        <f t="shared" si="83"/>
        <v>79.12774575690672</v>
      </c>
      <c r="AA149" s="174">
        <f t="shared" si="84"/>
        <v>1000000000</v>
      </c>
      <c r="AB149" s="174">
        <f t="shared" si="85"/>
        <v>71621522.702500015</v>
      </c>
      <c r="AD149" s="701">
        <f t="shared" si="86"/>
        <v>27.701748282677595</v>
      </c>
      <c r="AE149" s="702">
        <f t="shared" si="87"/>
        <v>-11.338916601306835</v>
      </c>
      <c r="AG149" s="701">
        <f t="shared" si="88"/>
        <v>8.680564123354479</v>
      </c>
      <c r="AH149" s="702">
        <f t="shared" si="89"/>
        <v>-77.369092442932171</v>
      </c>
      <c r="AJ149" s="174">
        <f t="shared" si="90"/>
        <v>0</v>
      </c>
      <c r="AK149" s="174">
        <f t="shared" si="68"/>
        <v>0</v>
      </c>
      <c r="AM149" s="174" t="str">
        <f t="shared" si="94"/>
        <v>0.01151865278536+0.151342744156207i</v>
      </c>
      <c r="AN149" s="174" t="str">
        <f t="shared" si="95"/>
        <v>0.1519265229561i</v>
      </c>
      <c r="AO149" s="174" t="str">
        <f t="shared" si="96"/>
        <v>0.996157492526425-0.0758172606154383i</v>
      </c>
      <c r="AP149" s="174" t="str">
        <f t="shared" si="97"/>
        <v>0.16474689120244-0.0252237906927012i</v>
      </c>
      <c r="AQ149" s="174" t="str">
        <f t="shared" si="98"/>
        <v>0.83525310879756+0.0252237906927012i</v>
      </c>
      <c r="AR149" s="174" t="str">
        <f t="shared" si="99"/>
        <v>0.996393794271075-0.0300900747922764i</v>
      </c>
    </row>
    <row r="150" spans="7:44" x14ac:dyDescent="0.2">
      <c r="G150" s="706">
        <v>8511.4</v>
      </c>
      <c r="H150" s="691">
        <f t="shared" si="91"/>
        <v>8.5114000000000001</v>
      </c>
      <c r="I150" s="692">
        <f t="shared" si="69"/>
        <v>8.364049045256774</v>
      </c>
      <c r="J150" s="693">
        <f t="shared" si="70"/>
        <v>1.4509503220494364</v>
      </c>
      <c r="K150" s="693">
        <f t="shared" si="71"/>
        <v>1.0000105761194689</v>
      </c>
      <c r="L150" s="694">
        <f t="shared" si="72"/>
        <v>4.5991360618379221E-3</v>
      </c>
      <c r="M150" s="693">
        <f t="shared" si="73"/>
        <v>1.0000589991408437</v>
      </c>
      <c r="N150" s="694">
        <f t="shared" si="74"/>
        <v>-1.08624343718015E-2</v>
      </c>
      <c r="O150" s="692">
        <f t="shared" si="75"/>
        <v>15401.866600840556</v>
      </c>
      <c r="P150" s="695">
        <f t="shared" si="76"/>
        <v>1.5707313995996015</v>
      </c>
      <c r="Q150" s="704">
        <f t="shared" si="100"/>
        <v>6.494889735160271</v>
      </c>
      <c r="R150" s="705">
        <f t="shared" si="101"/>
        <v>1.4162142204962025</v>
      </c>
      <c r="S150" s="692">
        <f t="shared" si="79"/>
        <v>1.0009147725438607</v>
      </c>
      <c r="T150" s="695">
        <f t="shared" si="80"/>
        <v>4.275688826618082E-2</v>
      </c>
      <c r="U150" s="696">
        <f t="shared" si="92"/>
        <v>0.9958472288341168</v>
      </c>
      <c r="V150" s="697">
        <f t="shared" si="93"/>
        <v>-0.10675853860334114</v>
      </c>
      <c r="W150" s="698">
        <f t="shared" si="81"/>
        <v>10.872310865706659</v>
      </c>
      <c r="X150" s="699">
        <f t="shared" si="82"/>
        <v>-100.9119755674937</v>
      </c>
      <c r="Y150" s="702">
        <f t="shared" si="83"/>
        <v>79.088024432506302</v>
      </c>
      <c r="AA150" s="174">
        <f t="shared" si="84"/>
        <v>1000000000</v>
      </c>
      <c r="AB150" s="174">
        <f t="shared" si="85"/>
        <v>72443929.959999993</v>
      </c>
      <c r="AD150" s="701">
        <f t="shared" si="86"/>
        <v>27.700476183810419</v>
      </c>
      <c r="AE150" s="702">
        <f t="shared" si="87"/>
        <v>-11.302971480571923</v>
      </c>
      <c r="AG150" s="701">
        <f t="shared" si="88"/>
        <v>8.6320688704536295</v>
      </c>
      <c r="AH150" s="702">
        <f t="shared" si="89"/>
        <v>-77.375376695030951</v>
      </c>
      <c r="AJ150" s="174">
        <f t="shared" si="90"/>
        <v>0</v>
      </c>
      <c r="AK150" s="174">
        <f t="shared" si="68"/>
        <v>0</v>
      </c>
      <c r="AM150" s="174" t="str">
        <f t="shared" si="94"/>
        <v>0.0116506604002961+0.15220244056134i</v>
      </c>
      <c r="AN150" s="174" t="str">
        <f t="shared" si="95"/>
        <v>0.1527962953212i</v>
      </c>
      <c r="AO150" s="174" t="str">
        <f t="shared" si="96"/>
        <v>0.996113421738324-0.0762496261823935i</v>
      </c>
      <c r="AP150" s="174" t="str">
        <f t="shared" si="97"/>
        <v>0.164724889933284-0.02536707342689i</v>
      </c>
      <c r="AQ150" s="174" t="str">
        <f t="shared" si="98"/>
        <v>0.835275110066716+0.02536707342689i</v>
      </c>
      <c r="AR150" s="174" t="str">
        <f t="shared" si="99"/>
        <v>0.996357254423073-0.0302590934744193i</v>
      </c>
    </row>
    <row r="151" spans="7:44" x14ac:dyDescent="0.2">
      <c r="G151" s="706">
        <v>8560.9500000000007</v>
      </c>
      <c r="H151" s="691">
        <f t="shared" si="91"/>
        <v>8.5609500000000001</v>
      </c>
      <c r="I151" s="692">
        <f t="shared" si="69"/>
        <v>8.4120471849956733</v>
      </c>
      <c r="J151" s="693">
        <f t="shared" si="70"/>
        <v>1.4516374135829786</v>
      </c>
      <c r="K151" s="693">
        <f t="shared" si="71"/>
        <v>1.0000106996172022</v>
      </c>
      <c r="L151" s="694">
        <f t="shared" si="72"/>
        <v>4.6259100297210906E-3</v>
      </c>
      <c r="M151" s="693">
        <f t="shared" si="73"/>
        <v>1.0000596880590931</v>
      </c>
      <c r="N151" s="694">
        <f t="shared" si="74"/>
        <v>-1.0925666145115644E-2</v>
      </c>
      <c r="O151" s="692">
        <f t="shared" si="75"/>
        <v>15491.530168157782</v>
      </c>
      <c r="P151" s="695">
        <f t="shared" si="76"/>
        <v>1.5707317753923018</v>
      </c>
      <c r="Q151" s="704">
        <f t="shared" si="100"/>
        <v>6.5318066077408901</v>
      </c>
      <c r="R151" s="705">
        <f t="shared" si="101"/>
        <v>1.417094863174537</v>
      </c>
      <c r="S151" s="692">
        <f t="shared" si="79"/>
        <v>1.0009254494951922</v>
      </c>
      <c r="T151" s="695">
        <f t="shared" si="80"/>
        <v>4.3005496030086902E-2</v>
      </c>
      <c r="U151" s="696">
        <f t="shared" si="92"/>
        <v>0.99580364339932803</v>
      </c>
      <c r="V151" s="697">
        <f t="shared" si="93"/>
        <v>-0.10737771945348179</v>
      </c>
      <c r="W151" s="698">
        <f t="shared" si="81"/>
        <v>10.820954033657291</v>
      </c>
      <c r="X151" s="699">
        <f t="shared" si="82"/>
        <v>-100.95271693863528</v>
      </c>
      <c r="Y151" s="702">
        <f t="shared" si="83"/>
        <v>79.047283061364723</v>
      </c>
      <c r="AA151" s="174">
        <f t="shared" si="84"/>
        <v>1000000000</v>
      </c>
      <c r="AB151" s="174">
        <f t="shared" si="85"/>
        <v>73289864.902500018</v>
      </c>
      <c r="AD151" s="701">
        <f t="shared" si="86"/>
        <v>27.699195046799154</v>
      </c>
      <c r="AE151" s="702">
        <f t="shared" si="87"/>
        <v>-11.266780078764606</v>
      </c>
      <c r="AG151" s="701">
        <f t="shared" si="88"/>
        <v>8.5827535060171201</v>
      </c>
      <c r="AH151" s="702">
        <f t="shared" si="89"/>
        <v>-77.381356568962062</v>
      </c>
      <c r="AJ151" s="174">
        <f t="shared" si="90"/>
        <v>0</v>
      </c>
      <c r="AK151" s="174">
        <f t="shared" si="68"/>
        <v>0</v>
      </c>
      <c r="AM151" s="174" t="str">
        <f t="shared" si="94"/>
        <v>0.0117864384373429+0.153081536259764i</v>
      </c>
      <c r="AN151" s="174" t="str">
        <f t="shared" si="95"/>
        <v>0.1536858148401i</v>
      </c>
      <c r="AO151" s="174" t="str">
        <f t="shared" si="96"/>
        <v>0.996068091378735-0.076691778285497i</v>
      </c>
      <c r="AP151" s="174" t="str">
        <f t="shared" si="97"/>
        <v>0.164702260260443-0.0255135893766273i</v>
      </c>
      <c r="AQ151" s="174" t="str">
        <f t="shared" si="98"/>
        <v>0.835297739739557+0.0255135893766273i</v>
      </c>
      <c r="AR151" s="174" t="str">
        <f t="shared" si="99"/>
        <v>0.996319675721925-0.0304318925873658i</v>
      </c>
    </row>
    <row r="152" spans="7:44" x14ac:dyDescent="0.2">
      <c r="G152" s="706">
        <v>8610.5</v>
      </c>
      <c r="H152" s="691">
        <f t="shared" si="91"/>
        <v>8.6105</v>
      </c>
      <c r="I152" s="692">
        <f t="shared" si="69"/>
        <v>8.4600492509548104</v>
      </c>
      <c r="J152" s="693">
        <f t="shared" si="70"/>
        <v>1.452316708360639</v>
      </c>
      <c r="K152" s="693">
        <f t="shared" si="71"/>
        <v>1.0000108238317884</v>
      </c>
      <c r="L152" s="694">
        <f t="shared" si="72"/>
        <v>4.6526839909720894E-3</v>
      </c>
      <c r="M152" s="693">
        <f t="shared" si="73"/>
        <v>1.0000603809758328</v>
      </c>
      <c r="N152" s="694">
        <f t="shared" si="74"/>
        <v>-1.0988897831059184E-2</v>
      </c>
      <c r="O152" s="692">
        <f t="shared" si="75"/>
        <v>15581.193735477167</v>
      </c>
      <c r="P152" s="695">
        <f t="shared" si="76"/>
        <v>1.5707321468599273</v>
      </c>
      <c r="Q152" s="704">
        <f t="shared" si="100"/>
        <v>6.5687284890026385</v>
      </c>
      <c r="R152" s="705">
        <f t="shared" si="101"/>
        <v>1.4179656065893256</v>
      </c>
      <c r="S152" s="692">
        <f t="shared" si="79"/>
        <v>1.00093618830822</v>
      </c>
      <c r="T152" s="695">
        <f t="shared" si="80"/>
        <v>4.3254098474847305E-2</v>
      </c>
      <c r="U152" s="696">
        <f t="shared" si="92"/>
        <v>0.99575981042654815</v>
      </c>
      <c r="V152" s="697">
        <f t="shared" si="93"/>
        <v>-0.10799686006226349</v>
      </c>
      <c r="W152" s="698">
        <f t="shared" si="81"/>
        <v>10.769893433275568</v>
      </c>
      <c r="X152" s="699">
        <f t="shared" si="82"/>
        <v>-100.99357591173349</v>
      </c>
      <c r="Y152" s="702">
        <f t="shared" si="83"/>
        <v>79.006424088266513</v>
      </c>
      <c r="AA152" s="174">
        <f t="shared" si="84"/>
        <v>1000000000</v>
      </c>
      <c r="AB152" s="174">
        <f t="shared" si="85"/>
        <v>74140710.25</v>
      </c>
      <c r="AD152" s="701">
        <f t="shared" si="86"/>
        <v>27.69793351563489</v>
      </c>
      <c r="AE152" s="702">
        <f t="shared" si="87"/>
        <v>-11.231155310406276</v>
      </c>
      <c r="AG152" s="701">
        <f t="shared" si="88"/>
        <v>8.5337191191669852</v>
      </c>
      <c r="AH152" s="702">
        <f t="shared" si="89"/>
        <v>-77.386892022720787</v>
      </c>
      <c r="AJ152" s="174">
        <f t="shared" si="90"/>
        <v>0</v>
      </c>
      <c r="AK152" s="174">
        <f t="shared" si="68"/>
        <v>0</v>
      </c>
      <c r="AM152" s="174" t="str">
        <f t="shared" si="94"/>
        <v>0.011922998393354+0.1539605108332i</v>
      </c>
      <c r="AN152" s="174" t="str">
        <f t="shared" si="95"/>
        <v>0.154575334359i</v>
      </c>
      <c r="AO152" s="174" t="str">
        <f t="shared" si="96"/>
        <v>0.996022499137074-0.077133900067542i</v>
      </c>
      <c r="AP152" s="174" t="str">
        <f t="shared" si="97"/>
        <v>0.164679500267774-0.0256600851388667i</v>
      </c>
      <c r="AQ152" s="174" t="str">
        <f t="shared" si="98"/>
        <v>0.835320499732226+0.0256600851388667i</v>
      </c>
      <c r="AR152" s="174" t="str">
        <f t="shared" si="99"/>
        <v>0.996281885524987-0.0306046338059187i</v>
      </c>
    </row>
    <row r="153" spans="7:44" x14ac:dyDescent="0.2">
      <c r="G153" s="706">
        <v>8660.0499999999993</v>
      </c>
      <c r="H153" s="691">
        <f t="shared" si="91"/>
        <v>8.66005</v>
      </c>
      <c r="I153" s="692">
        <f t="shared" si="69"/>
        <v>8.5080551766795107</v>
      </c>
      <c r="J153" s="693">
        <f t="shared" si="70"/>
        <v>1.4529883377275949</v>
      </c>
      <c r="K153" s="693">
        <f t="shared" si="71"/>
        <v>1.0000109487632274</v>
      </c>
      <c r="L153" s="694">
        <f t="shared" si="72"/>
        <v>4.6794579455525353E-3</v>
      </c>
      <c r="M153" s="693">
        <f t="shared" si="73"/>
        <v>1.0000610778910544</v>
      </c>
      <c r="N153" s="694">
        <f t="shared" si="74"/>
        <v>-1.1052129429126674E-2</v>
      </c>
      <c r="O153" s="692">
        <f t="shared" si="75"/>
        <v>15670.857302798677</v>
      </c>
      <c r="P153" s="695">
        <f t="shared" si="76"/>
        <v>1.5707325140767181</v>
      </c>
      <c r="Q153" s="704">
        <f t="shared" si="100"/>
        <v>6.6056552949584244</v>
      </c>
      <c r="R153" s="705">
        <f t="shared" si="101"/>
        <v>1.4188266154250004</v>
      </c>
      <c r="S153" s="692">
        <f t="shared" si="79"/>
        <v>1.000946988980953</v>
      </c>
      <c r="T153" s="695">
        <f t="shared" si="80"/>
        <v>4.3502695569904888E-2</v>
      </c>
      <c r="U153" s="696">
        <f t="shared" si="92"/>
        <v>0.99571573000945768</v>
      </c>
      <c r="V153" s="697">
        <f t="shared" si="93"/>
        <v>-0.10861596020388536</v>
      </c>
      <c r="W153" s="698">
        <f t="shared" si="81"/>
        <v>10.719125550551468</v>
      </c>
      <c r="X153" s="699">
        <f t="shared" si="82"/>
        <v>-101.03455056612826</v>
      </c>
      <c r="Y153" s="702">
        <f t="shared" si="83"/>
        <v>78.96544943387174</v>
      </c>
      <c r="AA153" s="174">
        <f t="shared" si="84"/>
        <v>1000000000</v>
      </c>
      <c r="AB153" s="174">
        <f t="shared" si="85"/>
        <v>74996466.002499983</v>
      </c>
      <c r="AD153" s="701">
        <f t="shared" si="86"/>
        <v>27.69669113949675</v>
      </c>
      <c r="AE153" s="702">
        <f t="shared" si="87"/>
        <v>-11.196087742276855</v>
      </c>
      <c r="AG153" s="701">
        <f t="shared" si="88"/>
        <v>8.4849626456529013</v>
      </c>
      <c r="AH153" s="702">
        <f t="shared" si="89"/>
        <v>-77.39199059474214</v>
      </c>
      <c r="AJ153" s="174">
        <f t="shared" si="90"/>
        <v>0</v>
      </c>
      <c r="AK153" s="174">
        <f t="shared" si="68"/>
        <v>0</v>
      </c>
      <c r="AM153" s="174" t="str">
        <f t="shared" si="94"/>
        <v>0.012060340160275+0.154839363586163i</v>
      </c>
      <c r="AN153" s="174" t="str">
        <f t="shared" si="95"/>
        <v>0.1554648538779i</v>
      </c>
      <c r="AO153" s="174" t="str">
        <f t="shared" si="96"/>
        <v>0.995976645034972-0.0775759913539496i</v>
      </c>
      <c r="AP153" s="174" t="str">
        <f t="shared" si="97"/>
        <v>0.164656609973287-0.0258065605976938i</v>
      </c>
      <c r="AQ153" s="174" t="str">
        <f t="shared" si="98"/>
        <v>0.835343390026713+0.0258065605976938i</v>
      </c>
      <c r="AR153" s="174" t="str">
        <f t="shared" si="99"/>
        <v>0.996243883945811-0.0307773168113622i</v>
      </c>
    </row>
    <row r="154" spans="7:44" x14ac:dyDescent="0.2">
      <c r="G154" s="706">
        <v>8709.6</v>
      </c>
      <c r="H154" s="691">
        <f t="shared" si="91"/>
        <v>8.7096</v>
      </c>
      <c r="I154" s="692">
        <f t="shared" si="69"/>
        <v>8.5560648972012601</v>
      </c>
      <c r="J154" s="693">
        <f t="shared" si="70"/>
        <v>1.4536524301090306</v>
      </c>
      <c r="K154" s="693">
        <f t="shared" si="71"/>
        <v>1.0000110744115185</v>
      </c>
      <c r="L154" s="694">
        <f t="shared" si="72"/>
        <v>4.7062318934240456E-3</v>
      </c>
      <c r="M154" s="693">
        <f t="shared" si="73"/>
        <v>1.0000617788047497</v>
      </c>
      <c r="N154" s="694">
        <f t="shared" si="74"/>
        <v>-1.1115360938812671E-2</v>
      </c>
      <c r="O154" s="692">
        <f t="shared" si="75"/>
        <v>15760.52087012228</v>
      </c>
      <c r="P154" s="695">
        <f t="shared" si="76"/>
        <v>1.5707328771152247</v>
      </c>
      <c r="Q154" s="704">
        <f t="shared" si="100"/>
        <v>6.6425869434776486</v>
      </c>
      <c r="R154" s="705">
        <f t="shared" si="101"/>
        <v>1.4196780507619937</v>
      </c>
      <c r="S154" s="692">
        <f t="shared" si="79"/>
        <v>1.0009578515113891</v>
      </c>
      <c r="T154" s="695">
        <f t="shared" si="80"/>
        <v>4.375128728470648E-2</v>
      </c>
      <c r="U154" s="696">
        <f t="shared" si="92"/>
        <v>0.99567140224224315</v>
      </c>
      <c r="V154" s="697">
        <f t="shared" si="93"/>
        <v>-0.10923501965268616</v>
      </c>
      <c r="W154" s="698">
        <f t="shared" si="81"/>
        <v>10.668646933421712</v>
      </c>
      <c r="X154" s="699">
        <f t="shared" si="82"/>
        <v>-101.0756390202618</v>
      </c>
      <c r="Y154" s="702">
        <f t="shared" si="83"/>
        <v>78.924360979738196</v>
      </c>
      <c r="AA154" s="174">
        <f t="shared" si="84"/>
        <v>1000000000</v>
      </c>
      <c r="AB154" s="174">
        <f t="shared" si="85"/>
        <v>75857132.160000011</v>
      </c>
      <c r="AD154" s="701">
        <f t="shared" si="86"/>
        <v>27.69546748006168</v>
      </c>
      <c r="AE154" s="702">
        <f t="shared" si="87"/>
        <v>-11.161568147553679</v>
      </c>
      <c r="AG154" s="701">
        <f t="shared" si="88"/>
        <v>8.4364810706677016</v>
      </c>
      <c r="AH154" s="702">
        <f t="shared" si="89"/>
        <v>-77.396659656149865</v>
      </c>
      <c r="AJ154" s="174">
        <f t="shared" si="90"/>
        <v>0</v>
      </c>
      <c r="AK154" s="174">
        <f t="shared" ref="AK154:AK217" si="102">IF(AJ154&gt;0,Y154,0)</f>
        <v>0</v>
      </c>
      <c r="AM154" s="174" t="str">
        <f t="shared" si="94"/>
        <v>0.012198463629435+0.155718093823265i</v>
      </c>
      <c r="AN154" s="174" t="str">
        <f t="shared" si="95"/>
        <v>0.1563543733968i</v>
      </c>
      <c r="AO154" s="174" t="str">
        <f t="shared" si="96"/>
        <v>0.995930529094186-0.0780180519701706i</v>
      </c>
      <c r="AP154" s="174" t="str">
        <f t="shared" si="97"/>
        <v>0.164633589395094-0.0259530156372108i</v>
      </c>
      <c r="AQ154" s="174" t="str">
        <f t="shared" si="98"/>
        <v>0.835366410604906+0.0259530156372108i</v>
      </c>
      <c r="AR154" s="174" t="str">
        <f t="shared" si="99"/>
        <v>0.996205671098557-0.0309499412852584i</v>
      </c>
    </row>
    <row r="155" spans="7:44" x14ac:dyDescent="0.2">
      <c r="G155" s="706">
        <v>8760.3250000000007</v>
      </c>
      <c r="H155" s="691">
        <f t="shared" si="91"/>
        <v>8.7603249999999999</v>
      </c>
      <c r="I155" s="692">
        <f t="shared" si="69"/>
        <v>8.6052169569607333</v>
      </c>
      <c r="J155" s="693">
        <f t="shared" si="70"/>
        <v>1.4543245942953409</v>
      </c>
      <c r="K155" s="693">
        <f t="shared" si="71"/>
        <v>1.0000112037819127</v>
      </c>
      <c r="L155" s="694">
        <f t="shared" si="72"/>
        <v>4.7336407361980304E-3</v>
      </c>
      <c r="M155" s="693">
        <f t="shared" si="73"/>
        <v>1.0000625004813215</v>
      </c>
      <c r="N155" s="694">
        <f t="shared" si="74"/>
        <v>-1.1180091791817063E-2</v>
      </c>
      <c r="O155" s="692">
        <f t="shared" si="75"/>
        <v>15852.310667349226</v>
      </c>
      <c r="P155" s="695">
        <f t="shared" si="76"/>
        <v>1.5707332445085569</v>
      </c>
      <c r="Q155" s="704">
        <f t="shared" si="100"/>
        <v>6.6803993000428399</v>
      </c>
      <c r="R155" s="705">
        <f t="shared" si="101"/>
        <v>1.4205399243142729</v>
      </c>
      <c r="S155" s="692">
        <f t="shared" si="79"/>
        <v>1.0009690357028591</v>
      </c>
      <c r="T155" s="695">
        <f t="shared" si="80"/>
        <v>4.4005768354405651E-2</v>
      </c>
      <c r="U155" s="696">
        <f t="shared" si="92"/>
        <v>0.9956257671929668</v>
      </c>
      <c r="V155" s="697">
        <f t="shared" si="93"/>
        <v>-0.10986871673150601</v>
      </c>
      <c r="W155" s="698">
        <f t="shared" si="81"/>
        <v>10.617267391180649</v>
      </c>
      <c r="X155" s="699">
        <f t="shared" si="82"/>
        <v>-101.11781777742827</v>
      </c>
      <c r="Y155" s="702">
        <f t="shared" si="83"/>
        <v>78.882182222571728</v>
      </c>
      <c r="AA155" s="174">
        <f t="shared" si="84"/>
        <v>1000000000</v>
      </c>
      <c r="AB155" s="174">
        <f t="shared" si="85"/>
        <v>76743294.105625018</v>
      </c>
      <c r="AD155" s="701">
        <f t="shared" si="86"/>
        <v>27.694233746261183</v>
      </c>
      <c r="AE155" s="702">
        <f t="shared" si="87"/>
        <v>-11.126788171841484</v>
      </c>
      <c r="AG155" s="701">
        <f t="shared" si="88"/>
        <v>8.3871314889436643</v>
      </c>
      <c r="AH155" s="702">
        <f t="shared" si="89"/>
        <v>-77.401002052733247</v>
      </c>
      <c r="AJ155" s="174">
        <f t="shared" si="90"/>
        <v>0</v>
      </c>
      <c r="AK155" s="174">
        <f t="shared" si="102"/>
        <v>0</v>
      </c>
      <c r="AM155" s="174" t="str">
        <f t="shared" si="94"/>
        <v>0.01234067209171+0.156617534126116i</v>
      </c>
      <c r="AN155" s="174" t="str">
        <f t="shared" si="95"/>
        <v>0.15726498646635i</v>
      </c>
      <c r="AO155" s="174" t="str">
        <f t="shared" si="96"/>
        <v>0.995883048383611-0.0784705634038288i</v>
      </c>
      <c r="AP155" s="174" t="str">
        <f t="shared" si="97"/>
        <v>0.164609887984715-0.0261029223543527i</v>
      </c>
      <c r="AQ155" s="174" t="str">
        <f t="shared" si="98"/>
        <v>0.835390112015285+0.0261029223543527i</v>
      </c>
      <c r="AR155" s="174" t="str">
        <f t="shared" si="99"/>
        <v>0.996166333371484-0.0311265983137951i</v>
      </c>
    </row>
    <row r="156" spans="7:44" x14ac:dyDescent="0.2">
      <c r="G156" s="706">
        <v>8811.0499999999993</v>
      </c>
      <c r="H156" s="691">
        <f t="shared" si="91"/>
        <v>8.8110499999999998</v>
      </c>
      <c r="I156" s="692">
        <f t="shared" si="69"/>
        <v>8.6543728604346004</v>
      </c>
      <c r="J156" s="693">
        <f t="shared" si="70"/>
        <v>1.4549891231390375</v>
      </c>
      <c r="K156" s="693">
        <f t="shared" si="71"/>
        <v>1.0000113339035597</v>
      </c>
      <c r="L156" s="694">
        <f t="shared" si="72"/>
        <v>4.7610495718597191E-3</v>
      </c>
      <c r="M156" s="693">
        <f t="shared" si="73"/>
        <v>1.0000632263482327</v>
      </c>
      <c r="N156" s="694">
        <f t="shared" si="74"/>
        <v>-1.1244822551126655E-2</v>
      </c>
      <c r="O156" s="692">
        <f t="shared" si="75"/>
        <v>15944.10046457828</v>
      </c>
      <c r="P156" s="695">
        <f t="shared" si="76"/>
        <v>1.5707336076717402</v>
      </c>
      <c r="Q156" s="704">
        <f t="shared" si="100"/>
        <v>6.7182165631205306</v>
      </c>
      <c r="R156" s="705">
        <f t="shared" si="101"/>
        <v>1.4213920954129031</v>
      </c>
      <c r="S156" s="692">
        <f t="shared" si="79"/>
        <v>1.0009802847162483</v>
      </c>
      <c r="T156" s="695">
        <f t="shared" si="80"/>
        <v>4.4260243720869528E-2</v>
      </c>
      <c r="U156" s="696">
        <f t="shared" si="92"/>
        <v>0.99557987312483398</v>
      </c>
      <c r="V156" s="697">
        <f t="shared" si="93"/>
        <v>-0.11050237068648999</v>
      </c>
      <c r="W156" s="698">
        <f t="shared" si="81"/>
        <v>10.566183867580035</v>
      </c>
      <c r="X156" s="699">
        <f t="shared" si="82"/>
        <v>-101.16011192641737</v>
      </c>
      <c r="Y156" s="702">
        <f t="shared" si="83"/>
        <v>78.839888073582628</v>
      </c>
      <c r="AA156" s="174">
        <f t="shared" si="84"/>
        <v>1000000000</v>
      </c>
      <c r="AB156" s="174">
        <f t="shared" si="85"/>
        <v>77634602.102499992</v>
      </c>
      <c r="AD156" s="701">
        <f t="shared" si="86"/>
        <v>27.693018736120329</v>
      </c>
      <c r="AE156" s="702">
        <f t="shared" si="87"/>
        <v>-11.092563536633934</v>
      </c>
      <c r="AG156" s="701">
        <f t="shared" si="88"/>
        <v>8.3380637582917494</v>
      </c>
      <c r="AH156" s="702">
        <f t="shared" si="89"/>
        <v>-77.404909442262209</v>
      </c>
      <c r="AJ156" s="174">
        <f t="shared" si="90"/>
        <v>0</v>
      </c>
      <c r="AK156" s="174">
        <f t="shared" si="102"/>
        <v>0</v>
      </c>
      <c r="AM156" s="174" t="str">
        <f t="shared" si="94"/>
        <v>0.012483699537006+0.157516844559186i</v>
      </c>
      <c r="AN156" s="174" t="str">
        <f t="shared" si="95"/>
        <v>0.1581755995359i</v>
      </c>
      <c r="AO156" s="174" t="str">
        <f t="shared" si="96"/>
        <v>0.995835293315487-0.0789230423253282i</v>
      </c>
      <c r="AP156" s="174" t="str">
        <f t="shared" si="97"/>
        <v>0.164586050077166-0.026252807426531i</v>
      </c>
      <c r="AQ156" s="174" t="str">
        <f t="shared" si="98"/>
        <v>0.835413949922834+0.026252807426531i</v>
      </c>
      <c r="AR156" s="174" t="str">
        <f t="shared" si="99"/>
        <v>0.996126774481808-0.0313031933274491i</v>
      </c>
    </row>
    <row r="157" spans="7:44" x14ac:dyDescent="0.2">
      <c r="G157" s="706">
        <v>8861.7749999999996</v>
      </c>
      <c r="H157" s="691">
        <f t="shared" si="91"/>
        <v>8.8617749999999997</v>
      </c>
      <c r="I157" s="692">
        <f t="shared" si="69"/>
        <v>8.7035325424971539</v>
      </c>
      <c r="J157" s="693">
        <f t="shared" si="70"/>
        <v>1.4556461454270326</v>
      </c>
      <c r="K157" s="693">
        <f t="shared" si="71"/>
        <v>1.0000114647764591</v>
      </c>
      <c r="L157" s="694">
        <f t="shared" si="72"/>
        <v>4.7884584003679339E-3</v>
      </c>
      <c r="M157" s="693">
        <f t="shared" si="73"/>
        <v>1.0000639564054739</v>
      </c>
      <c r="N157" s="694">
        <f t="shared" si="74"/>
        <v>-1.1309553216199199E-2</v>
      </c>
      <c r="O157" s="692">
        <f t="shared" si="75"/>
        <v>16035.890261809418</v>
      </c>
      <c r="P157" s="695">
        <f t="shared" si="76"/>
        <v>1.5707339666774149</v>
      </c>
      <c r="Q157" s="704">
        <f t="shared" si="100"/>
        <v>6.7560386503173833</v>
      </c>
      <c r="R157" s="705">
        <f t="shared" si="101"/>
        <v>1.4222347257603769</v>
      </c>
      <c r="S157" s="692">
        <f t="shared" si="79"/>
        <v>1.0009915985493714</v>
      </c>
      <c r="T157" s="695">
        <f t="shared" si="80"/>
        <v>4.4514713351332461E-2</v>
      </c>
      <c r="U157" s="696">
        <f t="shared" si="92"/>
        <v>0.99553372014053443</v>
      </c>
      <c r="V157" s="697">
        <f t="shared" si="93"/>
        <v>-0.11113598127594222</v>
      </c>
      <c r="W157" s="698">
        <f t="shared" si="81"/>
        <v>10.515392851483991</v>
      </c>
      <c r="X157" s="699">
        <f t="shared" si="82"/>
        <v>-101.20251956971309</v>
      </c>
      <c r="Y157" s="702">
        <f t="shared" si="83"/>
        <v>78.79748043028691</v>
      </c>
      <c r="AA157" s="174">
        <f t="shared" si="84"/>
        <v>1000000000</v>
      </c>
      <c r="AB157" s="174">
        <f t="shared" si="85"/>
        <v>78531056.15062499</v>
      </c>
      <c r="AD157" s="701">
        <f t="shared" si="86"/>
        <v>27.691822017449997</v>
      </c>
      <c r="AE157" s="702">
        <f t="shared" si="87"/>
        <v>-11.058884979345324</v>
      </c>
      <c r="AG157" s="701">
        <f t="shared" si="88"/>
        <v>8.2892747986017028</v>
      </c>
      <c r="AH157" s="702">
        <f t="shared" si="89"/>
        <v>-77.40838921750273</v>
      </c>
      <c r="AJ157" s="174">
        <f t="shared" si="90"/>
        <v>0</v>
      </c>
      <c r="AK157" s="174">
        <f t="shared" si="102"/>
        <v>0</v>
      </c>
      <c r="AM157" s="174" t="str">
        <f t="shared" si="94"/>
        <v>0.012627545846723+0.158416024376751i</v>
      </c>
      <c r="AN157" s="174" t="str">
        <f t="shared" si="95"/>
        <v>0.15908621260545i</v>
      </c>
      <c r="AO157" s="174" t="str">
        <f t="shared" si="96"/>
        <v>0.995787263913554-0.079375488547462i</v>
      </c>
      <c r="AP157" s="174" t="str">
        <f t="shared" si="97"/>
        <v>0.164562075692213-0.0264026707294585i</v>
      </c>
      <c r="AQ157" s="174" t="str">
        <f t="shared" si="98"/>
        <v>0.835437924307787+0.0264026707294585i</v>
      </c>
      <c r="AR157" s="174" t="str">
        <f t="shared" si="99"/>
        <v>0.996086994553971-0.0314797259855005i</v>
      </c>
    </row>
    <row r="158" spans="7:44" x14ac:dyDescent="0.2">
      <c r="G158" s="703">
        <v>8912.5</v>
      </c>
      <c r="H158" s="691">
        <f t="shared" si="91"/>
        <v>8.9124999999999996</v>
      </c>
      <c r="I158" s="692">
        <f t="shared" si="69"/>
        <v>8.7526959394808443</v>
      </c>
      <c r="J158" s="693">
        <f t="shared" si="70"/>
        <v>1.4562957870789421</v>
      </c>
      <c r="K158" s="693">
        <f t="shared" si="71"/>
        <v>1.0000115964006111</v>
      </c>
      <c r="L158" s="694">
        <f t="shared" si="72"/>
        <v>4.8158672216814958E-3</v>
      </c>
      <c r="M158" s="693">
        <f t="shared" si="73"/>
        <v>1.0000646906530359</v>
      </c>
      <c r="N158" s="694">
        <f t="shared" si="74"/>
        <v>-1.137428378649245E-2</v>
      </c>
      <c r="O158" s="692">
        <f t="shared" si="75"/>
        <v>16127.680059042599</v>
      </c>
      <c r="P158" s="695">
        <f t="shared" si="76"/>
        <v>1.5707343215965681</v>
      </c>
      <c r="Q158" s="704">
        <f t="shared" ref="Q158:Q214" si="103">SQRT(1+(G158/Zero2)^2)</f>
        <v>6.7938654810644188</v>
      </c>
      <c r="R158" s="705">
        <f t="shared" ref="R158:R214" si="104">ATAN(G158/Zero2)</f>
        <v>1.4230679735127691</v>
      </c>
      <c r="S158" s="692">
        <f t="shared" si="79"/>
        <v>1.0010029772000304</v>
      </c>
      <c r="T158" s="695">
        <f t="shared" si="80"/>
        <v>4.4769177213033244E-2</v>
      </c>
      <c r="U158" s="696">
        <f t="shared" si="92"/>
        <v>0.99548730834332289</v>
      </c>
      <c r="V158" s="697">
        <f t="shared" si="93"/>
        <v>-0.11176954825829488</v>
      </c>
      <c r="W158" s="698">
        <f t="shared" si="81"/>
        <v>10.464890893617573</v>
      </c>
      <c r="X158" s="699">
        <f t="shared" si="82"/>
        <v>-101.24503884862297</v>
      </c>
      <c r="Y158" s="702">
        <f t="shared" si="83"/>
        <v>78.754961151377032</v>
      </c>
      <c r="AA158" s="174">
        <f t="shared" si="84"/>
        <v>1000000000</v>
      </c>
      <c r="AB158" s="174">
        <f t="shared" si="85"/>
        <v>79432656.25</v>
      </c>
      <c r="AD158" s="701">
        <f t="shared" si="86"/>
        <v>27.690643170059587</v>
      </c>
      <c r="AE158" s="702">
        <f t="shared" si="87"/>
        <v>-11.025743440490219</v>
      </c>
      <c r="AG158" s="701">
        <f t="shared" si="88"/>
        <v>8.2407615796191394</v>
      </c>
      <c r="AH158" s="702">
        <f t="shared" si="89"/>
        <v>-77.411448606929497</v>
      </c>
      <c r="AJ158" s="174">
        <f t="shared" si="90"/>
        <v>0</v>
      </c>
      <c r="AK158" s="174">
        <f t="shared" si="102"/>
        <v>0</v>
      </c>
      <c r="AM158" s="174" t="str">
        <f t="shared" si="94"/>
        <v>0.012772210901581+0.159315072833197i</v>
      </c>
      <c r="AN158" s="174" t="str">
        <f t="shared" si="95"/>
        <v>0.159996825675i</v>
      </c>
      <c r="AO158" s="174" t="str">
        <f t="shared" si="96"/>
        <v>0.995738960201699-0.0798279018830353i</v>
      </c>
      <c r="AP158" s="174" t="str">
        <f t="shared" si="97"/>
        <v>0.164537964849737-0.0265525121388662i</v>
      </c>
      <c r="AQ158" s="174" t="str">
        <f t="shared" si="98"/>
        <v>0.835462035150263+0.0265525121388662i</v>
      </c>
      <c r="AR158" s="174" t="str">
        <f t="shared" si="99"/>
        <v>0.996046993713082-0.0316561959475406i</v>
      </c>
    </row>
    <row r="159" spans="7:44" x14ac:dyDescent="0.2">
      <c r="G159" s="703">
        <v>8964.4</v>
      </c>
      <c r="H159" s="691">
        <f t="shared" si="91"/>
        <v>8.9643999999999995</v>
      </c>
      <c r="I159" s="692">
        <f t="shared" si="69"/>
        <v>8.8030019433830216</v>
      </c>
      <c r="J159" s="693">
        <f t="shared" si="70"/>
        <v>1.4569529664533221</v>
      </c>
      <c r="K159" s="693">
        <f t="shared" si="71"/>
        <v>1.0000117318512773</v>
      </c>
      <c r="L159" s="694">
        <f t="shared" si="72"/>
        <v>4.8439109367385269E-3</v>
      </c>
      <c r="M159" s="693">
        <f t="shared" si="73"/>
        <v>1.0000654462458298</v>
      </c>
      <c r="N159" s="694">
        <f t="shared" si="74"/>
        <v>-1.1440513684836734E-2</v>
      </c>
      <c r="O159" s="692">
        <f t="shared" si="75"/>
        <v>16221.596086179268</v>
      </c>
      <c r="P159" s="695">
        <f t="shared" si="76"/>
        <v>1.5707346805798559</v>
      </c>
      <c r="Q159" s="704">
        <f t="shared" si="103"/>
        <v>6.8325733645381579</v>
      </c>
      <c r="R159" s="705">
        <f t="shared" si="104"/>
        <v>1.4239109729331549</v>
      </c>
      <c r="S159" s="692">
        <f t="shared" si="79"/>
        <v>1.0010146865119034</v>
      </c>
      <c r="T159" s="695">
        <f t="shared" si="80"/>
        <v>4.5029529501309597E-2</v>
      </c>
      <c r="U159" s="696">
        <f t="shared" si="92"/>
        <v>0.99543955369082715</v>
      </c>
      <c r="V159" s="697">
        <f t="shared" si="93"/>
        <v>-0.11241774587662202</v>
      </c>
      <c r="W159" s="698">
        <f t="shared" si="81"/>
        <v>10.413514747528419</v>
      </c>
      <c r="X159" s="699">
        <f t="shared" si="82"/>
        <v>-101.28865669477851</v>
      </c>
      <c r="Y159" s="702">
        <f t="shared" si="83"/>
        <v>78.71134330522149</v>
      </c>
      <c r="AA159" s="174">
        <f t="shared" si="84"/>
        <v>1000000000</v>
      </c>
      <c r="AB159" s="174">
        <f t="shared" si="85"/>
        <v>80360467.359999999</v>
      </c>
      <c r="AD159" s="701">
        <f t="shared" si="86"/>
        <v>27.689455086648017</v>
      </c>
      <c r="AE159" s="702">
        <f t="shared" si="87"/>
        <v>-10.992380787064137</v>
      </c>
      <c r="AG159" s="701">
        <f t="shared" si="88"/>
        <v>8.191406880837075</v>
      </c>
      <c r="AH159" s="702">
        <f t="shared" si="89"/>
        <v>-77.4141511307851</v>
      </c>
      <c r="AJ159" s="174">
        <f t="shared" si="90"/>
        <v>0</v>
      </c>
      <c r="AK159" s="174">
        <f t="shared" si="102"/>
        <v>0</v>
      </c>
      <c r="AM159" s="174" t="str">
        <f t="shared" si="94"/>
        <v>0.012921074283111+0.16023481021798i</v>
      </c>
      <c r="AN159" s="174" t="str">
        <f t="shared" si="95"/>
        <v>0.1609285322952i</v>
      </c>
      <c r="AO159" s="174" t="str">
        <f t="shared" si="96"/>
        <v>0.995689253687174-0.0802907607422229i</v>
      </c>
      <c r="AP159" s="174" t="str">
        <f t="shared" si="97"/>
        <v>0.164513154286148-0.0267058017029967i</v>
      </c>
      <c r="AQ159" s="174" t="str">
        <f t="shared" si="98"/>
        <v>0.835486845713852+0.0267058017029967i</v>
      </c>
      <c r="AR159" s="174" t="str">
        <f t="shared" si="99"/>
        <v>0.996005837770879-0.0318366884350041i</v>
      </c>
    </row>
    <row r="160" spans="7:44" x14ac:dyDescent="0.2">
      <c r="G160" s="703">
        <v>9016.2999999999993</v>
      </c>
      <c r="H160" s="691">
        <f t="shared" si="91"/>
        <v>9.0162999999999993</v>
      </c>
      <c r="I160" s="692">
        <f t="shared" si="69"/>
        <v>8.8533117059605022</v>
      </c>
      <c r="J160" s="693">
        <f t="shared" si="70"/>
        <v>1.4576026771405008</v>
      </c>
      <c r="K160" s="693">
        <f t="shared" si="71"/>
        <v>1.0000118680884025</v>
      </c>
      <c r="L160" s="694">
        <f t="shared" si="72"/>
        <v>4.8719546441765146E-3</v>
      </c>
      <c r="M160" s="693">
        <f t="shared" si="73"/>
        <v>1.0000662062253034</v>
      </c>
      <c r="N160" s="694">
        <f t="shared" si="74"/>
        <v>-1.1506743482811466E-2</v>
      </c>
      <c r="O160" s="692">
        <f t="shared" si="75"/>
        <v>16315.512113318002</v>
      </c>
      <c r="P160" s="695">
        <f t="shared" si="76"/>
        <v>1.5707350354303546</v>
      </c>
      <c r="Q160" s="704">
        <f t="shared" si="103"/>
        <v>6.8712860488592415</v>
      </c>
      <c r="R160" s="705">
        <f t="shared" si="104"/>
        <v>1.4247444740575141</v>
      </c>
      <c r="S160" s="692">
        <f t="shared" si="79"/>
        <v>1.0010264636742794</v>
      </c>
      <c r="T160" s="695">
        <f t="shared" si="80"/>
        <v>4.5289875681098643E-2</v>
      </c>
      <c r="U160" s="696">
        <f t="shared" si="92"/>
        <v>0.995391528316664</v>
      </c>
      <c r="V160" s="697">
        <f t="shared" si="93"/>
        <v>-0.11306589733302318</v>
      </c>
      <c r="W160" s="698">
        <f t="shared" si="81"/>
        <v>10.362434092944028</v>
      </c>
      <c r="X160" s="699">
        <f t="shared" si="82"/>
        <v>-101.33238759197428</v>
      </c>
      <c r="Y160" s="702">
        <f t="shared" si="83"/>
        <v>78.667612408025718</v>
      </c>
      <c r="AA160" s="174">
        <f t="shared" si="84"/>
        <v>1000000000</v>
      </c>
      <c r="AB160" s="174">
        <f t="shared" si="85"/>
        <v>81293665.689999983</v>
      </c>
      <c r="AD160" s="701">
        <f t="shared" si="86"/>
        <v>27.688284858869451</v>
      </c>
      <c r="AE160" s="702">
        <f t="shared" si="87"/>
        <v>-10.959561759131644</v>
      </c>
      <c r="AG160" s="701">
        <f t="shared" si="88"/>
        <v>8.1423345825970745</v>
      </c>
      <c r="AH160" s="702">
        <f t="shared" si="89"/>
        <v>-77.416428369954403</v>
      </c>
      <c r="AJ160" s="174">
        <f t="shared" si="90"/>
        <v>0</v>
      </c>
      <c r="AK160" s="174">
        <f t="shared" si="102"/>
        <v>0</v>
      </c>
      <c r="AM160" s="174" t="str">
        <f t="shared" si="94"/>
        <v>0.013070794525315+0.161154408506583i</v>
      </c>
      <c r="AN160" s="174" t="str">
        <f t="shared" si="95"/>
        <v>0.1618602389154i</v>
      </c>
      <c r="AO160" s="174" t="str">
        <f t="shared" si="96"/>
        <v>0.995639260058266-0.0807535847772148i</v>
      </c>
      <c r="AP160" s="174" t="str">
        <f t="shared" si="97"/>
        <v>0.164488200912448-0.0268590680844305i</v>
      </c>
      <c r="AQ160" s="174" t="str">
        <f t="shared" si="98"/>
        <v>0.835511799087552+0.0268590680844305i</v>
      </c>
      <c r="AR160" s="174" t="str">
        <f t="shared" si="99"/>
        <v>0.995964450829671-0.0320171145682449i</v>
      </c>
    </row>
    <row r="161" spans="7:44" x14ac:dyDescent="0.2">
      <c r="G161" s="703">
        <v>9068.2000000000007</v>
      </c>
      <c r="H161" s="691">
        <f t="shared" si="91"/>
        <v>9.0682000000000009</v>
      </c>
      <c r="I161" s="692">
        <f t="shared" si="69"/>
        <v>8.9036251634983188</v>
      </c>
      <c r="J161" s="693">
        <f t="shared" si="70"/>
        <v>1.4582450452015774</v>
      </c>
      <c r="K161" s="693">
        <f t="shared" si="71"/>
        <v>1.0000120051119863</v>
      </c>
      <c r="L161" s="694">
        <f t="shared" si="72"/>
        <v>4.8999983439513509E-3</v>
      </c>
      <c r="M161" s="693">
        <f t="shared" si="73"/>
        <v>1.0000669705914471</v>
      </c>
      <c r="N161" s="694">
        <f t="shared" si="74"/>
        <v>-1.1572973179835857E-2</v>
      </c>
      <c r="O161" s="692">
        <f t="shared" si="75"/>
        <v>16409.428140458771</v>
      </c>
      <c r="P161" s="695">
        <f t="shared" si="76"/>
        <v>1.5707353862190241</v>
      </c>
      <c r="Q161" s="704">
        <f t="shared" si="103"/>
        <v>6.910003453338704</v>
      </c>
      <c r="R161" s="705">
        <f t="shared" si="104"/>
        <v>1.425568635377457</v>
      </c>
      <c r="S161" s="692">
        <f t="shared" si="79"/>
        <v>1.0010383086847632</v>
      </c>
      <c r="T161" s="695">
        <f t="shared" si="80"/>
        <v>4.5550215717324011E-2</v>
      </c>
      <c r="U161" s="696">
        <f t="shared" si="92"/>
        <v>0.99534323233322952</v>
      </c>
      <c r="V161" s="697">
        <f t="shared" si="93"/>
        <v>-0.11371400236920007</v>
      </c>
      <c r="W161" s="698">
        <f t="shared" si="81"/>
        <v>10.311645427052799</v>
      </c>
      <c r="X161" s="699">
        <f t="shared" si="82"/>
        <v>-101.37622966930468</v>
      </c>
      <c r="Y161" s="702">
        <f t="shared" si="83"/>
        <v>78.623770330695322</v>
      </c>
      <c r="AA161" s="174">
        <f t="shared" si="84"/>
        <v>1000000000</v>
      </c>
      <c r="AB161" s="174">
        <f t="shared" si="85"/>
        <v>82232251.24000001</v>
      </c>
      <c r="AD161" s="701">
        <f t="shared" si="86"/>
        <v>27.687132073120708</v>
      </c>
      <c r="AE161" s="702">
        <f t="shared" si="87"/>
        <v>-10.927277277848349</v>
      </c>
      <c r="AG161" s="701">
        <f t="shared" si="88"/>
        <v>8.0935415944167879</v>
      </c>
      <c r="AH161" s="702">
        <f t="shared" si="89"/>
        <v>-77.418287561975006</v>
      </c>
      <c r="AJ161" s="174">
        <f t="shared" si="90"/>
        <v>0</v>
      </c>
      <c r="AK161" s="174">
        <f t="shared" si="102"/>
        <v>0</v>
      </c>
      <c r="AM161" s="174" t="str">
        <f t="shared" si="94"/>
        <v>0.013221371498224+0.162073866900725i</v>
      </c>
      <c r="AN161" s="174" t="str">
        <f t="shared" si="95"/>
        <v>0.1627919455356i</v>
      </c>
      <c r="AO161" s="174" t="str">
        <f t="shared" si="96"/>
        <v>0.995588979341008-0.0812163737875637i</v>
      </c>
      <c r="AP161" s="174" t="str">
        <f t="shared" si="97"/>
        <v>0.164463104750296-0.0270123111501208i</v>
      </c>
      <c r="AQ161" s="174" t="str">
        <f t="shared" si="98"/>
        <v>0.835536895249704+0.0270123111501208i</v>
      </c>
      <c r="AR161" s="174" t="str">
        <f t="shared" si="99"/>
        <v>0.995922833025607-0.0321974739836685i</v>
      </c>
    </row>
    <row r="162" spans="7:44" x14ac:dyDescent="0.2">
      <c r="G162" s="703">
        <v>9120.1</v>
      </c>
      <c r="H162" s="691">
        <f t="shared" si="91"/>
        <v>9.1201000000000008</v>
      </c>
      <c r="I162" s="692">
        <f t="shared" si="69"/>
        <v>8.9539422537089646</v>
      </c>
      <c r="J162" s="693">
        <f t="shared" si="70"/>
        <v>1.4588801938885778</v>
      </c>
      <c r="K162" s="693">
        <f t="shared" si="71"/>
        <v>1.0000121429220286</v>
      </c>
      <c r="L162" s="694">
        <f t="shared" si="72"/>
        <v>4.9280420360189288E-3</v>
      </c>
      <c r="M162" s="693">
        <f t="shared" si="73"/>
        <v>1.0000677393442505</v>
      </c>
      <c r="N162" s="694">
        <f t="shared" si="74"/>
        <v>-1.1639202775329122E-2</v>
      </c>
      <c r="O162" s="692">
        <f t="shared" si="75"/>
        <v>16503.344167601528</v>
      </c>
      <c r="P162" s="695">
        <f t="shared" si="76"/>
        <v>1.5707357330152083</v>
      </c>
      <c r="Q162" s="704">
        <f t="shared" si="103"/>
        <v>6.948725499076196</v>
      </c>
      <c r="R162" s="705">
        <f t="shared" si="104"/>
        <v>1.4263836119031921</v>
      </c>
      <c r="S162" s="692">
        <f t="shared" si="79"/>
        <v>1.0010502215409467</v>
      </c>
      <c r="T162" s="695">
        <f t="shared" si="80"/>
        <v>4.5810549574914303E-2</v>
      </c>
      <c r="U162" s="696">
        <f t="shared" si="92"/>
        <v>0.99529466585351734</v>
      </c>
      <c r="V162" s="697">
        <f t="shared" si="93"/>
        <v>-0.11436206072701409</v>
      </c>
      <c r="W162" s="698">
        <f t="shared" si="81"/>
        <v>10.261145308690448</v>
      </c>
      <c r="X162" s="699">
        <f t="shared" si="82"/>
        <v>-101.42018109430256</v>
      </c>
      <c r="Y162" s="702">
        <f t="shared" si="83"/>
        <v>78.579818905697437</v>
      </c>
      <c r="AA162" s="174">
        <f t="shared" si="84"/>
        <v>1000000000</v>
      </c>
      <c r="AB162" s="174">
        <f t="shared" si="85"/>
        <v>83176224.010000005</v>
      </c>
      <c r="AD162" s="701">
        <f t="shared" si="86"/>
        <v>27.685996327291058</v>
      </c>
      <c r="AE162" s="702">
        <f t="shared" si="87"/>
        <v>-10.895518463747203</v>
      </c>
      <c r="AG162" s="701">
        <f t="shared" si="88"/>
        <v>8.0450248759619249</v>
      </c>
      <c r="AH162" s="702">
        <f t="shared" si="89"/>
        <v>-77.419735783427328</v>
      </c>
      <c r="AJ162" s="174">
        <f t="shared" si="90"/>
        <v>0</v>
      </c>
      <c r="AK162" s="174">
        <f t="shared" si="102"/>
        <v>0</v>
      </c>
      <c r="AM162" s="174" t="str">
        <f t="shared" si="94"/>
        <v>0.013372805071126+0.162993184602244i</v>
      </c>
      <c r="AN162" s="174" t="str">
        <f t="shared" si="95"/>
        <v>0.1637236521558i</v>
      </c>
      <c r="AO162" s="174" t="str">
        <f t="shared" si="96"/>
        <v>0.995538411561569-0.0816791275728469i</v>
      </c>
      <c r="AP162" s="174" t="str">
        <f t="shared" si="97"/>
        <v>0.164437865821479-0.0271655307670407i</v>
      </c>
      <c r="AQ162" s="174" t="str">
        <f t="shared" si="98"/>
        <v>0.835562134178521+0.0271655307670407i</v>
      </c>
      <c r="AR162" s="174" t="str">
        <f t="shared" si="99"/>
        <v>0.995880984495563-0.0323777663180281i</v>
      </c>
    </row>
    <row r="163" spans="7:44" x14ac:dyDescent="0.2">
      <c r="G163" s="703">
        <v>9173.2000000000007</v>
      </c>
      <c r="H163" s="691">
        <f t="shared" si="91"/>
        <v>9.1732000000000014</v>
      </c>
      <c r="I163" s="692">
        <f t="shared" si="69"/>
        <v>9.0054264409761835</v>
      </c>
      <c r="J163" s="693">
        <f t="shared" si="70"/>
        <v>1.4595226820854008</v>
      </c>
      <c r="K163" s="693">
        <f t="shared" si="71"/>
        <v>1.0000122847323742</v>
      </c>
      <c r="L163" s="694">
        <f t="shared" si="72"/>
        <v>4.9567341291290312E-3</v>
      </c>
      <c r="M163" s="693">
        <f t="shared" si="73"/>
        <v>1.0000685304116457</v>
      </c>
      <c r="N163" s="694">
        <f t="shared" si="74"/>
        <v>-1.1706963585264114E-2</v>
      </c>
      <c r="O163" s="692">
        <f t="shared" si="75"/>
        <v>16599.431663581996</v>
      </c>
      <c r="P163" s="695">
        <f t="shared" si="76"/>
        <v>1.5707360837684563</v>
      </c>
      <c r="Q163" s="704">
        <f t="shared" si="103"/>
        <v>6.9883475752340241</v>
      </c>
      <c r="R163" s="705">
        <f t="shared" si="104"/>
        <v>1.4272080841314909</v>
      </c>
      <c r="S163" s="692">
        <f t="shared" si="79"/>
        <v>1.00106248005323</v>
      </c>
      <c r="T163" s="695">
        <f t="shared" si="80"/>
        <v>4.6076896281302737E-2</v>
      </c>
      <c r="U163" s="696">
        <f t="shared" si="92"/>
        <v>0.99524469661794845</v>
      </c>
      <c r="V163" s="697">
        <f t="shared" si="93"/>
        <v>-0.11502505451428691</v>
      </c>
      <c r="W163" s="698">
        <f t="shared" si="81"/>
        <v>10.209772663885765</v>
      </c>
      <c r="X163" s="699">
        <f t="shared" si="82"/>
        <v>-101.46526003469492</v>
      </c>
      <c r="Y163" s="702">
        <f t="shared" si="83"/>
        <v>78.534739965305079</v>
      </c>
      <c r="AA163" s="174">
        <f t="shared" si="84"/>
        <v>1000000000</v>
      </c>
      <c r="AB163" s="174">
        <f t="shared" si="85"/>
        <v>84147598.24000001</v>
      </c>
      <c r="AD163" s="701">
        <f t="shared" si="86"/>
        <v>27.684851549179221</v>
      </c>
      <c r="AE163" s="702">
        <f t="shared" si="87"/>
        <v>-10.863560323547439</v>
      </c>
      <c r="AG163" s="701">
        <f t="shared" si="88"/>
        <v>7.9956691894906227</v>
      </c>
      <c r="AH163" s="702">
        <f t="shared" si="89"/>
        <v>-77.420799372224394</v>
      </c>
      <c r="AJ163" s="174">
        <f t="shared" si="90"/>
        <v>0</v>
      </c>
      <c r="AK163" s="174">
        <f t="shared" si="102"/>
        <v>0</v>
      </c>
      <c r="AM163" s="174" t="str">
        <f t="shared" si="94"/>
        <v>0.013528626398842+0.163933611762339i</v>
      </c>
      <c r="AN163" s="174" t="str">
        <f t="shared" si="95"/>
        <v>0.1646769011256i</v>
      </c>
      <c r="AO163" s="174" t="str">
        <f t="shared" si="96"/>
        <v>0.995486377517548-0.0821525442024418i</v>
      </c>
      <c r="AP163" s="174" t="str">
        <f t="shared" si="97"/>
        <v>0.164411895600193-0.0273222686270565i</v>
      </c>
      <c r="AQ163" s="174" t="str">
        <f t="shared" si="98"/>
        <v>0.835588104399807+0.0273222686270565i</v>
      </c>
      <c r="AR163" s="174" t="str">
        <f t="shared" si="99"/>
        <v>0.995837929723246-0.0325621574572964i</v>
      </c>
    </row>
    <row r="164" spans="7:44" x14ac:dyDescent="0.2">
      <c r="G164" s="703">
        <v>9226.2999999999993</v>
      </c>
      <c r="H164" s="691">
        <f t="shared" si="91"/>
        <v>9.2262999999999984</v>
      </c>
      <c r="I164" s="692">
        <f t="shared" si="69"/>
        <v>9.0569143033394521</v>
      </c>
      <c r="J164" s="693">
        <f t="shared" si="70"/>
        <v>1.4601578655498144</v>
      </c>
      <c r="K164" s="693">
        <f t="shared" si="71"/>
        <v>1.0000124273659661</v>
      </c>
      <c r="L164" s="694">
        <f t="shared" si="72"/>
        <v>4.9854262140779423E-3</v>
      </c>
      <c r="M164" s="693">
        <f t="shared" si="73"/>
        <v>1.0000693260708753</v>
      </c>
      <c r="N164" s="694">
        <f t="shared" si="74"/>
        <v>-1.1774724287688675E-2</v>
      </c>
      <c r="O164" s="692">
        <f t="shared" si="75"/>
        <v>16695.519159564472</v>
      </c>
      <c r="P164" s="695">
        <f t="shared" si="76"/>
        <v>1.5707364304843332</v>
      </c>
      <c r="Q164" s="704">
        <f t="shared" si="103"/>
        <v>7.0279743481875361</v>
      </c>
      <c r="R164" s="705">
        <f t="shared" si="104"/>
        <v>1.4280232594434188</v>
      </c>
      <c r="S164" s="692">
        <f t="shared" si="79"/>
        <v>1.0010748095797122</v>
      </c>
      <c r="T164" s="695">
        <f t="shared" si="80"/>
        <v>4.634323644577918E-2</v>
      </c>
      <c r="U164" s="696">
        <f t="shared" si="92"/>
        <v>0.99519444447423733</v>
      </c>
      <c r="V164" s="697">
        <f t="shared" si="93"/>
        <v>-0.11568799889352055</v>
      </c>
      <c r="W164" s="698">
        <f t="shared" si="81"/>
        <v>10.158694967981301</v>
      </c>
      <c r="X164" s="699">
        <f t="shared" si="82"/>
        <v>-101.51044967610775</v>
      </c>
      <c r="Y164" s="702">
        <f t="shared" si="83"/>
        <v>78.489550323892246</v>
      </c>
      <c r="AA164" s="174">
        <f t="shared" si="84"/>
        <v>1000000000</v>
      </c>
      <c r="AB164" s="174">
        <f t="shared" si="85"/>
        <v>85124611.689999983</v>
      </c>
      <c r="AD164" s="701">
        <f t="shared" si="86"/>
        <v>27.683723791713003</v>
      </c>
      <c r="AE164" s="702">
        <f t="shared" si="87"/>
        <v>-10.83213425127056</v>
      </c>
      <c r="AG164" s="701">
        <f t="shared" si="88"/>
        <v>7.9465964134140528</v>
      </c>
      <c r="AH164" s="702">
        <f t="shared" si="89"/>
        <v>-77.421447255863313</v>
      </c>
      <c r="AJ164" s="174">
        <f t="shared" si="90"/>
        <v>0</v>
      </c>
      <c r="AK164" s="174">
        <f t="shared" si="102"/>
        <v>0</v>
      </c>
      <c r="AM164" s="174" t="str">
        <f t="shared" si="94"/>
        <v>0.013685344116849+0.164873889958661i</v>
      </c>
      <c r="AN164" s="174" t="str">
        <f t="shared" si="95"/>
        <v>0.1656301500954i</v>
      </c>
      <c r="AO164" s="174" t="str">
        <f t="shared" si="96"/>
        <v>0.995434043039245-0.0826259235348545i</v>
      </c>
      <c r="AP164" s="174" t="str">
        <f t="shared" si="97"/>
        <v>0.164385775980525-0.0274789816597768i</v>
      </c>
      <c r="AQ164" s="174" t="str">
        <f t="shared" si="98"/>
        <v>0.835614224019475+0.0274789816597768i</v>
      </c>
      <c r="AR164" s="174" t="str">
        <f t="shared" si="99"/>
        <v>0.99579463372437-0.0327464776094792i</v>
      </c>
    </row>
    <row r="165" spans="7:44" x14ac:dyDescent="0.2">
      <c r="G165" s="703">
        <v>9279.4</v>
      </c>
      <c r="H165" s="691">
        <f t="shared" si="91"/>
        <v>9.279399999999999</v>
      </c>
      <c r="I165" s="692">
        <f t="shared" si="69"/>
        <v>9.108405778475186</v>
      </c>
      <c r="J165" s="693">
        <f t="shared" si="70"/>
        <v>1.4607858676498275</v>
      </c>
      <c r="K165" s="693">
        <f t="shared" si="71"/>
        <v>1.0000125708228038</v>
      </c>
      <c r="L165" s="694">
        <f t="shared" si="72"/>
        <v>5.0141182908184255E-3</v>
      </c>
      <c r="M165" s="693">
        <f t="shared" si="73"/>
        <v>1.0000701263219289</v>
      </c>
      <c r="N165" s="694">
        <f t="shared" si="74"/>
        <v>-1.1842484881980819E-2</v>
      </c>
      <c r="O165" s="692">
        <f t="shared" si="75"/>
        <v>16791.606655548941</v>
      </c>
      <c r="P165" s="695">
        <f t="shared" si="76"/>
        <v>1.5707367732321491</v>
      </c>
      <c r="Q165" s="704">
        <f t="shared" si="103"/>
        <v>7.067605738934513</v>
      </c>
      <c r="R165" s="705">
        <f t="shared" si="104"/>
        <v>1.4288292931429285</v>
      </c>
      <c r="S165" s="692">
        <f t="shared" si="79"/>
        <v>1.0010872101177692</v>
      </c>
      <c r="T165" s="695">
        <f t="shared" si="80"/>
        <v>4.6609570030799276E-2</v>
      </c>
      <c r="U165" s="696">
        <f t="shared" si="92"/>
        <v>0.9951439095453658</v>
      </c>
      <c r="V165" s="697">
        <f t="shared" si="93"/>
        <v>-0.11635089358873905</v>
      </c>
      <c r="W165" s="698">
        <f t="shared" si="81"/>
        <v>10.107908726635237</v>
      </c>
      <c r="X165" s="699">
        <f t="shared" si="82"/>
        <v>-101.5557481747211</v>
      </c>
      <c r="Y165" s="702">
        <f t="shared" si="83"/>
        <v>78.444251825278897</v>
      </c>
      <c r="AA165" s="174">
        <f t="shared" si="84"/>
        <v>1000000000</v>
      </c>
      <c r="AB165" s="174">
        <f t="shared" si="85"/>
        <v>86107264.359999999</v>
      </c>
      <c r="AD165" s="701">
        <f t="shared" si="86"/>
        <v>27.682612659163194</v>
      </c>
      <c r="AE165" s="702">
        <f t="shared" si="87"/>
        <v>-10.801231350475557</v>
      </c>
      <c r="AG165" s="701">
        <f t="shared" si="88"/>
        <v>7.8978034477252868</v>
      </c>
      <c r="AH165" s="702">
        <f t="shared" si="89"/>
        <v>-77.421686518589595</v>
      </c>
      <c r="AJ165" s="174">
        <f t="shared" si="90"/>
        <v>0</v>
      </c>
      <c r="AK165" s="174">
        <f t="shared" si="102"/>
        <v>0</v>
      </c>
      <c r="AM165" s="174" t="str">
        <f t="shared" si="94"/>
        <v>0.0138429580827381+0.165814018336795i</v>
      </c>
      <c r="AN165" s="174" t="str">
        <f t="shared" si="95"/>
        <v>0.1665833990652i</v>
      </c>
      <c r="AO165" s="174" t="str">
        <f t="shared" si="96"/>
        <v>0.99538140815518-0.0830992653554874i</v>
      </c>
      <c r="AP165" s="174" t="str">
        <f t="shared" si="97"/>
        <v>0.16435950698621-0.0276356697227992i</v>
      </c>
      <c r="AQ165" s="174" t="str">
        <f t="shared" si="98"/>
        <v>0.83564049301379+0.0276356697227992i</v>
      </c>
      <c r="AR165" s="174" t="str">
        <f t="shared" si="99"/>
        <v>0.995751096647867-0.0329307263866896i</v>
      </c>
    </row>
    <row r="166" spans="7:44" x14ac:dyDescent="0.2">
      <c r="G166" s="703">
        <v>9332.5</v>
      </c>
      <c r="H166" s="691">
        <f t="shared" si="91"/>
        <v>9.3324999999999996</v>
      </c>
      <c r="I166" s="692">
        <f t="shared" si="69"/>
        <v>9.1599008054568589</v>
      </c>
      <c r="J166" s="693">
        <f t="shared" si="70"/>
        <v>1.4614068090022041</v>
      </c>
      <c r="K166" s="693">
        <f t="shared" si="71"/>
        <v>1.0000127151028866</v>
      </c>
      <c r="L166" s="694">
        <f t="shared" si="72"/>
        <v>5.0428103593032451E-3</v>
      </c>
      <c r="M166" s="693">
        <f t="shared" si="73"/>
        <v>1.0000709311647953</v>
      </c>
      <c r="N166" s="694">
        <f t="shared" si="74"/>
        <v>-1.1910245367518561E-2</v>
      </c>
      <c r="O166" s="692">
        <f t="shared" si="75"/>
        <v>16887.694151535357</v>
      </c>
      <c r="P166" s="695">
        <f t="shared" si="76"/>
        <v>1.5707371120796365</v>
      </c>
      <c r="Q166" s="704">
        <f t="shared" si="103"/>
        <v>7.1072416702257515</v>
      </c>
      <c r="R166" s="705">
        <f t="shared" si="104"/>
        <v>1.4296263371176756</v>
      </c>
      <c r="S166" s="692">
        <f t="shared" si="79"/>
        <v>1.0010996816647624</v>
      </c>
      <c r="T166" s="695">
        <f t="shared" si="80"/>
        <v>4.6875896998824218E-2</v>
      </c>
      <c r="U166" s="696">
        <f t="shared" si="92"/>
        <v>0.99509309195497397</v>
      </c>
      <c r="V166" s="697">
        <f t="shared" si="93"/>
        <v>-0.11701373832414673</v>
      </c>
      <c r="W166" s="698">
        <f t="shared" si="81"/>
        <v>10.057410506936657</v>
      </c>
      <c r="X166" s="699">
        <f t="shared" si="82"/>
        <v>-101.60115372473996</v>
      </c>
      <c r="Y166" s="702">
        <f t="shared" si="83"/>
        <v>78.398846275260041</v>
      </c>
      <c r="AA166" s="174">
        <f t="shared" si="84"/>
        <v>1000000000</v>
      </c>
      <c r="AB166" s="174">
        <f t="shared" si="85"/>
        <v>87095556.25</v>
      </c>
      <c r="AD166" s="701">
        <f t="shared" si="86"/>
        <v>27.681517766805015</v>
      </c>
      <c r="AE166" s="702">
        <f t="shared" si="87"/>
        <v>-10.770842920370754</v>
      </c>
      <c r="AG166" s="701">
        <f t="shared" si="88"/>
        <v>7.8492872428362865</v>
      </c>
      <c r="AH166" s="702">
        <f t="shared" si="89"/>
        <v>-77.421524087003789</v>
      </c>
      <c r="AJ166" s="174">
        <f t="shared" si="90"/>
        <v>0</v>
      </c>
      <c r="AK166" s="174">
        <f t="shared" si="102"/>
        <v>0</v>
      </c>
      <c r="AM166" s="174" t="str">
        <f t="shared" si="94"/>
        <v>0.014001468153288+0.166753996042462i</v>
      </c>
      <c r="AN166" s="174" t="str">
        <f t="shared" si="95"/>
        <v>0.167536648035i</v>
      </c>
      <c r="AO166" s="174" t="str">
        <f t="shared" si="96"/>
        <v>0.995328472894035-0.0835725694497777i</v>
      </c>
      <c r="AP166" s="174" t="str">
        <f t="shared" si="97"/>
        <v>0.164333088641119-0.0277923326737437i</v>
      </c>
      <c r="AQ166" s="174" t="str">
        <f t="shared" si="98"/>
        <v>0.835666911358881+0.0277923326737437i</v>
      </c>
      <c r="AR166" s="174" t="str">
        <f t="shared" si="99"/>
        <v>0.995707318643454-0.0331149034014294i</v>
      </c>
    </row>
    <row r="167" spans="7:44" x14ac:dyDescent="0.2">
      <c r="G167" s="703">
        <v>9386.85</v>
      </c>
      <c r="H167" s="691">
        <f t="shared" si="91"/>
        <v>9.3868500000000008</v>
      </c>
      <c r="I167" s="692">
        <f t="shared" si="69"/>
        <v>9.2126116666720979</v>
      </c>
      <c r="J167" s="693">
        <f t="shared" si="70"/>
        <v>1.4620351786749506</v>
      </c>
      <c r="K167" s="693">
        <f t="shared" si="71"/>
        <v>1.0000128636319359</v>
      </c>
      <c r="L167" s="694">
        <f t="shared" si="72"/>
        <v>5.0721778445302762E-3</v>
      </c>
      <c r="M167" s="693">
        <f t="shared" si="73"/>
        <v>1.0000717597092705</v>
      </c>
      <c r="N167" s="694">
        <f t="shared" si="74"/>
        <v>-1.1979600854790348E-2</v>
      </c>
      <c r="O167" s="692">
        <f t="shared" si="75"/>
        <v>16986.043594227773</v>
      </c>
      <c r="P167" s="695">
        <f t="shared" si="76"/>
        <v>1.5707374549337108</v>
      </c>
      <c r="Q167" s="704">
        <f t="shared" si="103"/>
        <v>7.1478152740429284</v>
      </c>
      <c r="R167" s="705">
        <f t="shared" si="104"/>
        <v>1.4304329892869334</v>
      </c>
      <c r="S167" s="692">
        <f t="shared" si="79"/>
        <v>1.0011125203312972</v>
      </c>
      <c r="T167" s="695">
        <f t="shared" si="80"/>
        <v>4.7148486542428016E-2</v>
      </c>
      <c r="U167" s="696">
        <f t="shared" si="92"/>
        <v>0.99504078550252606</v>
      </c>
      <c r="V167" s="697">
        <f t="shared" si="93"/>
        <v>-0.11769213472375777</v>
      </c>
      <c r="W167" s="698">
        <f t="shared" si="81"/>
        <v>10.006018286130233</v>
      </c>
      <c r="X167" s="699">
        <f t="shared" si="82"/>
        <v>-101.64773715894428</v>
      </c>
      <c r="Y167" s="702">
        <f t="shared" si="83"/>
        <v>78.352262841055719</v>
      </c>
      <c r="AA167" s="174">
        <f t="shared" si="84"/>
        <v>1000000000</v>
      </c>
      <c r="AB167" s="174">
        <f t="shared" si="85"/>
        <v>88112952.922499999</v>
      </c>
      <c r="AD167" s="701">
        <f t="shared" si="86"/>
        <v>27.680413527915817</v>
      </c>
      <c r="AE167" s="702">
        <f t="shared" si="87"/>
        <v>-10.740263029981616</v>
      </c>
      <c r="AG167" s="701">
        <f t="shared" si="88"/>
        <v>7.7999124217442128</v>
      </c>
      <c r="AH167" s="702">
        <f t="shared" si="89"/>
        <v>-77.420948910439265</v>
      </c>
      <c r="AJ167" s="174">
        <f t="shared" si="90"/>
        <v>0</v>
      </c>
      <c r="AK167" s="174">
        <f t="shared" si="102"/>
        <v>0</v>
      </c>
      <c r="AM167" s="174" t="str">
        <f t="shared" si="94"/>
        <v>0.014164637473242+0.167715944357522i</v>
      </c>
      <c r="AN167" s="174" t="str">
        <f t="shared" si="95"/>
        <v>0.1685123369523i</v>
      </c>
      <c r="AO167" s="174" t="str">
        <f t="shared" si="96"/>
        <v>0.995273980474181-0.0840569760613522i</v>
      </c>
      <c r="AP167" s="174" t="str">
        <f t="shared" si="97"/>
        <v>0.16430589375446-0.0279526573929203i</v>
      </c>
      <c r="AQ167" s="174" t="str">
        <f t="shared" si="98"/>
        <v>0.83569410624554+0.0279526573929203i</v>
      </c>
      <c r="AR167" s="174" t="str">
        <f t="shared" si="99"/>
        <v>0.99566226073846-0.0333033413129102i</v>
      </c>
    </row>
    <row r="168" spans="7:44" x14ac:dyDescent="0.2">
      <c r="G168" s="703">
        <v>9441.2000000000007</v>
      </c>
      <c r="H168" s="691">
        <f t="shared" si="91"/>
        <v>9.4412000000000003</v>
      </c>
      <c r="I168" s="692">
        <f t="shared" si="69"/>
        <v>9.2653261240831242</v>
      </c>
      <c r="J168" s="693">
        <f t="shared" si="70"/>
        <v>1.4626563984556538</v>
      </c>
      <c r="K168" s="693">
        <f t="shared" si="71"/>
        <v>1.0000130130234453</v>
      </c>
      <c r="L168" s="694">
        <f t="shared" si="72"/>
        <v>5.1015453210082433E-3</v>
      </c>
      <c r="M168" s="693">
        <f t="shared" si="73"/>
        <v>1.0000725930642667</v>
      </c>
      <c r="N168" s="694">
        <f t="shared" si="74"/>
        <v>-1.2048956226808655E-2</v>
      </c>
      <c r="O168" s="692">
        <f t="shared" si="75"/>
        <v>17084.39303692216</v>
      </c>
      <c r="P168" s="695">
        <f t="shared" si="76"/>
        <v>1.5707377938403801</v>
      </c>
      <c r="Q168" s="704">
        <f t="shared" si="103"/>
        <v>7.1883934763505613</v>
      </c>
      <c r="R168" s="705">
        <f t="shared" si="104"/>
        <v>1.4312305349298688</v>
      </c>
      <c r="S168" s="692">
        <f t="shared" si="79"/>
        <v>1.0011254333836459</v>
      </c>
      <c r="T168" s="695">
        <f t="shared" si="80"/>
        <v>4.7421069074273604E-2</v>
      </c>
      <c r="U168" s="696">
        <f t="shared" si="92"/>
        <v>0.99498818318815441</v>
      </c>
      <c r="V168" s="697">
        <f t="shared" si="93"/>
        <v>-0.11837047819960486</v>
      </c>
      <c r="W168" s="698">
        <f t="shared" si="81"/>
        <v>9.9549207203713692</v>
      </c>
      <c r="X168" s="699">
        <f t="shared" si="82"/>
        <v>-101.69442903371062</v>
      </c>
      <c r="Y168" s="702">
        <f t="shared" si="83"/>
        <v>78.30557096628938</v>
      </c>
      <c r="AA168" s="174">
        <f t="shared" si="84"/>
        <v>1000000000</v>
      </c>
      <c r="AB168" s="174">
        <f t="shared" si="85"/>
        <v>89136257.440000013</v>
      </c>
      <c r="AD168" s="701">
        <f t="shared" si="86"/>
        <v>27.679325520991537</v>
      </c>
      <c r="AE168" s="702">
        <f t="shared" si="87"/>
        <v>-10.710204277203562</v>
      </c>
      <c r="AG168" s="701">
        <f t="shared" si="88"/>
        <v>7.7508212372742937</v>
      </c>
      <c r="AH168" s="702">
        <f t="shared" si="89"/>
        <v>-77.419967101442268</v>
      </c>
      <c r="AJ168" s="174">
        <f t="shared" si="90"/>
        <v>0</v>
      </c>
      <c r="AK168" s="174">
        <f t="shared" si="102"/>
        <v>0</v>
      </c>
      <c r="AM168" s="174" t="str">
        <f t="shared" si="94"/>
        <v>0.01432874527769+0.168677733012238i</v>
      </c>
      <c r="AN168" s="174" t="str">
        <f t="shared" si="95"/>
        <v>0.1694880258696i</v>
      </c>
      <c r="AO168" s="174" t="str">
        <f t="shared" si="96"/>
        <v>0.995219173430072-0.0845413426946998i</v>
      </c>
      <c r="AP168" s="174" t="str">
        <f t="shared" si="97"/>
        <v>0.164278542453718-0.0281129555020397i</v>
      </c>
      <c r="AQ168" s="174" t="str">
        <f t="shared" si="98"/>
        <v>0.835721457546282+0.0281129555020397i</v>
      </c>
      <c r="AR168" s="174" t="str">
        <f t="shared" si="99"/>
        <v>0.995616950748829-0.0334917032232934i</v>
      </c>
    </row>
    <row r="169" spans="7:44" x14ac:dyDescent="0.2">
      <c r="G169" s="703">
        <v>9495.5499999999993</v>
      </c>
      <c r="H169" s="691">
        <f t="shared" si="91"/>
        <v>9.4955499999999997</v>
      </c>
      <c r="I169" s="692">
        <f t="shared" si="69"/>
        <v>9.3180441166562549</v>
      </c>
      <c r="J169" s="693">
        <f t="shared" si="70"/>
        <v>1.4632705892149309</v>
      </c>
      <c r="K169" s="693">
        <f t="shared" si="71"/>
        <v>1.0000131632774141</v>
      </c>
      <c r="L169" s="694">
        <f t="shared" si="72"/>
        <v>5.1309127886864942E-3</v>
      </c>
      <c r="M169" s="693">
        <f t="shared" si="73"/>
        <v>1.0000734312297714</v>
      </c>
      <c r="N169" s="694">
        <f t="shared" si="74"/>
        <v>-1.2118311482906546E-2</v>
      </c>
      <c r="O169" s="692">
        <f t="shared" si="75"/>
        <v>17182.742479618482</v>
      </c>
      <c r="P169" s="695">
        <f t="shared" si="76"/>
        <v>1.5707381288674267</v>
      </c>
      <c r="Q169" s="704">
        <f t="shared" si="103"/>
        <v>7.2289761997109299</v>
      </c>
      <c r="R169" s="705">
        <f t="shared" si="104"/>
        <v>1.4320191263925233</v>
      </c>
      <c r="S169" s="692">
        <f t="shared" si="79"/>
        <v>1.0011384208189302</v>
      </c>
      <c r="T169" s="695">
        <f t="shared" si="80"/>
        <v>4.7693644554126648E-2</v>
      </c>
      <c r="U169" s="696">
        <f t="shared" si="92"/>
        <v>0.9949352851465828</v>
      </c>
      <c r="V169" s="697">
        <f t="shared" si="93"/>
        <v>-0.11904876845653325</v>
      </c>
      <c r="W169" s="698">
        <f t="shared" si="81"/>
        <v>9.9041143192486114</v>
      </c>
      <c r="X169" s="699">
        <f t="shared" si="82"/>
        <v>-101.74122753026195</v>
      </c>
      <c r="Y169" s="702">
        <f t="shared" si="83"/>
        <v>78.258772469738048</v>
      </c>
      <c r="AA169" s="174">
        <f t="shared" si="84"/>
        <v>1000000000</v>
      </c>
      <c r="AB169" s="174">
        <f t="shared" si="85"/>
        <v>90165469.80249998</v>
      </c>
      <c r="AD169" s="701">
        <f t="shared" si="86"/>
        <v>27.678253366979035</v>
      </c>
      <c r="AE169" s="702">
        <f t="shared" si="87"/>
        <v>-10.680657934829782</v>
      </c>
      <c r="AG169" s="701">
        <f t="shared" si="88"/>
        <v>7.7020105765402569</v>
      </c>
      <c r="AH169" s="702">
        <f t="shared" si="89"/>
        <v>-77.418585602264884</v>
      </c>
      <c r="AJ169" s="174">
        <f t="shared" si="90"/>
        <v>0</v>
      </c>
      <c r="AK169" s="174">
        <f t="shared" si="102"/>
        <v>0</v>
      </c>
      <c r="AM169" s="174" t="str">
        <f t="shared" si="94"/>
        <v>0.014493791410409+0.169639361091017i</v>
      </c>
      <c r="AN169" s="174" t="str">
        <f t="shared" si="95"/>
        <v>0.1704637147869i</v>
      </c>
      <c r="AO169" s="174" t="str">
        <f t="shared" si="96"/>
        <v>0.995164051792996-0.0850256691198357i</v>
      </c>
      <c r="AP169" s="174" t="str">
        <f t="shared" si="97"/>
        <v>0.164251034764932-0.0282732268485028i</v>
      </c>
      <c r="AQ169" s="174" t="str">
        <f t="shared" si="98"/>
        <v>0.835748965235068+0.0282732268485028i</v>
      </c>
      <c r="AR169" s="174" t="str">
        <f t="shared" si="99"/>
        <v>0.995571388837657-0.0336799887183456i</v>
      </c>
    </row>
    <row r="170" spans="7:44" x14ac:dyDescent="0.2">
      <c r="G170" s="703">
        <v>9549.9</v>
      </c>
      <c r="H170" s="691">
        <f t="shared" si="91"/>
        <v>9.5498999999999992</v>
      </c>
      <c r="I170" s="692">
        <f t="shared" si="69"/>
        <v>9.3707655847272182</v>
      </c>
      <c r="J170" s="693">
        <f t="shared" si="70"/>
        <v>1.4638778691247361</v>
      </c>
      <c r="K170" s="693">
        <f t="shared" si="71"/>
        <v>1.0000133143938423</v>
      </c>
      <c r="L170" s="694">
        <f t="shared" si="72"/>
        <v>5.1602802475143794E-3</v>
      </c>
      <c r="M170" s="693">
        <f t="shared" si="73"/>
        <v>1.0000742742057729</v>
      </c>
      <c r="N170" s="694">
        <f t="shared" si="74"/>
        <v>-1.2187666622417099E-2</v>
      </c>
      <c r="O170" s="692">
        <f t="shared" si="75"/>
        <v>17281.091922316715</v>
      </c>
      <c r="P170" s="695">
        <f t="shared" si="76"/>
        <v>1.5707384600810887</v>
      </c>
      <c r="Q170" s="704">
        <f t="shared" si="103"/>
        <v>7.2695633684069874</v>
      </c>
      <c r="R170" s="705">
        <f t="shared" si="104"/>
        <v>1.432798912663765</v>
      </c>
      <c r="S170" s="692">
        <f t="shared" si="79"/>
        <v>1.0011514826342556</v>
      </c>
      <c r="T170" s="695">
        <f t="shared" si="80"/>
        <v>4.7966212941759109E-2</v>
      </c>
      <c r="U170" s="696">
        <f t="shared" si="92"/>
        <v>0.99488209151325191</v>
      </c>
      <c r="V170" s="697">
        <f t="shared" si="93"/>
        <v>-0.11972700519954457</v>
      </c>
      <c r="W170" s="698">
        <f t="shared" si="81"/>
        <v>9.8535956536713787</v>
      </c>
      <c r="X170" s="699">
        <f t="shared" si="82"/>
        <v>-101.78813086747191</v>
      </c>
      <c r="Y170" s="702">
        <f t="shared" si="83"/>
        <v>78.211869132528093</v>
      </c>
      <c r="AA170" s="174">
        <f t="shared" si="84"/>
        <v>1000000000</v>
      </c>
      <c r="AB170" s="174">
        <f t="shared" si="85"/>
        <v>91200590.00999999</v>
      </c>
      <c r="AD170" s="701">
        <f t="shared" si="86"/>
        <v>27.677196697378026</v>
      </c>
      <c r="AE170" s="702">
        <f t="shared" si="87"/>
        <v>-10.651615467917171</v>
      </c>
      <c r="AG170" s="701">
        <f t="shared" si="88"/>
        <v>7.6534773774156273</v>
      </c>
      <c r="AH170" s="702">
        <f t="shared" si="89"/>
        <v>-77.416811200528159</v>
      </c>
      <c r="AJ170" s="174">
        <f t="shared" si="90"/>
        <v>0</v>
      </c>
      <c r="AK170" s="174">
        <f t="shared" si="102"/>
        <v>0</v>
      </c>
      <c r="AM170" s="174" t="str">
        <f t="shared" si="94"/>
        <v>0.014659775714277+0.17060082767842i</v>
      </c>
      <c r="AN170" s="174" t="str">
        <f t="shared" si="95"/>
        <v>0.1714394037042i</v>
      </c>
      <c r="AO170" s="174" t="str">
        <f t="shared" si="96"/>
        <v>0.995108615594424-0.0855099551067667i</v>
      </c>
      <c r="AP170" s="174" t="str">
        <f t="shared" si="97"/>
        <v>0.164223370714287-0.0284334712797367i</v>
      </c>
      <c r="AQ170" s="174" t="str">
        <f t="shared" si="98"/>
        <v>0.835776629285713+0.0284334712797367i</v>
      </c>
      <c r="AR170" s="174" t="str">
        <f t="shared" si="99"/>
        <v>0.995525575168893-0.0338681973842696i</v>
      </c>
    </row>
    <row r="171" spans="7:44" x14ac:dyDescent="0.2">
      <c r="G171" s="703">
        <v>9605.5249999999996</v>
      </c>
      <c r="H171" s="691">
        <f t="shared" si="91"/>
        <v>9.6055250000000001</v>
      </c>
      <c r="I171" s="692">
        <f t="shared" si="69"/>
        <v>9.4247273868532986</v>
      </c>
      <c r="J171" s="693">
        <f t="shared" si="70"/>
        <v>1.4644923598827679</v>
      </c>
      <c r="K171" s="693">
        <f t="shared" si="71"/>
        <v>1.0000134699483652</v>
      </c>
      <c r="L171" s="694">
        <f t="shared" si="72"/>
        <v>5.1903366301519508E-3</v>
      </c>
      <c r="M171" s="693">
        <f t="shared" si="73"/>
        <v>1.0000751419382827</v>
      </c>
      <c r="N171" s="694">
        <f t="shared" si="74"/>
        <v>-1.2258648647002371E-2</v>
      </c>
      <c r="O171" s="692">
        <f t="shared" si="75"/>
        <v>17381.748550655164</v>
      </c>
      <c r="P171" s="695">
        <f t="shared" si="76"/>
        <v>1.5707387951836413</v>
      </c>
      <c r="Q171" s="704">
        <f t="shared" si="103"/>
        <v>7.3111071997201034</v>
      </c>
      <c r="R171" s="705">
        <f t="shared" si="104"/>
        <v>1.4335880265839385</v>
      </c>
      <c r="S171" s="692">
        <f t="shared" si="79"/>
        <v>1.00116492788231</v>
      </c>
      <c r="T171" s="695">
        <f t="shared" si="80"/>
        <v>4.8245168142286313E-2</v>
      </c>
      <c r="U171" s="696">
        <f t="shared" si="92"/>
        <v>0.9948273440747295</v>
      </c>
      <c r="V171" s="697">
        <f t="shared" si="93"/>
        <v>-0.12042109702078807</v>
      </c>
      <c r="W171" s="698">
        <f t="shared" si="81"/>
        <v>9.8021862917257447</v>
      </c>
      <c r="X171" s="699">
        <f t="shared" si="82"/>
        <v>-101.83624125146561</v>
      </c>
      <c r="Y171" s="702">
        <f t="shared" si="83"/>
        <v>78.163758748534391</v>
      </c>
      <c r="AA171" s="174">
        <f t="shared" si="84"/>
        <v>1000000000</v>
      </c>
      <c r="AB171" s="174">
        <f t="shared" si="85"/>
        <v>92266110.52562499</v>
      </c>
      <c r="AD171" s="701">
        <f t="shared" si="86"/>
        <v>27.676130899002796</v>
      </c>
      <c r="AE171" s="702">
        <f t="shared" si="87"/>
        <v>-10.622404726328242</v>
      </c>
      <c r="AG171" s="701">
        <f t="shared" si="88"/>
        <v>7.6040897930461782</v>
      </c>
      <c r="AH171" s="702">
        <f t="shared" si="89"/>
        <v>-77.414595262116308</v>
      </c>
      <c r="AJ171" s="174">
        <f t="shared" si="90"/>
        <v>0</v>
      </c>
      <c r="AK171" s="174">
        <f t="shared" si="102"/>
        <v>0</v>
      </c>
      <c r="AM171" s="174" t="str">
        <f t="shared" si="94"/>
        <v>0.014830625131485+0.171584681196135i</v>
      </c>
      <c r="AN171" s="174" t="str">
        <f t="shared" si="95"/>
        <v>0.17243798136795i</v>
      </c>
      <c r="AO171" s="174" t="str">
        <f t="shared" si="96"/>
        <v>0.995051553230641-0.0860055598762737i</v>
      </c>
      <c r="AP171" s="174" t="str">
        <f t="shared" si="97"/>
        <v>0.164194895811419-0.0285974468660225i</v>
      </c>
      <c r="AQ171" s="174" t="str">
        <f t="shared" si="98"/>
        <v>0.835805104188581+0.0285974468660225i</v>
      </c>
      <c r="AR171" s="174" t="str">
        <f t="shared" si="99"/>
        <v>0.99547842624058-0.0340607412637474i</v>
      </c>
    </row>
    <row r="172" spans="7:44" x14ac:dyDescent="0.2">
      <c r="G172" s="703">
        <v>9661.15</v>
      </c>
      <c r="H172" s="691">
        <f t="shared" si="91"/>
        <v>9.6611499999999992</v>
      </c>
      <c r="I172" s="692">
        <f t="shared" si="69"/>
        <v>9.4786927072253988</v>
      </c>
      <c r="J172" s="693">
        <f t="shared" si="70"/>
        <v>1.4650998538713542</v>
      </c>
      <c r="K172" s="693">
        <f t="shared" si="71"/>
        <v>1.0000136264062858</v>
      </c>
      <c r="L172" s="694">
        <f t="shared" si="72"/>
        <v>5.2203930034116844E-3</v>
      </c>
      <c r="M172" s="693">
        <f t="shared" si="73"/>
        <v>1.0000760147096102</v>
      </c>
      <c r="N172" s="694">
        <f t="shared" si="74"/>
        <v>-1.2329630548052547E-2</v>
      </c>
      <c r="O172" s="692">
        <f t="shared" si="75"/>
        <v>17482.405178995545</v>
      </c>
      <c r="P172" s="695">
        <f t="shared" si="76"/>
        <v>1.570739126427424</v>
      </c>
      <c r="Q172" s="704">
        <f t="shared" si="103"/>
        <v>7.3526555322173381</v>
      </c>
      <c r="R172" s="705">
        <f t="shared" si="104"/>
        <v>1.4343682227469541</v>
      </c>
      <c r="S172" s="692">
        <f t="shared" si="79"/>
        <v>1.0011784510349224</v>
      </c>
      <c r="T172" s="695">
        <f t="shared" si="80"/>
        <v>4.8524115828692725E-2</v>
      </c>
      <c r="U172" s="696">
        <f t="shared" si="92"/>
        <v>0.99477228730252998</v>
      </c>
      <c r="V172" s="697">
        <f t="shared" si="93"/>
        <v>-0.12111513216330605</v>
      </c>
      <c r="W172" s="698">
        <f t="shared" si="81"/>
        <v>9.7510712463027751</v>
      </c>
      <c r="X172" s="699">
        <f t="shared" si="82"/>
        <v>-101.88445779433673</v>
      </c>
      <c r="Y172" s="702">
        <f t="shared" si="83"/>
        <v>78.115542205663274</v>
      </c>
      <c r="AA172" s="174">
        <f t="shared" si="84"/>
        <v>1000000000</v>
      </c>
      <c r="AB172" s="174">
        <f t="shared" si="85"/>
        <v>93337819.32249999</v>
      </c>
      <c r="AD172" s="701">
        <f t="shared" si="86"/>
        <v>27.675080571385415</v>
      </c>
      <c r="AE172" s="702">
        <f t="shared" si="87"/>
        <v>-10.593704282969103</v>
      </c>
      <c r="AG172" s="701">
        <f t="shared" si="88"/>
        <v>7.5549865089677244</v>
      </c>
      <c r="AH172" s="702">
        <f t="shared" si="89"/>
        <v>-77.411981679255589</v>
      </c>
      <c r="AJ172" s="174">
        <f t="shared" si="90"/>
        <v>0</v>
      </c>
      <c r="AK172" s="174">
        <f t="shared" si="102"/>
        <v>0</v>
      </c>
      <c r="AM172" s="174" t="str">
        <f t="shared" si="94"/>
        <v>0.015002456917494+0.172568363616938i</v>
      </c>
      <c r="AN172" s="174" t="str">
        <f t="shared" si="95"/>
        <v>0.1734365590317i</v>
      </c>
      <c r="AO172" s="174" t="str">
        <f t="shared" si="96"/>
        <v>0.99499416144088-0.0865011218006921i</v>
      </c>
      <c r="AP172" s="174" t="str">
        <f t="shared" si="97"/>
        <v>0.164166257180418-0.0287613939361563i</v>
      </c>
      <c r="AQ172" s="174" t="str">
        <f t="shared" si="98"/>
        <v>0.835833742819582+0.0287613939361563i</v>
      </c>
      <c r="AR172" s="174" t="str">
        <f t="shared" si="99"/>
        <v>0.995431013954375-0.0342532037914976i</v>
      </c>
    </row>
    <row r="173" spans="7:44" x14ac:dyDescent="0.2">
      <c r="G173" s="703">
        <v>9716.7749999999996</v>
      </c>
      <c r="H173" s="691">
        <f t="shared" si="91"/>
        <v>9.7167750000000002</v>
      </c>
      <c r="I173" s="692">
        <f t="shared" si="69"/>
        <v>9.5326614860921222</v>
      </c>
      <c r="J173" s="693">
        <f t="shared" si="70"/>
        <v>1.4657004694740376</v>
      </c>
      <c r="K173" s="693">
        <f t="shared" si="71"/>
        <v>1.000013783767604</v>
      </c>
      <c r="L173" s="694">
        <f t="shared" si="72"/>
        <v>5.2504493672392806E-3</v>
      </c>
      <c r="M173" s="693">
        <f t="shared" si="73"/>
        <v>1.0000768925197421</v>
      </c>
      <c r="N173" s="694">
        <f t="shared" si="74"/>
        <v>-1.2400612324852678E-2</v>
      </c>
      <c r="O173" s="692">
        <f t="shared" si="75"/>
        <v>17583.061807337817</v>
      </c>
      <c r="P173" s="695">
        <f t="shared" si="76"/>
        <v>1.5707394538787063</v>
      </c>
      <c r="Q173" s="704">
        <f t="shared" si="103"/>
        <v>7.3942082900217265</v>
      </c>
      <c r="R173" s="705">
        <f t="shared" si="104"/>
        <v>1.4351396505385381</v>
      </c>
      <c r="S173" s="692">
        <f t="shared" si="79"/>
        <v>1.0011920520889359</v>
      </c>
      <c r="T173" s="695">
        <f t="shared" si="80"/>
        <v>4.8803055957872869E-2</v>
      </c>
      <c r="U173" s="696">
        <f t="shared" si="92"/>
        <v>0.99471692134418643</v>
      </c>
      <c r="V173" s="697">
        <f t="shared" si="93"/>
        <v>-0.12180911031151141</v>
      </c>
      <c r="W173" s="698">
        <f t="shared" si="81"/>
        <v>9.7002470315770175</v>
      </c>
      <c r="X173" s="699">
        <f t="shared" si="82"/>
        <v>-101.9327787029985</v>
      </c>
      <c r="Y173" s="702">
        <f t="shared" si="83"/>
        <v>78.067221297001495</v>
      </c>
      <c r="AA173" s="174">
        <f t="shared" si="84"/>
        <v>1000000000</v>
      </c>
      <c r="AB173" s="174">
        <f t="shared" si="85"/>
        <v>94415716.40062499</v>
      </c>
      <c r="AD173" s="701">
        <f t="shared" si="86"/>
        <v>27.67404535157867</v>
      </c>
      <c r="AE173" s="702">
        <f t="shared" si="87"/>
        <v>-10.565505579995357</v>
      </c>
      <c r="AG173" s="701">
        <f t="shared" si="88"/>
        <v>7.5061644006282693</v>
      </c>
      <c r="AH173" s="702">
        <f t="shared" si="89"/>
        <v>-77.408977252867302</v>
      </c>
      <c r="AJ173" s="174">
        <f t="shared" si="90"/>
        <v>0</v>
      </c>
      <c r="AK173" s="174">
        <f t="shared" si="102"/>
        <v>0</v>
      </c>
      <c r="AM173" s="174" t="str">
        <f t="shared" si="94"/>
        <v>0.015175270900963+0.173551873959943i</v>
      </c>
      <c r="AN173" s="174" t="str">
        <f t="shared" si="95"/>
        <v>0.17443513669545i</v>
      </c>
      <c r="AO173" s="174" t="str">
        <f t="shared" si="96"/>
        <v>0.994936440259458-0.0869966406335773i</v>
      </c>
      <c r="AP173" s="174" t="str">
        <f t="shared" si="97"/>
        <v>0.164137454849839-0.0289253123266572i</v>
      </c>
      <c r="AQ173" s="174" t="str">
        <f t="shared" si="98"/>
        <v>0.835862545150161+0.0289253123266572i</v>
      </c>
      <c r="AR173" s="174" t="str">
        <f t="shared" si="99"/>
        <v>0.995383338488821-0.034445584525345i</v>
      </c>
    </row>
    <row r="174" spans="7:44" x14ac:dyDescent="0.2">
      <c r="G174" s="703">
        <v>9772.4</v>
      </c>
      <c r="H174" s="691">
        <f t="shared" si="91"/>
        <v>9.7723999999999993</v>
      </c>
      <c r="I174" s="692">
        <f t="shared" si="69"/>
        <v>9.5866336650437898</v>
      </c>
      <c r="J174" s="693">
        <f t="shared" si="70"/>
        <v>1.4662943224285001</v>
      </c>
      <c r="K174" s="693">
        <f t="shared" si="71"/>
        <v>1.0000139420323195</v>
      </c>
      <c r="L174" s="694">
        <f t="shared" si="72"/>
        <v>5.2805057215804382E-3</v>
      </c>
      <c r="M174" s="693">
        <f t="shared" si="73"/>
        <v>1.0000777753686652</v>
      </c>
      <c r="N174" s="694">
        <f t="shared" si="74"/>
        <v>-1.247159397668782E-2</v>
      </c>
      <c r="O174" s="692">
        <f t="shared" si="75"/>
        <v>17683.718435681956</v>
      </c>
      <c r="P174" s="695">
        <f t="shared" si="76"/>
        <v>1.5707397776022498</v>
      </c>
      <c r="Q174" s="704">
        <f t="shared" si="103"/>
        <v>7.4357653989443842</v>
      </c>
      <c r="R174" s="705">
        <f t="shared" si="104"/>
        <v>1.4359024560471407</v>
      </c>
      <c r="S174" s="692">
        <f t="shared" si="79"/>
        <v>1.0012057310411757</v>
      </c>
      <c r="T174" s="695">
        <f t="shared" si="80"/>
        <v>4.908198848672829E-2</v>
      </c>
      <c r="U174" s="696">
        <f t="shared" si="92"/>
        <v>0.99466124634801467</v>
      </c>
      <c r="V174" s="697">
        <f t="shared" si="93"/>
        <v>-0.12250303115000943</v>
      </c>
      <c r="W174" s="698">
        <f t="shared" si="81"/>
        <v>9.6497102229188929</v>
      </c>
      <c r="X174" s="699">
        <f t="shared" si="82"/>
        <v>-101.98120222161258</v>
      </c>
      <c r="Y174" s="702">
        <f t="shared" si="83"/>
        <v>78.018797778387423</v>
      </c>
      <c r="AA174" s="174">
        <f t="shared" si="84"/>
        <v>1000000000</v>
      </c>
      <c r="AB174" s="174">
        <f t="shared" si="85"/>
        <v>95499801.75999999</v>
      </c>
      <c r="AD174" s="701">
        <f t="shared" si="86"/>
        <v>27.673024886750209</v>
      </c>
      <c r="AE174" s="702">
        <f t="shared" si="87"/>
        <v>-10.537800248396527</v>
      </c>
      <c r="AG174" s="701">
        <f t="shared" si="88"/>
        <v>7.4576203945478072</v>
      </c>
      <c r="AH174" s="702">
        <f t="shared" si="89"/>
        <v>-77.405588632265108</v>
      </c>
      <c r="AJ174" s="174">
        <f t="shared" si="90"/>
        <v>0</v>
      </c>
      <c r="AK174" s="174">
        <f t="shared" si="102"/>
        <v>0</v>
      </c>
      <c r="AM174" s="174" t="str">
        <f t="shared" si="94"/>
        <v>0.0153490669095671+0.174535211244435i</v>
      </c>
      <c r="AN174" s="174" t="str">
        <f t="shared" si="95"/>
        <v>0.1754337143592i</v>
      </c>
      <c r="AO174" s="174" t="str">
        <f t="shared" si="96"/>
        <v>0.994878389720887-0.0874921161284879i</v>
      </c>
      <c r="AP174" s="174" t="str">
        <f t="shared" si="97"/>
        <v>0.164108488848405-0.0290892018740725i</v>
      </c>
      <c r="AQ174" s="174" t="str">
        <f t="shared" si="98"/>
        <v>0.835891511151595+0.0290892018740725i</v>
      </c>
      <c r="AR174" s="174" t="str">
        <f t="shared" si="99"/>
        <v>0.995335400023399-0.0346378830236026i</v>
      </c>
    </row>
    <row r="175" spans="7:44" x14ac:dyDescent="0.2">
      <c r="G175" s="703">
        <v>9829.2999999999993</v>
      </c>
      <c r="H175" s="691">
        <f t="shared" si="91"/>
        <v>9.8292999999999999</v>
      </c>
      <c r="I175" s="692">
        <f t="shared" si="69"/>
        <v>9.6418464174609113</v>
      </c>
      <c r="J175" s="693">
        <f t="shared" si="70"/>
        <v>1.4668949083203129</v>
      </c>
      <c r="K175" s="693">
        <f t="shared" si="71"/>
        <v>1.0000141048593703</v>
      </c>
      <c r="L175" s="694">
        <f t="shared" si="72"/>
        <v>5.311250998216813E-3</v>
      </c>
      <c r="M175" s="693">
        <f t="shared" si="73"/>
        <v>1.0000786836670206</v>
      </c>
      <c r="N175" s="694">
        <f t="shared" si="74"/>
        <v>-1.2544202493648899E-2</v>
      </c>
      <c r="O175" s="692">
        <f t="shared" si="75"/>
        <v>17786.682249666439</v>
      </c>
      <c r="P175" s="695">
        <f t="shared" si="76"/>
        <v>1.5707401049550678</v>
      </c>
      <c r="Q175" s="704">
        <f t="shared" si="103"/>
        <v>7.4782794790725706</v>
      </c>
      <c r="R175" s="705">
        <f t="shared" si="104"/>
        <v>1.436673974028873</v>
      </c>
      <c r="S175" s="692">
        <f t="shared" si="79"/>
        <v>1.0012198041271039</v>
      </c>
      <c r="T175" s="695">
        <f t="shared" si="80"/>
        <v>4.9367306616673212E-2</v>
      </c>
      <c r="U175" s="696">
        <f t="shared" si="92"/>
        <v>0.99460397561696634</v>
      </c>
      <c r="V175" s="697">
        <f t="shared" si="93"/>
        <v>-0.12321279796599104</v>
      </c>
      <c r="W175" s="698">
        <f t="shared" si="81"/>
        <v>9.5983088979501172</v>
      </c>
      <c r="X175" s="699">
        <f t="shared" si="82"/>
        <v>-102.03084004491437</v>
      </c>
      <c r="Y175" s="702">
        <f t="shared" si="83"/>
        <v>77.96915995508563</v>
      </c>
      <c r="AA175" s="174">
        <f t="shared" si="84"/>
        <v>1000000000</v>
      </c>
      <c r="AB175" s="174">
        <f t="shared" si="85"/>
        <v>96615138.48999998</v>
      </c>
      <c r="AD175" s="701">
        <f t="shared" si="86"/>
        <v>27.671995940059517</v>
      </c>
      <c r="AE175" s="702">
        <f t="shared" si="87"/>
        <v>-10.50996180479231</v>
      </c>
      <c r="AG175" s="701">
        <f t="shared" si="88"/>
        <v>7.4082482795710085</v>
      </c>
      <c r="AH175" s="702">
        <f t="shared" si="89"/>
        <v>-77.401731613089851</v>
      </c>
      <c r="AJ175" s="174">
        <f t="shared" si="90"/>
        <v>0</v>
      </c>
      <c r="AK175" s="174">
        <f t="shared" si="102"/>
        <v>0</v>
      </c>
      <c r="AM175" s="174" t="str">
        <f t="shared" si="94"/>
        <v>0.0155278624234571+0.175540907868998i</v>
      </c>
      <c r="AN175" s="174" t="str">
        <f t="shared" si="95"/>
        <v>0.1764551807694i</v>
      </c>
      <c r="AO175" s="174" t="str">
        <f t="shared" si="96"/>
        <v>0.994818667854265-0.0879989034935146i</v>
      </c>
      <c r="AP175" s="174" t="str">
        <f t="shared" si="97"/>
        <v>0.16407868959609-0.0292568179781663i</v>
      </c>
      <c r="AQ175" s="174" t="str">
        <f t="shared" si="98"/>
        <v>0.83592131040391+0.0292568179781663i</v>
      </c>
      <c r="AR175" s="174" t="str">
        <f t="shared" si="99"/>
        <v>0.995286090820382-0.0348345037181342i</v>
      </c>
    </row>
    <row r="176" spans="7:44" x14ac:dyDescent="0.2">
      <c r="G176" s="703">
        <v>9886.2000000000007</v>
      </c>
      <c r="H176" s="691">
        <f t="shared" si="91"/>
        <v>9.8862000000000005</v>
      </c>
      <c r="I176" s="692">
        <f t="shared" si="69"/>
        <v>9.6970626081201701</v>
      </c>
      <c r="J176" s="693">
        <f t="shared" si="70"/>
        <v>1.4674886548138688</v>
      </c>
      <c r="K176" s="693">
        <f t="shared" si="71"/>
        <v>1.0000142686317062</v>
      </c>
      <c r="L176" s="694">
        <f t="shared" si="72"/>
        <v>5.3419962648119422E-3</v>
      </c>
      <c r="M176" s="693">
        <f t="shared" si="73"/>
        <v>1.0000795972377781</v>
      </c>
      <c r="N176" s="694">
        <f t="shared" si="74"/>
        <v>-1.2616810878337294E-2</v>
      </c>
      <c r="O176" s="692">
        <f t="shared" si="75"/>
        <v>17889.64606365281</v>
      </c>
      <c r="P176" s="695">
        <f t="shared" si="76"/>
        <v>1.5707404285397293</v>
      </c>
      <c r="Q176" s="704">
        <f t="shared" si="103"/>
        <v>7.5207979602442441</v>
      </c>
      <c r="R176" s="705">
        <f t="shared" si="104"/>
        <v>1.4374367689783925</v>
      </c>
      <c r="S176" s="692">
        <f t="shared" si="79"/>
        <v>1.0012339587164722</v>
      </c>
      <c r="T176" s="695">
        <f t="shared" si="80"/>
        <v>4.9652616702676289E-2</v>
      </c>
      <c r="U176" s="696">
        <f t="shared" si="92"/>
        <v>0.99454638183505883</v>
      </c>
      <c r="V176" s="697">
        <f t="shared" si="93"/>
        <v>-0.12392250414803621</v>
      </c>
      <c r="W176" s="698">
        <f t="shared" si="81"/>
        <v>9.5472012464691112</v>
      </c>
      <c r="X176" s="699">
        <f t="shared" si="82"/>
        <v>-102.08058163463676</v>
      </c>
      <c r="Y176" s="702">
        <f t="shared" si="83"/>
        <v>77.919418365363242</v>
      </c>
      <c r="AA176" s="174">
        <f t="shared" si="84"/>
        <v>1000000000</v>
      </c>
      <c r="AB176" s="174">
        <f t="shared" si="85"/>
        <v>97736950.440000013</v>
      </c>
      <c r="AD176" s="701">
        <f t="shared" si="86"/>
        <v>27.670981716633172</v>
      </c>
      <c r="AE176" s="702">
        <f t="shared" si="87"/>
        <v>-10.482622477335614</v>
      </c>
      <c r="AG176" s="701">
        <f t="shared" si="88"/>
        <v>7.3591608151565593</v>
      </c>
      <c r="AH176" s="702">
        <f t="shared" si="89"/>
        <v>-77.397486192324891</v>
      </c>
      <c r="AJ176" s="174">
        <f t="shared" si="90"/>
        <v>0</v>
      </c>
      <c r="AK176" s="174">
        <f t="shared" si="102"/>
        <v>0</v>
      </c>
      <c r="AM176" s="174" t="str">
        <f t="shared" si="94"/>
        <v>0.0157076851292119+0.176546421335312i</v>
      </c>
      <c r="AN176" s="174" t="str">
        <f t="shared" si="95"/>
        <v>0.1774766471796i</v>
      </c>
      <c r="AO176" s="174" t="str">
        <f t="shared" si="96"/>
        <v>0.994758601432522-0.0885056449895421i</v>
      </c>
      <c r="AP176" s="174" t="str">
        <f t="shared" si="97"/>
        <v>0.164048719145131-0.0294244035558853i</v>
      </c>
      <c r="AQ176" s="174" t="str">
        <f t="shared" si="98"/>
        <v>0.835951280854869+0.0294244035558853i</v>
      </c>
      <c r="AR176" s="174" t="str">
        <f t="shared" si="99"/>
        <v>0.995236506805592-0.0350310374306148i</v>
      </c>
    </row>
    <row r="177" spans="7:44" x14ac:dyDescent="0.2">
      <c r="G177" s="703">
        <v>9943.1</v>
      </c>
      <c r="H177" s="691">
        <f t="shared" si="91"/>
        <v>9.9431000000000012</v>
      </c>
      <c r="I177" s="692">
        <f t="shared" si="69"/>
        <v>9.7522821786208791</v>
      </c>
      <c r="J177" s="693">
        <f t="shared" si="70"/>
        <v>1.4680756776654786</v>
      </c>
      <c r="K177" s="693">
        <f t="shared" si="71"/>
        <v>1.0000144333493266</v>
      </c>
      <c r="L177" s="694">
        <f t="shared" si="72"/>
        <v>5.3727415213077057E-3</v>
      </c>
      <c r="M177" s="693">
        <f t="shared" si="73"/>
        <v>1.0000805160809232</v>
      </c>
      <c r="N177" s="694">
        <f t="shared" si="74"/>
        <v>-1.2689419129987785E-2</v>
      </c>
      <c r="O177" s="692">
        <f t="shared" si="75"/>
        <v>17992.609877641025</v>
      </c>
      <c r="P177" s="695">
        <f t="shared" si="76"/>
        <v>1.5707407484209244</v>
      </c>
      <c r="Q177" s="704">
        <f t="shared" si="103"/>
        <v>7.5633207682357781</v>
      </c>
      <c r="R177" s="705">
        <f t="shared" si="104"/>
        <v>1.4381909871294087</v>
      </c>
      <c r="S177" s="692">
        <f t="shared" si="79"/>
        <v>1.0012481948058238</v>
      </c>
      <c r="T177" s="695">
        <f t="shared" si="80"/>
        <v>4.9937918698630103E-2</v>
      </c>
      <c r="U177" s="696">
        <f t="shared" si="92"/>
        <v>0.99448846516359612</v>
      </c>
      <c r="V177" s="697">
        <f t="shared" si="93"/>
        <v>-0.12463214935928069</v>
      </c>
      <c r="W177" s="698">
        <f t="shared" si="81"/>
        <v>9.4963837924879186</v>
      </c>
      <c r="X177" s="699">
        <f t="shared" si="82"/>
        <v>-102.13042522627666</v>
      </c>
      <c r="Y177" s="702">
        <f t="shared" si="83"/>
        <v>77.869574773723343</v>
      </c>
      <c r="AA177" s="174">
        <f t="shared" si="84"/>
        <v>1000000000</v>
      </c>
      <c r="AB177" s="174">
        <f t="shared" si="85"/>
        <v>98865237.610000014</v>
      </c>
      <c r="AD177" s="701">
        <f t="shared" si="86"/>
        <v>27.669981869525728</v>
      </c>
      <c r="AE177" s="702">
        <f t="shared" si="87"/>
        <v>-10.455773888516783</v>
      </c>
      <c r="AG177" s="701">
        <f t="shared" si="88"/>
        <v>7.3103548704312793</v>
      </c>
      <c r="AH177" s="702">
        <f t="shared" si="89"/>
        <v>-77.392859021578772</v>
      </c>
      <c r="AJ177" s="174">
        <f t="shared" si="90"/>
        <v>0</v>
      </c>
      <c r="AK177" s="174">
        <f t="shared" si="102"/>
        <v>0</v>
      </c>
      <c r="AM177" s="174" t="str">
        <f t="shared" si="94"/>
        <v>0.015888534839206+0.177551750594232i</v>
      </c>
      <c r="AN177" s="174" t="str">
        <f t="shared" si="95"/>
        <v>0.1784981135898i</v>
      </c>
      <c r="AO177" s="174" t="str">
        <f t="shared" si="96"/>
        <v>0.994698190493246-0.0890123403529006i</v>
      </c>
      <c r="AP177" s="174" t="str">
        <f t="shared" si="97"/>
        <v>0.164018577526799-0.029591958432372i</v>
      </c>
      <c r="AQ177" s="174" t="str">
        <f t="shared" si="98"/>
        <v>0.835981422473201+0.029591958432372i</v>
      </c>
      <c r="AR177" s="174" t="str">
        <f t="shared" si="99"/>
        <v>0.995186648174161-0.0352274836898848i</v>
      </c>
    </row>
    <row r="178" spans="7:44" x14ac:dyDescent="0.2">
      <c r="G178" s="703">
        <v>10000</v>
      </c>
      <c r="H178" s="691">
        <f t="shared" si="91"/>
        <v>10</v>
      </c>
      <c r="I178" s="692">
        <f t="shared" si="69"/>
        <v>9.8075050718740933</v>
      </c>
      <c r="J178" s="693">
        <f t="shared" si="70"/>
        <v>1.4686560900430834</v>
      </c>
      <c r="K178" s="693">
        <f t="shared" si="71"/>
        <v>1.0000145990122311</v>
      </c>
      <c r="L178" s="694">
        <f t="shared" si="72"/>
        <v>5.4034867676459822E-3</v>
      </c>
      <c r="M178" s="693">
        <f t="shared" si="73"/>
        <v>1.0000814401964413</v>
      </c>
      <c r="N178" s="694">
        <f t="shared" si="74"/>
        <v>-1.2762027247835166E-2</v>
      </c>
      <c r="O178" s="692">
        <f t="shared" si="75"/>
        <v>18095.573691631067</v>
      </c>
      <c r="P178" s="695">
        <f t="shared" si="76"/>
        <v>1.5707410646618718</v>
      </c>
      <c r="Q178" s="704">
        <f t="shared" si="103"/>
        <v>7.6058478304759669</v>
      </c>
      <c r="R178" s="705">
        <f t="shared" si="104"/>
        <v>1.43893677148458</v>
      </c>
      <c r="S178" s="692">
        <f t="shared" si="79"/>
        <v>1.0012625123916827</v>
      </c>
      <c r="T178" s="695">
        <f t="shared" si="80"/>
        <v>5.0223212558435155E-2</v>
      </c>
      <c r="U178" s="696">
        <f t="shared" si="92"/>
        <v>0.99443022576472062</v>
      </c>
      <c r="V178" s="697">
        <f t="shared" si="93"/>
        <v>-0.12534173326309894</v>
      </c>
      <c r="W178" s="698">
        <f t="shared" si="81"/>
        <v>9.4458531209673264</v>
      </c>
      <c r="X178" s="699">
        <f t="shared" si="82"/>
        <v>-102.18036909208382</v>
      </c>
      <c r="Y178" s="702">
        <f t="shared" si="83"/>
        <v>77.819630907916178</v>
      </c>
      <c r="AA178" s="174">
        <f t="shared" si="84"/>
        <v>1000000000</v>
      </c>
      <c r="AB178" s="174">
        <f t="shared" si="85"/>
        <v>100000000</v>
      </c>
      <c r="AD178" s="701">
        <f t="shared" si="86"/>
        <v>27.668996061465304</v>
      </c>
      <c r="AE178" s="702">
        <f t="shared" si="87"/>
        <v>-10.429407845867878</v>
      </c>
      <c r="AG178" s="701">
        <f t="shared" si="88"/>
        <v>7.2618273657875818</v>
      </c>
      <c r="AH178" s="702">
        <f t="shared" si="89"/>
        <v>-77.387856604143522</v>
      </c>
      <c r="AJ178" s="174">
        <f t="shared" si="90"/>
        <v>0</v>
      </c>
      <c r="AK178" s="174">
        <f t="shared" si="102"/>
        <v>0</v>
      </c>
      <c r="AM178" s="174" t="str">
        <f t="shared" si="94"/>
        <v>0.016070411364743+0.178556894596802i</v>
      </c>
      <c r="AN178" s="174" t="str">
        <f t="shared" si="95"/>
        <v>0.17951958i</v>
      </c>
      <c r="AO178" s="174" t="str">
        <f t="shared" si="96"/>
        <v>0.994637435074224-0.0895189893199561i</v>
      </c>
      <c r="AP178" s="174" t="str">
        <f t="shared" si="97"/>
        <v>0.163988264772543-0.0297594824328003i</v>
      </c>
      <c r="AQ178" s="174" t="str">
        <f t="shared" si="98"/>
        <v>0.836011735227457+0.0297594824328003i</v>
      </c>
      <c r="AR178" s="174" t="str">
        <f t="shared" si="99"/>
        <v>0.995136515122236-0.0354238420253286i</v>
      </c>
    </row>
    <row r="179" spans="7:44" x14ac:dyDescent="0.2">
      <c r="G179" s="703">
        <v>10058.25</v>
      </c>
      <c r="H179" s="691">
        <f t="shared" si="91"/>
        <v>10.058249999999999</v>
      </c>
      <c r="I179" s="692">
        <f t="shared" si="69"/>
        <v>9.8640415580447023</v>
      </c>
      <c r="J179" s="693">
        <f t="shared" si="70"/>
        <v>1.4692435411073725</v>
      </c>
      <c r="K179" s="693">
        <f t="shared" si="71"/>
        <v>1.0000147695848176</v>
      </c>
      <c r="L179" s="694">
        <f t="shared" si="72"/>
        <v>5.4349614600371857E-3</v>
      </c>
      <c r="M179" s="693">
        <f t="shared" si="73"/>
        <v>1.0000823916988502</v>
      </c>
      <c r="N179" s="694">
        <f t="shared" si="74"/>
        <v>-1.2836357914490011E-2</v>
      </c>
      <c r="O179" s="692">
        <f t="shared" si="75"/>
        <v>18200.98040806385</v>
      </c>
      <c r="P179" s="695">
        <f t="shared" si="76"/>
        <v>1.5707413846995764</v>
      </c>
      <c r="Q179" s="704">
        <f t="shared" si="103"/>
        <v>7.6493882155372859</v>
      </c>
      <c r="R179" s="705">
        <f t="shared" si="104"/>
        <v>1.4396916598816409</v>
      </c>
      <c r="S179" s="692">
        <f t="shared" si="79"/>
        <v>1.001277254090372</v>
      </c>
      <c r="T179" s="695">
        <f t="shared" si="80"/>
        <v>5.0515266777110233E-2</v>
      </c>
      <c r="U179" s="696">
        <f t="shared" si="92"/>
        <v>0.99437027045397874</v>
      </c>
      <c r="V179" s="697">
        <f t="shared" si="93"/>
        <v>-0.12606808877963915</v>
      </c>
      <c r="W179" s="698">
        <f t="shared" si="81"/>
        <v>9.3944171334881972</v>
      </c>
      <c r="X179" s="699">
        <f t="shared" si="82"/>
        <v>-102.23160002254646</v>
      </c>
      <c r="Y179" s="702">
        <f t="shared" si="83"/>
        <v>77.768399977453541</v>
      </c>
      <c r="AA179" s="174">
        <f t="shared" si="84"/>
        <v>1000000000</v>
      </c>
      <c r="AB179" s="174">
        <f t="shared" si="85"/>
        <v>101168393.0625</v>
      </c>
      <c r="AD179" s="701">
        <f t="shared" si="86"/>
        <v>27.668001064604553</v>
      </c>
      <c r="AE179" s="702">
        <f t="shared" si="87"/>
        <v>-10.402907737611438</v>
      </c>
      <c r="AG179" s="701">
        <f t="shared" si="88"/>
        <v>7.2124337707495325</v>
      </c>
      <c r="AH179" s="702">
        <f t="shared" si="89"/>
        <v>-77.382353431719892</v>
      </c>
      <c r="AJ179" s="174">
        <f t="shared" si="90"/>
        <v>0</v>
      </c>
      <c r="AK179" s="174">
        <f t="shared" si="102"/>
        <v>0</v>
      </c>
      <c r="AM179" s="174" t="str">
        <f t="shared" si="94"/>
        <v>0.016257666512171+0.179585693483422i</v>
      </c>
      <c r="AN179" s="174" t="str">
        <f t="shared" si="95"/>
        <v>0.1805652815535i</v>
      </c>
      <c r="AO179" s="174" t="str">
        <f t="shared" si="96"/>
        <v>0.994574881385557-0.090037610620921i</v>
      </c>
      <c r="AP179" s="174" t="str">
        <f t="shared" si="97"/>
        <v>0.163957055581305-0.0299309489139037i</v>
      </c>
      <c r="AQ179" s="174" t="str">
        <f t="shared" si="98"/>
        <v>0.836042944418695+0.0299309489139037i</v>
      </c>
      <c r="AR179" s="174" t="str">
        <f t="shared" si="99"/>
        <v>0.995084908563647-0.0356247675577526i</v>
      </c>
    </row>
    <row r="180" spans="7:44" x14ac:dyDescent="0.2">
      <c r="G180" s="703">
        <v>10116.5</v>
      </c>
      <c r="H180" s="691">
        <f t="shared" si="91"/>
        <v>10.1165</v>
      </c>
      <c r="I180" s="692">
        <f t="shared" si="69"/>
        <v>9.9205814094841216</v>
      </c>
      <c r="J180" s="693">
        <f t="shared" si="70"/>
        <v>1.4698242963118484</v>
      </c>
      <c r="K180" s="693">
        <f t="shared" si="71"/>
        <v>1.0000149411480745</v>
      </c>
      <c r="L180" s="694">
        <f t="shared" si="72"/>
        <v>5.4664361416599276E-3</v>
      </c>
      <c r="M180" s="693">
        <f t="shared" si="73"/>
        <v>1.0000833487267518</v>
      </c>
      <c r="N180" s="694">
        <f t="shared" si="74"/>
        <v>-1.2910688439294346E-2</v>
      </c>
      <c r="O180" s="692">
        <f t="shared" si="75"/>
        <v>18306.387124498473</v>
      </c>
      <c r="P180" s="695">
        <f t="shared" si="76"/>
        <v>1.5707417010517777</v>
      </c>
      <c r="Q180" s="704">
        <f t="shared" si="103"/>
        <v>7.6929329103080448</v>
      </c>
      <c r="R180" s="705">
        <f t="shared" si="104"/>
        <v>1.4404380028345436</v>
      </c>
      <c r="S180" s="692">
        <f t="shared" si="79"/>
        <v>1.0012920811911534</v>
      </c>
      <c r="T180" s="695">
        <f t="shared" si="80"/>
        <v>5.0807312371236042E-2</v>
      </c>
      <c r="U180" s="696">
        <f t="shared" si="92"/>
        <v>0.994309977266852</v>
      </c>
      <c r="V180" s="697">
        <f t="shared" si="93"/>
        <v>-0.12679437933192647</v>
      </c>
      <c r="W180" s="698">
        <f t="shared" si="81"/>
        <v>9.3432746448794362</v>
      </c>
      <c r="X180" s="699">
        <f t="shared" si="82"/>
        <v>-102.28293249138406</v>
      </c>
      <c r="Y180" s="702">
        <f t="shared" si="83"/>
        <v>77.717067508615941</v>
      </c>
      <c r="AA180" s="174">
        <f t="shared" si="84"/>
        <v>1000000000</v>
      </c>
      <c r="AB180" s="174">
        <f t="shared" si="85"/>
        <v>102343572.25</v>
      </c>
      <c r="AD180" s="701">
        <f t="shared" si="86"/>
        <v>27.667020095240446</v>
      </c>
      <c r="AE180" s="702">
        <f t="shared" si="87"/>
        <v>-10.376896541925834</v>
      </c>
      <c r="AG180" s="701">
        <f t="shared" si="88"/>
        <v>7.163325613341347</v>
      </c>
      <c r="AH180" s="702">
        <f t="shared" si="89"/>
        <v>-77.376470329455387</v>
      </c>
      <c r="AJ180" s="174">
        <f t="shared" si="90"/>
        <v>0</v>
      </c>
      <c r="AK180" s="174">
        <f t="shared" si="102"/>
        <v>0</v>
      </c>
      <c r="AM180" s="174" t="str">
        <f t="shared" si="94"/>
        <v>0.016445997373617+0.180614295994587i</v>
      </c>
      <c r="AN180" s="174" t="str">
        <f t="shared" si="95"/>
        <v>0.181610983107i</v>
      </c>
      <c r="AO180" s="174" t="str">
        <f t="shared" si="96"/>
        <v>0.994511966757948-0.0905561827388352i</v>
      </c>
      <c r="AP180" s="174" t="str">
        <f t="shared" si="97"/>
        <v>0.163925667104397-0.0301023826657645i</v>
      </c>
      <c r="AQ180" s="174" t="str">
        <f t="shared" si="98"/>
        <v>0.836074332895603+0.0301023826657645i</v>
      </c>
      <c r="AR180" s="174" t="str">
        <f t="shared" si="99"/>
        <v>0.995033014827645-0.0358255999483615i</v>
      </c>
    </row>
    <row r="181" spans="7:44" x14ac:dyDescent="0.2">
      <c r="G181" s="703">
        <v>10174.75</v>
      </c>
      <c r="H181" s="691">
        <f t="shared" si="91"/>
        <v>10.17475</v>
      </c>
      <c r="I181" s="692">
        <f t="shared" si="69"/>
        <v>9.9771245689799368</v>
      </c>
      <c r="J181" s="693">
        <f t="shared" si="70"/>
        <v>1.4703984691033309</v>
      </c>
      <c r="K181" s="693">
        <f t="shared" si="71"/>
        <v>1.0000151137020017</v>
      </c>
      <c r="L181" s="694">
        <f t="shared" si="72"/>
        <v>5.4979108124518549E-3</v>
      </c>
      <c r="M181" s="693">
        <f t="shared" si="73"/>
        <v>1.0000843112801303</v>
      </c>
      <c r="N181" s="694">
        <f t="shared" si="74"/>
        <v>-1.2985018821427228E-2</v>
      </c>
      <c r="O181" s="692">
        <f t="shared" si="75"/>
        <v>18411.793840934908</v>
      </c>
      <c r="P181" s="695">
        <f t="shared" si="76"/>
        <v>1.570742013781774</v>
      </c>
      <c r="Q181" s="704">
        <f t="shared" si="103"/>
        <v>7.7364818420168007</v>
      </c>
      <c r="R181" s="705">
        <f t="shared" si="104"/>
        <v>1.4411759438125487</v>
      </c>
      <c r="S181" s="692">
        <f t="shared" si="79"/>
        <v>1.0013069936902326</v>
      </c>
      <c r="T181" s="695">
        <f t="shared" si="80"/>
        <v>5.1099349291379347E-2</v>
      </c>
      <c r="U181" s="696">
        <f t="shared" si="92"/>
        <v>0.99424934638009521</v>
      </c>
      <c r="V181" s="697">
        <f t="shared" si="93"/>
        <v>-0.12752060455957748</v>
      </c>
      <c r="W181" s="698">
        <f t="shared" si="81"/>
        <v>9.2924221805516876</v>
      </c>
      <c r="X181" s="699">
        <f t="shared" si="82"/>
        <v>-102.33436475853986</v>
      </c>
      <c r="Y181" s="702">
        <f t="shared" si="83"/>
        <v>77.665635241460137</v>
      </c>
      <c r="AA181" s="174">
        <f t="shared" si="84"/>
        <v>1000000000</v>
      </c>
      <c r="AB181" s="174">
        <f t="shared" si="85"/>
        <v>103525537.5625</v>
      </c>
      <c r="AD181" s="701">
        <f t="shared" si="86"/>
        <v>27.666052820969774</v>
      </c>
      <c r="AE181" s="702">
        <f t="shared" si="87"/>
        <v>-10.351366039422345</v>
      </c>
      <c r="AG181" s="701">
        <f t="shared" si="88"/>
        <v>7.1144997493701005</v>
      </c>
      <c r="AH181" s="702">
        <f t="shared" si="89"/>
        <v>-77.370213817978978</v>
      </c>
      <c r="AJ181" s="174">
        <f t="shared" si="90"/>
        <v>0</v>
      </c>
      <c r="AK181" s="174">
        <f t="shared" si="102"/>
        <v>0</v>
      </c>
      <c r="AM181" s="174" t="str">
        <f t="shared" si="94"/>
        <v>0.016635403743141+0.18164270100553i</v>
      </c>
      <c r="AN181" s="174" t="str">
        <f t="shared" si="95"/>
        <v>0.1826566846605i</v>
      </c>
      <c r="AO181" s="174" t="str">
        <f t="shared" si="96"/>
        <v>0.994448691232655-0.0910747053909407i</v>
      </c>
      <c r="AP181" s="174" t="str">
        <f t="shared" si="97"/>
        <v>0.163894099376143-0.0302737835009217i</v>
      </c>
      <c r="AQ181" s="174" t="str">
        <f t="shared" si="98"/>
        <v>0.836105900623857+0.0302737835009217i</v>
      </c>
      <c r="AR181" s="174" t="str">
        <f t="shared" si="99"/>
        <v>0.994980834127974-0.0360263386940356i</v>
      </c>
    </row>
    <row r="182" spans="7:44" x14ac:dyDescent="0.2">
      <c r="G182" s="703">
        <v>10233</v>
      </c>
      <c r="H182" s="691">
        <f t="shared" si="91"/>
        <v>10.233000000000001</v>
      </c>
      <c r="I182" s="692">
        <f t="shared" si="69"/>
        <v>10.033670980606066</v>
      </c>
      <c r="J182" s="693">
        <f t="shared" si="70"/>
        <v>1.4709661703888335</v>
      </c>
      <c r="K182" s="693">
        <f t="shared" si="71"/>
        <v>1.0000152872465984</v>
      </c>
      <c r="L182" s="694">
        <f t="shared" si="72"/>
        <v>5.5293854723506121E-3</v>
      </c>
      <c r="M182" s="693">
        <f t="shared" si="73"/>
        <v>1.0000852793589696</v>
      </c>
      <c r="N182" s="694">
        <f t="shared" si="74"/>
        <v>-1.3059349060067714E-2</v>
      </c>
      <c r="O182" s="692">
        <f t="shared" si="75"/>
        <v>18517.200557373122</v>
      </c>
      <c r="P182" s="695">
        <f t="shared" si="76"/>
        <v>1.5707423229514221</v>
      </c>
      <c r="Q182" s="704">
        <f t="shared" si="103"/>
        <v>7.7800349395144677</v>
      </c>
      <c r="R182" s="705">
        <f t="shared" si="104"/>
        <v>1.441905623109393</v>
      </c>
      <c r="S182" s="692">
        <f t="shared" si="79"/>
        <v>1.0013219915837943</v>
      </c>
      <c r="T182" s="695">
        <f t="shared" si="80"/>
        <v>5.1391377488115723E-2</v>
      </c>
      <c r="U182" s="696">
        <f t="shared" si="92"/>
        <v>0.99418837797138293</v>
      </c>
      <c r="V182" s="697">
        <f t="shared" si="93"/>
        <v>-0.12824676410249636</v>
      </c>
      <c r="W182" s="698">
        <f t="shared" si="81"/>
        <v>9.2418563268146574</v>
      </c>
      <c r="X182" s="699">
        <f t="shared" si="82"/>
        <v>-102.38589512031564</v>
      </c>
      <c r="Y182" s="702">
        <f t="shared" si="83"/>
        <v>77.614104879684362</v>
      </c>
      <c r="AA182" s="174">
        <f t="shared" si="84"/>
        <v>1000000000</v>
      </c>
      <c r="AB182" s="174">
        <f t="shared" si="85"/>
        <v>104714289</v>
      </c>
      <c r="AD182" s="701">
        <f t="shared" si="86"/>
        <v>27.665098918668782</v>
      </c>
      <c r="AE182" s="702">
        <f t="shared" si="87"/>
        <v>-10.326308192574253</v>
      </c>
      <c r="AG182" s="701">
        <f t="shared" si="88"/>
        <v>7.0659530862519491</v>
      </c>
      <c r="AH182" s="702">
        <f t="shared" si="89"/>
        <v>-77.363590272382936</v>
      </c>
      <c r="AJ182" s="174">
        <f t="shared" si="90"/>
        <v>0</v>
      </c>
      <c r="AK182" s="174">
        <f t="shared" si="102"/>
        <v>0</v>
      </c>
      <c r="AM182" s="174" t="str">
        <f t="shared" si="94"/>
        <v>0.0168258854136299+0.182670907391698i</v>
      </c>
      <c r="AN182" s="174" t="str">
        <f t="shared" si="95"/>
        <v>0.183702386214i</v>
      </c>
      <c r="AO182" s="174" t="str">
        <f t="shared" si="96"/>
        <v>0.994385054851163-0.0915931782945321i</v>
      </c>
      <c r="AP182" s="174" t="str">
        <f t="shared" si="97"/>
        <v>0.163862352431062-0.0304451512319497i</v>
      </c>
      <c r="AQ182" s="174" t="str">
        <f t="shared" si="98"/>
        <v>0.836137647568938+0.0304451512319497i</v>
      </c>
      <c r="AR182" s="174" t="str">
        <f t="shared" si="99"/>
        <v>0.994928366679484-0.0362269832922649i</v>
      </c>
    </row>
    <row r="183" spans="7:44" x14ac:dyDescent="0.2">
      <c r="G183" s="703">
        <v>10292.5</v>
      </c>
      <c r="H183" s="691">
        <f t="shared" si="91"/>
        <v>10.2925</v>
      </c>
      <c r="I183" s="692">
        <f t="shared" si="69"/>
        <v>10.091434135258096</v>
      </c>
      <c r="J183" s="693">
        <f t="shared" si="70"/>
        <v>1.4715394855394743</v>
      </c>
      <c r="K183" s="693">
        <f t="shared" si="71"/>
        <v>1.0000154655381135</v>
      </c>
      <c r="L183" s="694">
        <f t="shared" si="72"/>
        <v>5.5615355428244541E-3</v>
      </c>
      <c r="M183" s="693">
        <f t="shared" si="73"/>
        <v>1.0000862739166076</v>
      </c>
      <c r="N183" s="694">
        <f t="shared" si="74"/>
        <v>-1.3135274219209033E-2</v>
      </c>
      <c r="O183" s="692">
        <f t="shared" si="75"/>
        <v>18624.869220517827</v>
      </c>
      <c r="P183" s="695">
        <f t="shared" si="76"/>
        <v>1.5707426351426954</v>
      </c>
      <c r="Q183" s="704">
        <f t="shared" si="103"/>
        <v>7.8245268813461433</v>
      </c>
      <c r="R183" s="705">
        <f t="shared" si="104"/>
        <v>1.4426425738924491</v>
      </c>
      <c r="S183" s="692">
        <f t="shared" si="79"/>
        <v>1.0013373994794696</v>
      </c>
      <c r="T183" s="695">
        <f t="shared" si="80"/>
        <v>5.1689663326758645E-2</v>
      </c>
      <c r="U183" s="696">
        <f t="shared" si="92"/>
        <v>0.9941257529493388</v>
      </c>
      <c r="V183" s="697">
        <f t="shared" si="93"/>
        <v>-0.12898843827989237</v>
      </c>
      <c r="W183" s="698">
        <f t="shared" si="81"/>
        <v>9.1904977837699384</v>
      </c>
      <c r="X183" s="699">
        <f t="shared" si="82"/>
        <v>-102.43863082411275</v>
      </c>
      <c r="Y183" s="702">
        <f t="shared" si="83"/>
        <v>77.561369175887251</v>
      </c>
      <c r="AA183" s="174">
        <f t="shared" si="84"/>
        <v>1000000000</v>
      </c>
      <c r="AB183" s="174">
        <f t="shared" si="85"/>
        <v>105935556.25</v>
      </c>
      <c r="AD183" s="701">
        <f t="shared" si="86"/>
        <v>27.664138025229764</v>
      </c>
      <c r="AE183" s="702">
        <f t="shared" si="87"/>
        <v>-10.301192429852707</v>
      </c>
      <c r="AG183" s="701">
        <f t="shared" si="88"/>
        <v>7.0166497386416502</v>
      </c>
      <c r="AH183" s="702">
        <f t="shared" si="89"/>
        <v>-77.356452138527231</v>
      </c>
      <c r="AJ183" s="174">
        <f t="shared" si="90"/>
        <v>0</v>
      </c>
      <c r="AK183" s="174">
        <f t="shared" si="102"/>
        <v>0</v>
      </c>
      <c r="AM183" s="174" t="str">
        <f t="shared" si="94"/>
        <v>0.01702156461827+0.183720972059494i</v>
      </c>
      <c r="AN183" s="174" t="str">
        <f t="shared" si="95"/>
        <v>0.184770527715i</v>
      </c>
      <c r="AO183" s="174" t="str">
        <f t="shared" si="96"/>
        <v>0.994319680370644-0.0921227255708496i</v>
      </c>
      <c r="AP183" s="174" t="str">
        <f t="shared" si="97"/>
        <v>0.163829739230288-0.0306201620099157i</v>
      </c>
      <c r="AQ183" s="174" t="str">
        <f t="shared" si="98"/>
        <v>0.836170260769712+0.0306201620099157i</v>
      </c>
      <c r="AR183" s="174" t="str">
        <f t="shared" si="99"/>
        <v>0.994874477499686-0.0364318358470781i</v>
      </c>
    </row>
    <row r="184" spans="7:44" x14ac:dyDescent="0.2">
      <c r="G184" s="703">
        <v>10352</v>
      </c>
      <c r="H184" s="691">
        <f t="shared" si="91"/>
        <v>10.352</v>
      </c>
      <c r="I184" s="692">
        <f t="shared" si="69"/>
        <v>10.149200569109381</v>
      </c>
      <c r="J184" s="693">
        <f t="shared" si="70"/>
        <v>1.4721062745730957</v>
      </c>
      <c r="K184" s="693">
        <f t="shared" si="71"/>
        <v>1.0000156448632713</v>
      </c>
      <c r="L184" s="694">
        <f t="shared" si="72"/>
        <v>5.5936856018010753E-3</v>
      </c>
      <c r="M184" s="693">
        <f t="shared" si="73"/>
        <v>1.0000872742393612</v>
      </c>
      <c r="N184" s="694">
        <f t="shared" si="74"/>
        <v>-1.3211199226901957E-2</v>
      </c>
      <c r="O184" s="692">
        <f t="shared" si="75"/>
        <v>18732.537883664329</v>
      </c>
      <c r="P184" s="695">
        <f t="shared" si="76"/>
        <v>1.5707429437452167</v>
      </c>
      <c r="Q184" s="704">
        <f t="shared" si="103"/>
        <v>7.8690230245957418</v>
      </c>
      <c r="R184" s="705">
        <f t="shared" si="104"/>
        <v>1.4433711907501308</v>
      </c>
      <c r="S184" s="692">
        <f t="shared" si="79"/>
        <v>1.0013528964658345</v>
      </c>
      <c r="T184" s="695">
        <f t="shared" si="80"/>
        <v>5.198793995936745E-2</v>
      </c>
      <c r="U184" s="696">
        <f t="shared" si="92"/>
        <v>0.99406277614172378</v>
      </c>
      <c r="V184" s="697">
        <f t="shared" si="93"/>
        <v>-0.12973004316457012</v>
      </c>
      <c r="W184" s="698">
        <f t="shared" si="81"/>
        <v>9.1394312724497357</v>
      </c>
      <c r="X184" s="699">
        <f t="shared" si="82"/>
        <v>-102.49146539641271</v>
      </c>
      <c r="Y184" s="702">
        <f t="shared" si="83"/>
        <v>77.508534603587293</v>
      </c>
      <c r="AA184" s="174">
        <f t="shared" si="84"/>
        <v>1000000000</v>
      </c>
      <c r="AB184" s="174">
        <f t="shared" si="85"/>
        <v>107163904</v>
      </c>
      <c r="AD184" s="701">
        <f t="shared" si="86"/>
        <v>27.66319043060237</v>
      </c>
      <c r="AE184" s="702">
        <f t="shared" si="87"/>
        <v>-10.276553432795181</v>
      </c>
      <c r="AG184" s="701">
        <f t="shared" si="88"/>
        <v>6.9676313405221659</v>
      </c>
      <c r="AH184" s="702">
        <f t="shared" si="89"/>
        <v>-77.348944047870987</v>
      </c>
      <c r="AJ184" s="174">
        <f t="shared" si="90"/>
        <v>0</v>
      </c>
      <c r="AK184" s="174">
        <f t="shared" si="102"/>
        <v>0</v>
      </c>
      <c r="AM184" s="174" t="str">
        <f t="shared" si="94"/>
        <v>0.017218365328719+0.184770827115228i</v>
      </c>
      <c r="AN184" s="174" t="str">
        <f t="shared" si="95"/>
        <v>0.185838669216i</v>
      </c>
      <c r="AO184" s="174" t="str">
        <f t="shared" si="96"/>
        <v>0.994253929468625-0.0926522203444436i</v>
      </c>
      <c r="AP184" s="174" t="str">
        <f t="shared" si="97"/>
        <v>0.16379693911188-0.030795137852538i</v>
      </c>
      <c r="AQ184" s="174" t="str">
        <f t="shared" si="98"/>
        <v>0.83620306088812+0.030795137852538i</v>
      </c>
      <c r="AR184" s="174" t="str">
        <f t="shared" si="99"/>
        <v>0.994820289588887-0.0366365891125223i</v>
      </c>
    </row>
    <row r="185" spans="7:44" x14ac:dyDescent="0.2">
      <c r="G185" s="703">
        <v>10411.5</v>
      </c>
      <c r="H185" s="691">
        <f t="shared" si="91"/>
        <v>10.4115</v>
      </c>
      <c r="I185" s="692">
        <f t="shared" si="69"/>
        <v>10.206970226483952</v>
      </c>
      <c r="J185" s="693">
        <f t="shared" si="70"/>
        <v>1.4726666479324342</v>
      </c>
      <c r="K185" s="693">
        <f t="shared" si="71"/>
        <v>1.0000158252220712</v>
      </c>
      <c r="L185" s="694">
        <f t="shared" si="72"/>
        <v>5.6258356492140177E-3</v>
      </c>
      <c r="M185" s="693">
        <f t="shared" si="73"/>
        <v>1.0000882803272131</v>
      </c>
      <c r="N185" s="694">
        <f t="shared" si="74"/>
        <v>-1.3287124082271586E-2</v>
      </c>
      <c r="O185" s="692">
        <f t="shared" si="75"/>
        <v>18840.206546812587</v>
      </c>
      <c r="P185" s="695">
        <f t="shared" si="76"/>
        <v>1.5707432488205133</v>
      </c>
      <c r="Q185" s="704">
        <f t="shared" si="103"/>
        <v>7.9135232983920911</v>
      </c>
      <c r="R185" s="705">
        <f t="shared" si="104"/>
        <v>1.4440916134952069</v>
      </c>
      <c r="S185" s="692">
        <f t="shared" si="79"/>
        <v>1.0013684825387525</v>
      </c>
      <c r="T185" s="695">
        <f t="shared" si="80"/>
        <v>5.2286207333296059E-2</v>
      </c>
      <c r="U185" s="696">
        <f t="shared" si="92"/>
        <v>0.99399944774090188</v>
      </c>
      <c r="V185" s="697">
        <f t="shared" si="93"/>
        <v>-0.13047157837362475</v>
      </c>
      <c r="W185" s="698">
        <f t="shared" si="81"/>
        <v>9.0886533423786542</v>
      </c>
      <c r="X185" s="699">
        <f t="shared" si="82"/>
        <v>-102.54439713296037</v>
      </c>
      <c r="Y185" s="702">
        <f t="shared" si="83"/>
        <v>77.45560286703963</v>
      </c>
      <c r="AA185" s="174">
        <f t="shared" si="84"/>
        <v>1000000000</v>
      </c>
      <c r="AB185" s="174">
        <f t="shared" si="85"/>
        <v>108399332.25</v>
      </c>
      <c r="AD185" s="701">
        <f t="shared" si="86"/>
        <v>27.66225581844099</v>
      </c>
      <c r="AE185" s="702">
        <f t="shared" si="87"/>
        <v>-10.252383191228965</v>
      </c>
      <c r="AG185" s="701">
        <f t="shared" si="88"/>
        <v>6.9188947555790135</v>
      </c>
      <c r="AH185" s="702">
        <f t="shared" si="89"/>
        <v>-77.341072350209387</v>
      </c>
      <c r="AJ185" s="174">
        <f t="shared" si="90"/>
        <v>0</v>
      </c>
      <c r="AK185" s="174">
        <f t="shared" si="102"/>
        <v>0</v>
      </c>
      <c r="AM185" s="174" t="str">
        <f t="shared" si="94"/>
        <v>0.017416287320443+0.185820471361091i</v>
      </c>
      <c r="AN185" s="174" t="str">
        <f t="shared" si="95"/>
        <v>0.186906810717i</v>
      </c>
      <c r="AO185" s="174" t="str">
        <f t="shared" si="96"/>
        <v>0.994187802190077-0.0931816623141326i</v>
      </c>
      <c r="AP185" s="174" t="str">
        <f t="shared" si="97"/>
        <v>0.16376395211326-0.0309700785601818i</v>
      </c>
      <c r="AQ185" s="174" t="str">
        <f t="shared" si="98"/>
        <v>0.83623604788674+0.0309700785601818i</v>
      </c>
      <c r="AR185" s="174" t="str">
        <f t="shared" si="99"/>
        <v>0.994765803179634-0.0368412425550307i</v>
      </c>
    </row>
    <row r="186" spans="7:44" x14ac:dyDescent="0.2">
      <c r="G186" s="703">
        <v>10471</v>
      </c>
      <c r="H186" s="691">
        <f t="shared" si="91"/>
        <v>10.471</v>
      </c>
      <c r="I186" s="692">
        <f t="shared" si="69"/>
        <v>10.264743052956138</v>
      </c>
      <c r="J186" s="693">
        <f t="shared" si="70"/>
        <v>1.4732207135901429</v>
      </c>
      <c r="K186" s="693">
        <f t="shared" si="71"/>
        <v>1.0000160066145127</v>
      </c>
      <c r="L186" s="694">
        <f t="shared" si="72"/>
        <v>5.6579856849968274E-3</v>
      </c>
      <c r="M186" s="693">
        <f t="shared" si="73"/>
        <v>1.0000892921801461</v>
      </c>
      <c r="N186" s="694">
        <f t="shared" si="74"/>
        <v>-1.3363048784443035E-2</v>
      </c>
      <c r="O186" s="692">
        <f t="shared" si="75"/>
        <v>18947.875209962582</v>
      </c>
      <c r="P186" s="695">
        <f t="shared" si="76"/>
        <v>1.5707435504287139</v>
      </c>
      <c r="Q186" s="704">
        <f t="shared" si="103"/>
        <v>7.9580276334427218</v>
      </c>
      <c r="R186" s="705">
        <f t="shared" si="104"/>
        <v>1.4448039788473597</v>
      </c>
      <c r="S186" s="692">
        <f t="shared" si="79"/>
        <v>1.0013841576940643</v>
      </c>
      <c r="T186" s="695">
        <f t="shared" si="80"/>
        <v>5.2584465395908282E-2</v>
      </c>
      <c r="U186" s="696">
        <f t="shared" si="92"/>
        <v>0.99393576794026506</v>
      </c>
      <c r="V186" s="697">
        <f t="shared" si="93"/>
        <v>-0.13121304352444471</v>
      </c>
      <c r="W186" s="698">
        <f t="shared" si="81"/>
        <v>9.0381606034029449</v>
      </c>
      <c r="X186" s="699">
        <f t="shared" si="82"/>
        <v>-102.59742436513319</v>
      </c>
      <c r="Y186" s="702">
        <f t="shared" si="83"/>
        <v>77.402575634866807</v>
      </c>
      <c r="AA186" s="174">
        <f t="shared" si="84"/>
        <v>1000000000</v>
      </c>
      <c r="AB186" s="174">
        <f t="shared" si="85"/>
        <v>109641841</v>
      </c>
      <c r="AD186" s="701">
        <f t="shared" si="86"/>
        <v>27.661333881222575</v>
      </c>
      <c r="AE186" s="702">
        <f t="shared" si="87"/>
        <v>-10.228673872122551</v>
      </c>
      <c r="AG186" s="701">
        <f t="shared" si="88"/>
        <v>6.870436898984785</v>
      </c>
      <c r="AH186" s="702">
        <f t="shared" si="89"/>
        <v>-77.332843253795474</v>
      </c>
      <c r="AJ186" s="174">
        <f t="shared" si="90"/>
        <v>0</v>
      </c>
      <c r="AK186" s="174">
        <f t="shared" si="102"/>
        <v>0</v>
      </c>
      <c r="AM186" s="174" t="str">
        <f t="shared" si="94"/>
        <v>0.017615330367627+0.186869903599518i</v>
      </c>
      <c r="AN186" s="174" t="str">
        <f t="shared" si="95"/>
        <v>0.187974952218i</v>
      </c>
      <c r="AO186" s="174" t="str">
        <f t="shared" si="96"/>
        <v>0.994121298580247-0.0937110511787655i</v>
      </c>
      <c r="AP186" s="174" t="str">
        <f t="shared" si="97"/>
        <v>0.163730778272062-0.031144983933253i</v>
      </c>
      <c r="AQ186" s="174" t="str">
        <f t="shared" si="98"/>
        <v>0.836269221727938+0.031144983933253i</v>
      </c>
      <c r="AR186" s="174" t="str">
        <f t="shared" si="99"/>
        <v>0.994711018505673-0.0370457956417146i</v>
      </c>
    </row>
    <row r="187" spans="7:44" x14ac:dyDescent="0.2">
      <c r="G187" s="703">
        <v>10532</v>
      </c>
      <c r="H187" s="691">
        <f t="shared" si="91"/>
        <v>10.532</v>
      </c>
      <c r="I187" s="692">
        <f t="shared" si="69"/>
        <v>10.323975571487448</v>
      </c>
      <c r="J187" s="693">
        <f t="shared" si="70"/>
        <v>1.473782309559293</v>
      </c>
      <c r="K187" s="693">
        <f t="shared" si="71"/>
        <v>1.0000161936529295</v>
      </c>
      <c r="L187" s="694">
        <f t="shared" si="72"/>
        <v>5.6909462137402118E-3</v>
      </c>
      <c r="M187" s="693">
        <f t="shared" si="73"/>
        <v>1.0000903355268782</v>
      </c>
      <c r="N187" s="694">
        <f t="shared" si="74"/>
        <v>-1.3440887394780504E-2</v>
      </c>
      <c r="O187" s="692">
        <f t="shared" si="75"/>
        <v>19058.258209160147</v>
      </c>
      <c r="P187" s="695">
        <f t="shared" si="76"/>
        <v>1.5707438561026914</v>
      </c>
      <c r="Q187" s="704">
        <f t="shared" si="103"/>
        <v>8.00365807171924</v>
      </c>
      <c r="R187" s="705">
        <f t="shared" si="104"/>
        <v>1.4455260783022659</v>
      </c>
      <c r="S187" s="692">
        <f t="shared" si="79"/>
        <v>1.0014003204963426</v>
      </c>
      <c r="T187" s="695">
        <f t="shared" si="80"/>
        <v>5.289023284786664E-2</v>
      </c>
      <c r="U187" s="696">
        <f t="shared" si="92"/>
        <v>0.99387011817030291</v>
      </c>
      <c r="V187" s="697">
        <f t="shared" si="93"/>
        <v>-0.13197312794404434</v>
      </c>
      <c r="W187" s="698">
        <f t="shared" si="81"/>
        <v>8.9866875175501573</v>
      </c>
      <c r="X187" s="699">
        <f t="shared" si="82"/>
        <v>-102.65188584518762</v>
      </c>
      <c r="Y187" s="702">
        <f t="shared" si="83"/>
        <v>77.348114154812379</v>
      </c>
      <c r="AA187" s="174">
        <f t="shared" si="84"/>
        <v>1000000000</v>
      </c>
      <c r="AB187" s="174">
        <f t="shared" si="85"/>
        <v>110923024</v>
      </c>
      <c r="AD187" s="701">
        <f t="shared" si="86"/>
        <v>27.660401547216395</v>
      </c>
      <c r="AE187" s="702">
        <f t="shared" si="87"/>
        <v>-10.204837319278994</v>
      </c>
      <c r="AG187" s="701">
        <f t="shared" si="88"/>
        <v>6.8210435965161009</v>
      </c>
      <c r="AH187" s="702">
        <f t="shared" si="89"/>
        <v>-77.324042027960559</v>
      </c>
      <c r="AJ187" s="174">
        <f t="shared" si="90"/>
        <v>0</v>
      </c>
      <c r="AK187" s="174">
        <f t="shared" si="102"/>
        <v>0</v>
      </c>
      <c r="AM187" s="174" t="str">
        <f t="shared" si="94"/>
        <v>0.01782055487357+0.187945570767543i</v>
      </c>
      <c r="AN187" s="174" t="str">
        <f t="shared" si="95"/>
        <v>0.189070021656i</v>
      </c>
      <c r="AO187" s="174" t="str">
        <f t="shared" si="96"/>
        <v>0.994052727774566-0.0942537305358397i</v>
      </c>
      <c r="AP187" s="174" t="str">
        <f t="shared" si="97"/>
        <v>0.163696574187738-0.0313242617945905i</v>
      </c>
      <c r="AQ187" s="174" t="str">
        <f t="shared" si="98"/>
        <v>0.836303425812262+0.0313242617945905i</v>
      </c>
      <c r="AR187" s="174" t="str">
        <f t="shared" si="99"/>
        <v>0.994654543313033-0.0372554007890798i</v>
      </c>
    </row>
    <row r="188" spans="7:44" x14ac:dyDescent="0.2">
      <c r="G188" s="703">
        <v>10593</v>
      </c>
      <c r="H188" s="691">
        <f t="shared" si="91"/>
        <v>10.593</v>
      </c>
      <c r="I188" s="692">
        <f t="shared" si="69"/>
        <v>10.383211308947613</v>
      </c>
      <c r="J188" s="693">
        <f t="shared" si="70"/>
        <v>1.4743374979441293</v>
      </c>
      <c r="K188" s="693">
        <f t="shared" si="71"/>
        <v>1.0000163817777601</v>
      </c>
      <c r="L188" s="694">
        <f t="shared" si="72"/>
        <v>5.7239067301182193E-3</v>
      </c>
      <c r="M188" s="693">
        <f t="shared" si="73"/>
        <v>1.0000913849329944</v>
      </c>
      <c r="N188" s="694">
        <f t="shared" si="74"/>
        <v>-1.3518725842235884E-2</v>
      </c>
      <c r="O188" s="692">
        <f t="shared" si="75"/>
        <v>19168.64120835947</v>
      </c>
      <c r="P188" s="695">
        <f t="shared" si="76"/>
        <v>1.5707441582562096</v>
      </c>
      <c r="Q188" s="704">
        <f t="shared" si="103"/>
        <v>8.0492926360067418</v>
      </c>
      <c r="R188" s="705">
        <f t="shared" si="104"/>
        <v>1.4462399904017305</v>
      </c>
      <c r="S188" s="692">
        <f t="shared" si="79"/>
        <v>1.0014165769202494</v>
      </c>
      <c r="T188" s="695">
        <f t="shared" si="80"/>
        <v>5.3195990401102795E-2</v>
      </c>
      <c r="U188" s="696">
        <f t="shared" si="92"/>
        <v>0.99380409947444348</v>
      </c>
      <c r="V188" s="697">
        <f t="shared" si="93"/>
        <v>-0.13273313791507665</v>
      </c>
      <c r="W188" s="698">
        <f t="shared" si="81"/>
        <v>8.9355071555776515</v>
      </c>
      <c r="X188" s="699">
        <f t="shared" si="82"/>
        <v>-102.70644425554121</v>
      </c>
      <c r="Y188" s="702">
        <f t="shared" si="83"/>
        <v>77.293555744458786</v>
      </c>
      <c r="AA188" s="174">
        <f t="shared" si="84"/>
        <v>1000000000</v>
      </c>
      <c r="AB188" s="174">
        <f t="shared" si="85"/>
        <v>112211649</v>
      </c>
      <c r="AD188" s="701">
        <f t="shared" si="86"/>
        <v>27.659481907874973</v>
      </c>
      <c r="AE188" s="702">
        <f t="shared" si="87"/>
        <v>-10.181469098485682</v>
      </c>
      <c r="AG188" s="701">
        <f t="shared" si="88"/>
        <v>6.7719368479143682</v>
      </c>
      <c r="AH188" s="702">
        <f t="shared" si="89"/>
        <v>-77.314877931551891</v>
      </c>
      <c r="AJ188" s="174">
        <f t="shared" si="90"/>
        <v>0</v>
      </c>
      <c r="AK188" s="174">
        <f t="shared" si="102"/>
        <v>0</v>
      </c>
      <c r="AM188" s="174" t="str">
        <f t="shared" si="94"/>
        <v>0.018026957186468+0.189021012555571i</v>
      </c>
      <c r="AN188" s="174" t="str">
        <f t="shared" si="95"/>
        <v>0.190165091094i</v>
      </c>
      <c r="AO188" s="174" t="str">
        <f t="shared" si="96"/>
        <v>0.993983761520859-0.0947963534356426i</v>
      </c>
      <c r="AP188" s="174" t="str">
        <f t="shared" si="97"/>
        <v>0.163662173802255-0.0315035020925952i</v>
      </c>
      <c r="AQ188" s="174" t="str">
        <f t="shared" si="98"/>
        <v>0.836337826197745+0.0315035020925952i</v>
      </c>
      <c r="AR188" s="174" t="str">
        <f t="shared" si="99"/>
        <v>0.994597755128974-0.0374648993247707i</v>
      </c>
    </row>
    <row r="189" spans="7:44" x14ac:dyDescent="0.2">
      <c r="G189" s="703">
        <v>10654</v>
      </c>
      <c r="H189" s="691">
        <f t="shared" si="91"/>
        <v>10.654</v>
      </c>
      <c r="I189" s="692">
        <f t="shared" si="69"/>
        <v>10.442450210557645</v>
      </c>
      <c r="J189" s="693">
        <f t="shared" si="70"/>
        <v>1.474886387448068</v>
      </c>
      <c r="K189" s="693">
        <f t="shared" si="71"/>
        <v>1.0000165709890034</v>
      </c>
      <c r="L189" s="694">
        <f t="shared" si="72"/>
        <v>5.7568672340592405E-3</v>
      </c>
      <c r="M189" s="693">
        <f t="shared" si="73"/>
        <v>1.0000924403984754</v>
      </c>
      <c r="N189" s="694">
        <f t="shared" si="74"/>
        <v>-1.3596564125866472E-2</v>
      </c>
      <c r="O189" s="692">
        <f t="shared" si="75"/>
        <v>19279.024207560524</v>
      </c>
      <c r="P189" s="695">
        <f t="shared" si="76"/>
        <v>1.5707444569497384</v>
      </c>
      <c r="Q189" s="704">
        <f t="shared" si="103"/>
        <v>8.0949312565249993</v>
      </c>
      <c r="R189" s="705">
        <f t="shared" si="104"/>
        <v>1.4469458528909132</v>
      </c>
      <c r="S189" s="692">
        <f t="shared" si="79"/>
        <v>1.0014329269612257</v>
      </c>
      <c r="T189" s="695">
        <f t="shared" si="80"/>
        <v>5.3501737998931098E-2</v>
      </c>
      <c r="U189" s="696">
        <f t="shared" si="92"/>
        <v>0.9937377120643669</v>
      </c>
      <c r="V189" s="697">
        <f t="shared" si="93"/>
        <v>-0.13349307302625218</v>
      </c>
      <c r="W189" s="698">
        <f t="shared" si="81"/>
        <v>8.884616052779359</v>
      </c>
      <c r="X189" s="699">
        <f t="shared" si="82"/>
        <v>-102.76109790882629</v>
      </c>
      <c r="Y189" s="702">
        <f t="shared" si="83"/>
        <v>77.238902091173713</v>
      </c>
      <c r="AA189" s="174">
        <f t="shared" si="84"/>
        <v>1000000000</v>
      </c>
      <c r="AB189" s="174">
        <f t="shared" si="85"/>
        <v>113507716</v>
      </c>
      <c r="AD189" s="701">
        <f t="shared" si="86"/>
        <v>27.658574658819091</v>
      </c>
      <c r="AE189" s="702">
        <f t="shared" si="87"/>
        <v>-10.158561317743132</v>
      </c>
      <c r="AG189" s="701">
        <f t="shared" si="88"/>
        <v>6.7231134904476111</v>
      </c>
      <c r="AH189" s="702">
        <f t="shared" si="89"/>
        <v>-77.3053572163317</v>
      </c>
      <c r="AJ189" s="174">
        <f t="shared" si="90"/>
        <v>0</v>
      </c>
      <c r="AK189" s="174">
        <f t="shared" si="102"/>
        <v>0</v>
      </c>
      <c r="AM189" s="174" t="str">
        <f t="shared" si="94"/>
        <v>0.018234537058809+0.190096227673957i</v>
      </c>
      <c r="AN189" s="174" t="str">
        <f t="shared" si="95"/>
        <v>0.191260160532i</v>
      </c>
      <c r="AO189" s="174" t="str">
        <f t="shared" si="96"/>
        <v>0.993914399868716-0.0953389195538093i</v>
      </c>
      <c r="AP189" s="174" t="str">
        <f t="shared" si="97"/>
        <v>0.163627577156865-0.0316827046123262i</v>
      </c>
      <c r="AQ189" s="174" t="str">
        <f t="shared" si="98"/>
        <v>0.836372422843135+0.0316827046123262i</v>
      </c>
      <c r="AR189" s="174" t="str">
        <f t="shared" si="99"/>
        <v>0.994540654209275-0.0376742906768124i</v>
      </c>
    </row>
    <row r="190" spans="7:44" x14ac:dyDescent="0.2">
      <c r="G190" s="703">
        <v>10715</v>
      </c>
      <c r="H190" s="691">
        <f t="shared" si="91"/>
        <v>10.715</v>
      </c>
      <c r="I190" s="692">
        <f t="shared" si="69"/>
        <v>10.501692222771672</v>
      </c>
      <c r="J190" s="693">
        <f t="shared" si="70"/>
        <v>1.4754290843370399</v>
      </c>
      <c r="K190" s="693">
        <f t="shared" si="71"/>
        <v>1.0000167612866593</v>
      </c>
      <c r="L190" s="694">
        <f t="shared" si="72"/>
        <v>5.7898277254916676E-3</v>
      </c>
      <c r="M190" s="693">
        <f t="shared" si="73"/>
        <v>1.0000935019233022</v>
      </c>
      <c r="N190" s="694">
        <f t="shared" si="74"/>
        <v>-1.3674402244729574E-2</v>
      </c>
      <c r="O190" s="692">
        <f t="shared" si="75"/>
        <v>19389.407206763277</v>
      </c>
      <c r="P190" s="695">
        <f t="shared" si="76"/>
        <v>1.5707447522423701</v>
      </c>
      <c r="Q190" s="704">
        <f t="shared" si="103"/>
        <v>8.1405738650524899</v>
      </c>
      <c r="R190" s="705">
        <f t="shared" si="104"/>
        <v>1.4476438004582317</v>
      </c>
      <c r="S190" s="692">
        <f t="shared" si="79"/>
        <v>1.0014493706146856</v>
      </c>
      <c r="T190" s="695">
        <f t="shared" si="80"/>
        <v>5.3807475584677009E-2</v>
      </c>
      <c r="U190" s="696">
        <f t="shared" si="92"/>
        <v>0.99367095615285128</v>
      </c>
      <c r="V190" s="697">
        <f t="shared" si="93"/>
        <v>-0.13425293286661177</v>
      </c>
      <c r="W190" s="698">
        <f t="shared" si="81"/>
        <v>8.8340108050855477</v>
      </c>
      <c r="X190" s="699">
        <f t="shared" si="82"/>
        <v>-102.81584515309672</v>
      </c>
      <c r="Y190" s="702">
        <f t="shared" si="83"/>
        <v>77.184154846903283</v>
      </c>
      <c r="AA190" s="174">
        <f t="shared" si="84"/>
        <v>1000000000</v>
      </c>
      <c r="AB190" s="174">
        <f t="shared" si="85"/>
        <v>114811225</v>
      </c>
      <c r="AD190" s="701">
        <f t="shared" si="86"/>
        <v>27.657679504180528</v>
      </c>
      <c r="AE190" s="702">
        <f t="shared" si="87"/>
        <v>-10.136106260111969</v>
      </c>
      <c r="AG190" s="701">
        <f t="shared" si="88"/>
        <v>6.6745704134965091</v>
      </c>
      <c r="AH190" s="702">
        <f t="shared" si="89"/>
        <v>-77.295485994385643</v>
      </c>
      <c r="AJ190" s="174">
        <f t="shared" si="90"/>
        <v>0</v>
      </c>
      <c r="AK190" s="174">
        <f t="shared" si="102"/>
        <v>0</v>
      </c>
      <c r="AM190" s="174" t="str">
        <f t="shared" si="94"/>
        <v>0.018443294241667+0.191171214833327i</v>
      </c>
      <c r="AN190" s="174" t="str">
        <f t="shared" si="95"/>
        <v>0.19235522997i</v>
      </c>
      <c r="AO190" s="174" t="str">
        <f t="shared" si="96"/>
        <v>0.993844642868002-0.0958814285660101i</v>
      </c>
      <c r="AP190" s="174" t="str">
        <f t="shared" si="97"/>
        <v>0.163592784293055-0.0318618691388878i</v>
      </c>
      <c r="AQ190" s="174" t="str">
        <f t="shared" si="98"/>
        <v>0.836407215706945+0.0318618691388878i</v>
      </c>
      <c r="AR190" s="174" t="str">
        <f t="shared" si="99"/>
        <v>0.994483240811025-0.0378835742739932i</v>
      </c>
    </row>
    <row r="191" spans="7:44" x14ac:dyDescent="0.2">
      <c r="G191" s="703">
        <v>10777.5</v>
      </c>
      <c r="H191" s="691">
        <f t="shared" si="91"/>
        <v>10.7775</v>
      </c>
      <c r="I191" s="692">
        <f t="shared" si="69"/>
        <v>10.56239417732634</v>
      </c>
      <c r="J191" s="693">
        <f t="shared" si="70"/>
        <v>1.4759788119563286</v>
      </c>
      <c r="K191" s="693">
        <f t="shared" si="71"/>
        <v>1.0000169573905786</v>
      </c>
      <c r="L191" s="694">
        <f t="shared" si="72"/>
        <v>5.8235987077631373E-3</v>
      </c>
      <c r="M191" s="693">
        <f t="shared" si="73"/>
        <v>1.0000945958358562</v>
      </c>
      <c r="N191" s="694">
        <f t="shared" si="74"/>
        <v>-1.3754154243815323E-2</v>
      </c>
      <c r="O191" s="692">
        <f t="shared" si="75"/>
        <v>19502.504542013736</v>
      </c>
      <c r="P191" s="695">
        <f t="shared" si="76"/>
        <v>1.5707450513293131</v>
      </c>
      <c r="Q191" s="704">
        <f t="shared" si="103"/>
        <v>8.1873428993755955</v>
      </c>
      <c r="R191" s="705">
        <f t="shared" si="104"/>
        <v>1.4483508391267985</v>
      </c>
      <c r="S191" s="692">
        <f t="shared" si="79"/>
        <v>1.0014663157091639</v>
      </c>
      <c r="T191" s="695">
        <f t="shared" si="80"/>
        <v>5.4120720864117622E-2</v>
      </c>
      <c r="U191" s="696">
        <f t="shared" si="92"/>
        <v>0.99360217672109441</v>
      </c>
      <c r="V191" s="697">
        <f t="shared" si="93"/>
        <v>-0.13503139928568836</v>
      </c>
      <c r="W191" s="698">
        <f t="shared" si="81"/>
        <v>8.7824541541270928</v>
      </c>
      <c r="X191" s="699">
        <f t="shared" si="82"/>
        <v>-102.87203402135735</v>
      </c>
      <c r="Y191" s="702">
        <f t="shared" si="83"/>
        <v>77.127965978642649</v>
      </c>
      <c r="AA191" s="174">
        <f t="shared" si="84"/>
        <v>1000000000</v>
      </c>
      <c r="AB191" s="174">
        <f t="shared" si="85"/>
        <v>116154506.25</v>
      </c>
      <c r="AD191" s="701">
        <f t="shared" si="86"/>
        <v>27.656774580991183</v>
      </c>
      <c r="AE191" s="702">
        <f t="shared" si="87"/>
        <v>-10.113560697308673</v>
      </c>
      <c r="AG191" s="701">
        <f t="shared" si="88"/>
        <v>6.625121158691913</v>
      </c>
      <c r="AH191" s="702">
        <f t="shared" si="89"/>
        <v>-77.285014744736117</v>
      </c>
      <c r="AJ191" s="174">
        <f t="shared" si="90"/>
        <v>0</v>
      </c>
      <c r="AK191" s="174">
        <f t="shared" si="102"/>
        <v>0</v>
      </c>
      <c r="AM191" s="174" t="str">
        <f t="shared" si="94"/>
        <v>0.018658405627943+0.192272398318918i</v>
      </c>
      <c r="AN191" s="174" t="str">
        <f t="shared" si="95"/>
        <v>0.193477227345i</v>
      </c>
      <c r="AO191" s="174" t="str">
        <f t="shared" si="96"/>
        <v>0.993772760533034-0.0964372183950732i</v>
      </c>
      <c r="AP191" s="174" t="str">
        <f t="shared" si="97"/>
        <v>0.163556932395343-0.0320453997198197i</v>
      </c>
      <c r="AQ191" s="174" t="str">
        <f t="shared" si="98"/>
        <v>0.836443067604657+0.0320453997198197i</v>
      </c>
      <c r="AR191" s="174" t="str">
        <f t="shared" si="99"/>
        <v>0.994424091779243-0.0380978918306323i</v>
      </c>
    </row>
    <row r="192" spans="7:44" x14ac:dyDescent="0.2">
      <c r="G192" s="703">
        <v>10840</v>
      </c>
      <c r="H192" s="691">
        <f t="shared" si="91"/>
        <v>10.84</v>
      </c>
      <c r="I192" s="692">
        <f t="shared" si="69"/>
        <v>10.623099287362116</v>
      </c>
      <c r="J192" s="693">
        <f t="shared" si="70"/>
        <v>1.4765222569624754</v>
      </c>
      <c r="K192" s="693">
        <f t="shared" si="71"/>
        <v>1.0000171546349961</v>
      </c>
      <c r="L192" s="694">
        <f t="shared" si="72"/>
        <v>5.8573696767510747E-3</v>
      </c>
      <c r="M192" s="693">
        <f t="shared" si="73"/>
        <v>1.0000956961093794</v>
      </c>
      <c r="N192" s="694">
        <f t="shared" si="74"/>
        <v>-1.3833906067927091E-2</v>
      </c>
      <c r="O192" s="692">
        <f t="shared" si="75"/>
        <v>19615.601877265915</v>
      </c>
      <c r="P192" s="695">
        <f t="shared" si="76"/>
        <v>1.5707453469673751</v>
      </c>
      <c r="Q192" s="704">
        <f t="shared" si="103"/>
        <v>8.2341159800859387</v>
      </c>
      <c r="R192" s="705">
        <f t="shared" si="104"/>
        <v>1.4490498456151699</v>
      </c>
      <c r="S192" s="692">
        <f t="shared" si="79"/>
        <v>1.0014833590667951</v>
      </c>
      <c r="T192" s="695">
        <f t="shared" si="80"/>
        <v>5.4433955512605228E-2</v>
      </c>
      <c r="U192" s="696">
        <f t="shared" si="92"/>
        <v>0.99353301089785995</v>
      </c>
      <c r="V192" s="697">
        <f t="shared" si="93"/>
        <v>-0.13580978581423717</v>
      </c>
      <c r="W192" s="698">
        <f t="shared" si="81"/>
        <v>8.7311905437209685</v>
      </c>
      <c r="X192" s="699">
        <f t="shared" si="82"/>
        <v>-102.92831773905692</v>
      </c>
      <c r="Y192" s="702">
        <f t="shared" si="83"/>
        <v>77.071682260943078</v>
      </c>
      <c r="AA192" s="174">
        <f t="shared" si="84"/>
        <v>1000000000</v>
      </c>
      <c r="AB192" s="174">
        <f t="shared" si="85"/>
        <v>117505600</v>
      </c>
      <c r="AD192" s="701">
        <f t="shared" si="86"/>
        <v>27.655881751686668</v>
      </c>
      <c r="AE192" s="702">
        <f t="shared" si="87"/>
        <v>-10.09147453781631</v>
      </c>
      <c r="AG192" s="701">
        <f t="shared" si="88"/>
        <v>6.5759596897927661</v>
      </c>
      <c r="AH192" s="702">
        <f t="shared" si="89"/>
        <v>-77.274188095994745</v>
      </c>
      <c r="AJ192" s="174">
        <f t="shared" si="90"/>
        <v>0</v>
      </c>
      <c r="AK192" s="174">
        <f t="shared" si="102"/>
        <v>0</v>
      </c>
      <c r="AM192" s="174" t="str">
        <f t="shared" si="94"/>
        <v>0.018874752403539+0.19337333975702i</v>
      </c>
      <c r="AN192" s="174" t="str">
        <f t="shared" si="95"/>
        <v>0.19459922472i</v>
      </c>
      <c r="AO192" s="174" t="str">
        <f t="shared" si="96"/>
        <v>0.993700463273973-0.0969929475859784i</v>
      </c>
      <c r="AP192" s="174" t="str">
        <f t="shared" si="97"/>
        <v>0.16352087459941-0.0322288899595033i</v>
      </c>
      <c r="AQ192" s="174" t="str">
        <f t="shared" si="98"/>
        <v>0.83647912540059+0.0322288899595033i</v>
      </c>
      <c r="AR192" s="174" t="str">
        <f t="shared" si="99"/>
        <v>0.994364615262791-0.0383120950562644i</v>
      </c>
    </row>
    <row r="193" spans="7:44" x14ac:dyDescent="0.2">
      <c r="G193" s="703">
        <v>10902.5</v>
      </c>
      <c r="H193" s="691">
        <f t="shared" si="91"/>
        <v>10.9025</v>
      </c>
      <c r="I193" s="692">
        <f t="shared" si="69"/>
        <v>10.683807499090921</v>
      </c>
      <c r="J193" s="693">
        <f t="shared" si="70"/>
        <v>1.4770595261301129</v>
      </c>
      <c r="K193" s="693">
        <f t="shared" si="71"/>
        <v>1.000017353019911</v>
      </c>
      <c r="L193" s="694">
        <f t="shared" si="72"/>
        <v>5.8911406323784591E-3</v>
      </c>
      <c r="M193" s="693">
        <f t="shared" si="73"/>
        <v>1.0000968027438508</v>
      </c>
      <c r="N193" s="694">
        <f t="shared" si="74"/>
        <v>-1.3913657716050958E-2</v>
      </c>
      <c r="O193" s="692">
        <f t="shared" si="75"/>
        <v>19728.69921251979</v>
      </c>
      <c r="P193" s="695">
        <f t="shared" si="76"/>
        <v>1.5707456392158698</v>
      </c>
      <c r="Q193" s="704">
        <f t="shared" si="103"/>
        <v>8.280893038617732</v>
      </c>
      <c r="R193" s="705">
        <f t="shared" si="104"/>
        <v>1.4497409553508018</v>
      </c>
      <c r="S193" s="692">
        <f t="shared" si="79"/>
        <v>1.0015005006825626</v>
      </c>
      <c r="T193" s="695">
        <f t="shared" si="80"/>
        <v>5.4747179469217526E-2</v>
      </c>
      <c r="U193" s="696">
        <f t="shared" si="92"/>
        <v>0.99346345891564247</v>
      </c>
      <c r="V193" s="697">
        <f t="shared" si="93"/>
        <v>-0.13658809201135774</v>
      </c>
      <c r="W193" s="698">
        <f t="shared" si="81"/>
        <v>8.680216501391758</v>
      </c>
      <c r="X193" s="699">
        <f t="shared" si="82"/>
        <v>-102.98469463910196</v>
      </c>
      <c r="Y193" s="702">
        <f t="shared" si="83"/>
        <v>77.01530536089804</v>
      </c>
      <c r="AA193" s="174">
        <f t="shared" si="84"/>
        <v>1000000000</v>
      </c>
      <c r="AB193" s="174">
        <f t="shared" si="85"/>
        <v>118864506.25</v>
      </c>
      <c r="AD193" s="701">
        <f t="shared" si="86"/>
        <v>27.655000724011774</v>
      </c>
      <c r="AE193" s="702">
        <f t="shared" si="87"/>
        <v>-10.069840022121074</v>
      </c>
      <c r="AG193" s="701">
        <f t="shared" si="88"/>
        <v>6.5270828239360359</v>
      </c>
      <c r="AH193" s="702">
        <f t="shared" si="89"/>
        <v>-77.263012191105346</v>
      </c>
      <c r="AJ193" s="174">
        <f t="shared" si="90"/>
        <v>0</v>
      </c>
      <c r="AK193" s="174">
        <f t="shared" si="102"/>
        <v>0</v>
      </c>
      <c r="AM193" s="174" t="str">
        <f t="shared" si="94"/>
        <v>0.019092334296103+0.194474037761684i</v>
      </c>
      <c r="AN193" s="174" t="str">
        <f t="shared" si="95"/>
        <v>0.195721222095i</v>
      </c>
      <c r="AO193" s="174" t="str">
        <f t="shared" si="96"/>
        <v>0.993627751145399-0.0975486157900439i</v>
      </c>
      <c r="AP193" s="174" t="str">
        <f t="shared" si="97"/>
        <v>0.16348461095065-0.0324123396269473i</v>
      </c>
      <c r="AQ193" s="174" t="str">
        <f t="shared" si="98"/>
        <v>0.83651538904935+0.0324123396269473i</v>
      </c>
      <c r="AR193" s="174" t="str">
        <f t="shared" si="99"/>
        <v>0.994304811542465-0.0385261833390144i</v>
      </c>
    </row>
    <row r="194" spans="7:44" x14ac:dyDescent="0.2">
      <c r="G194" s="703">
        <v>10965</v>
      </c>
      <c r="H194" s="691">
        <f t="shared" si="91"/>
        <v>10.965</v>
      </c>
      <c r="I194" s="692">
        <f t="shared" si="69"/>
        <v>10.744518759937606</v>
      </c>
      <c r="J194" s="693">
        <f t="shared" si="70"/>
        <v>1.4775907238350268</v>
      </c>
      <c r="K194" s="693">
        <f t="shared" si="71"/>
        <v>1.0000175525453225</v>
      </c>
      <c r="L194" s="694">
        <f t="shared" si="72"/>
        <v>5.9249115745682659E-3</v>
      </c>
      <c r="M194" s="693">
        <f t="shared" si="73"/>
        <v>1.0000979157392489</v>
      </c>
      <c r="N194" s="694">
        <f t="shared" si="74"/>
        <v>-1.3993409187173013E-2</v>
      </c>
      <c r="O194" s="692">
        <f t="shared" si="75"/>
        <v>19841.796547775335</v>
      </c>
      <c r="P194" s="695">
        <f t="shared" si="76"/>
        <v>1.5707459281327585</v>
      </c>
      <c r="Q194" s="704">
        <f t="shared" si="103"/>
        <v>8.3276740079399687</v>
      </c>
      <c r="R194" s="705">
        <f t="shared" si="104"/>
        <v>1.4504243007486417</v>
      </c>
      <c r="S194" s="692">
        <f t="shared" si="79"/>
        <v>1.0015177405514208</v>
      </c>
      <c r="T194" s="695">
        <f t="shared" si="80"/>
        <v>5.5060392673044752E-2</v>
      </c>
      <c r="U194" s="696">
        <f t="shared" si="92"/>
        <v>0.9933935210081235</v>
      </c>
      <c r="V194" s="697">
        <f t="shared" si="93"/>
        <v>-0.13736631743651787</v>
      </c>
      <c r="W194" s="698">
        <f t="shared" si="81"/>
        <v>8.6295286154654978</v>
      </c>
      <c r="X194" s="699">
        <f t="shared" si="82"/>
        <v>-103.04116308950366</v>
      </c>
      <c r="Y194" s="702">
        <f t="shared" si="83"/>
        <v>76.958836910496345</v>
      </c>
      <c r="AA194" s="174">
        <f t="shared" si="84"/>
        <v>1000000000</v>
      </c>
      <c r="AB194" s="174">
        <f t="shared" si="85"/>
        <v>120231225</v>
      </c>
      <c r="AD194" s="701">
        <f t="shared" si="86"/>
        <v>27.654131213899259</v>
      </c>
      <c r="AE194" s="702">
        <f t="shared" si="87"/>
        <v>-10.048649563236371</v>
      </c>
      <c r="AG194" s="701">
        <f t="shared" si="88"/>
        <v>6.4784874308585829</v>
      </c>
      <c r="AH194" s="702">
        <f t="shared" si="89"/>
        <v>-77.251493035546929</v>
      </c>
      <c r="AJ194" s="174">
        <f t="shared" si="90"/>
        <v>0</v>
      </c>
      <c r="AK194" s="174">
        <f t="shared" si="102"/>
        <v>0</v>
      </c>
      <c r="AM194" s="174" t="str">
        <f t="shared" si="94"/>
        <v>0.019311151031726+0.195574490947264i</v>
      </c>
      <c r="AN194" s="174" t="str">
        <f t="shared" si="95"/>
        <v>0.19684321947i</v>
      </c>
      <c r="AO194" s="174" t="str">
        <f t="shared" si="96"/>
        <v>0.993554624202185-0.0981042226586277i</v>
      </c>
      <c r="AP194" s="174" t="str">
        <f t="shared" si="97"/>
        <v>0.163448141494712-0.0325957484912107i</v>
      </c>
      <c r="AQ194" s="174" t="str">
        <f t="shared" si="98"/>
        <v>0.836551858505288+0.0325957484912107i</v>
      </c>
      <c r="AR194" s="174" t="str">
        <f t="shared" si="99"/>
        <v>0.99424468090049-0.0387401560678638i</v>
      </c>
    </row>
    <row r="195" spans="7:44" x14ac:dyDescent="0.2">
      <c r="G195" s="703">
        <v>11028.75</v>
      </c>
      <c r="H195" s="691">
        <f t="shared" si="91"/>
        <v>11.02875</v>
      </c>
      <c r="I195" s="692">
        <f t="shared" si="69"/>
        <v>10.806447333907132</v>
      </c>
      <c r="J195" s="693">
        <f t="shared" si="70"/>
        <v>1.4781263964876077</v>
      </c>
      <c r="K195" s="693">
        <f t="shared" si="71"/>
        <v>1.0000177572361815</v>
      </c>
      <c r="L195" s="694">
        <f t="shared" si="72"/>
        <v>5.9593579216786017E-3</v>
      </c>
      <c r="M195" s="693">
        <f t="shared" si="73"/>
        <v>1.0000990575475601</v>
      </c>
      <c r="N195" s="694">
        <f t="shared" si="74"/>
        <v>-1.4074755504318769E-2</v>
      </c>
      <c r="O195" s="692">
        <f t="shared" si="75"/>
        <v>19957.155829737672</v>
      </c>
      <c r="P195" s="695">
        <f t="shared" si="76"/>
        <v>1.5707462194545045</v>
      </c>
      <c r="Q195" s="704">
        <f t="shared" si="103"/>
        <v>8.3753945575843733</v>
      </c>
      <c r="R195" s="705">
        <f t="shared" si="104"/>
        <v>1.4511134485038764</v>
      </c>
      <c r="S195" s="692">
        <f t="shared" si="79"/>
        <v>1.0015354264327285</v>
      </c>
      <c r="T195" s="695">
        <f t="shared" si="80"/>
        <v>5.5379859000274957E-2</v>
      </c>
      <c r="U195" s="696">
        <f t="shared" si="92"/>
        <v>0.99332178700583273</v>
      </c>
      <c r="V195" s="697">
        <f t="shared" si="93"/>
        <v>-0.13816002370243596</v>
      </c>
      <c r="W195" s="698">
        <f t="shared" si="81"/>
        <v>8.5781182938996512</v>
      </c>
      <c r="X195" s="699">
        <f t="shared" si="82"/>
        <v>-103.09885356723304</v>
      </c>
      <c r="Y195" s="702">
        <f t="shared" si="83"/>
        <v>76.901146432766964</v>
      </c>
      <c r="AA195" s="174">
        <f t="shared" si="84"/>
        <v>1000000000</v>
      </c>
      <c r="AB195" s="174">
        <f t="shared" si="85"/>
        <v>121633326.5625</v>
      </c>
      <c r="AD195" s="701">
        <f t="shared" si="86"/>
        <v>27.653255892628511</v>
      </c>
      <c r="AE195" s="702">
        <f t="shared" si="87"/>
        <v>-10.027485069129687</v>
      </c>
      <c r="AG195" s="701">
        <f t="shared" si="88"/>
        <v>6.4292069105082428</v>
      </c>
      <c r="AH195" s="702">
        <f t="shared" si="89"/>
        <v>-77.239395968858688</v>
      </c>
      <c r="AJ195" s="174">
        <f t="shared" si="90"/>
        <v>0</v>
      </c>
      <c r="AK195" s="174">
        <f t="shared" si="102"/>
        <v>0</v>
      </c>
      <c r="AM195" s="174" t="str">
        <f t="shared" si="94"/>
        <v>0.0195356159516969+0.19669669954725i</v>
      </c>
      <c r="AN195" s="174" t="str">
        <f t="shared" si="95"/>
        <v>0.1979876567925i</v>
      </c>
      <c r="AO195" s="174" t="str">
        <f t="shared" si="96"/>
        <v>0.993479607435311-0.0986708781152509i</v>
      </c>
      <c r="AP195" s="174" t="str">
        <f t="shared" si="97"/>
        <v>0.163410730674717-0.032782783257875i</v>
      </c>
      <c r="AQ195" s="174" t="str">
        <f t="shared" si="98"/>
        <v>0.836589269325283+0.032782783257875i</v>
      </c>
      <c r="AR195" s="174" t="str">
        <f t="shared" si="99"/>
        <v>0.994183011145175-0.0389582885748936i</v>
      </c>
    </row>
    <row r="196" spans="7:44" x14ac:dyDescent="0.2">
      <c r="G196" s="703">
        <v>11092.5</v>
      </c>
      <c r="H196" s="691">
        <f t="shared" si="91"/>
        <v>11.092499999999999</v>
      </c>
      <c r="I196" s="692">
        <f t="shared" si="69"/>
        <v>10.868378973396544</v>
      </c>
      <c r="J196" s="693">
        <f t="shared" si="70"/>
        <v>1.4786559644087014</v>
      </c>
      <c r="K196" s="693">
        <f t="shared" si="71"/>
        <v>1.0000179631136119</v>
      </c>
      <c r="L196" s="694">
        <f t="shared" si="72"/>
        <v>5.9938042546466138E-3</v>
      </c>
      <c r="M196" s="693">
        <f t="shared" si="73"/>
        <v>1.0001002059737349</v>
      </c>
      <c r="N196" s="694">
        <f t="shared" si="74"/>
        <v>-1.4156101635181051E-2</v>
      </c>
      <c r="O196" s="692">
        <f t="shared" si="75"/>
        <v>20072.515111701687</v>
      </c>
      <c r="P196" s="695">
        <f t="shared" si="76"/>
        <v>1.5707465074277247</v>
      </c>
      <c r="Q196" s="704">
        <f t="shared" si="103"/>
        <v>8.4231190398383244</v>
      </c>
      <c r="R196" s="705">
        <f t="shared" si="104"/>
        <v>1.4517947873062271</v>
      </c>
      <c r="S196" s="692">
        <f t="shared" si="79"/>
        <v>1.0015532145258581</v>
      </c>
      <c r="T196" s="695">
        <f t="shared" si="80"/>
        <v>5.5699314012339338E-2</v>
      </c>
      <c r="U196" s="696">
        <f t="shared" si="92"/>
        <v>0.99324965198183568</v>
      </c>
      <c r="V196" s="697">
        <f t="shared" si="93"/>
        <v>-0.1389536450085877</v>
      </c>
      <c r="W196" s="698">
        <f t="shared" si="81"/>
        <v>8.526998706630275</v>
      </c>
      <c r="X196" s="699">
        <f t="shared" si="82"/>
        <v>-103.1566359717893</v>
      </c>
      <c r="Y196" s="702">
        <f t="shared" si="83"/>
        <v>76.843364028210701</v>
      </c>
      <c r="AA196" s="174">
        <f t="shared" si="84"/>
        <v>1000000000</v>
      </c>
      <c r="AB196" s="174">
        <f t="shared" si="85"/>
        <v>123043556.25</v>
      </c>
      <c r="AD196" s="701">
        <f t="shared" si="86"/>
        <v>27.65239198209207</v>
      </c>
      <c r="AE196" s="702">
        <f t="shared" si="87"/>
        <v>-10.006767154898537</v>
      </c>
      <c r="AG196" s="701">
        <f t="shared" si="88"/>
        <v>6.3802128181220041</v>
      </c>
      <c r="AH196" s="702">
        <f t="shared" si="89"/>
        <v>-77.226953984793866</v>
      </c>
      <c r="AJ196" s="174">
        <f t="shared" si="90"/>
        <v>0</v>
      </c>
      <c r="AK196" s="174">
        <f t="shared" si="102"/>
        <v>0</v>
      </c>
      <c r="AM196" s="174" t="str">
        <f t="shared" si="94"/>
        <v>0.019761365021798+0.197818650526361i</v>
      </c>
      <c r="AN196" s="174" t="str">
        <f t="shared" si="95"/>
        <v>0.199132094115i</v>
      </c>
      <c r="AO196" s="174" t="str">
        <f t="shared" si="96"/>
        <v>0.993404159211621-0.0992374690258904i</v>
      </c>
      <c r="AP196" s="174" t="str">
        <f t="shared" si="97"/>
        <v>0.1633731058297-0.0329697750877268i</v>
      </c>
      <c r="AQ196" s="174" t="str">
        <f t="shared" si="98"/>
        <v>0.8366268941703+0.0329697750877268i</v>
      </c>
      <c r="AR196" s="174" t="str">
        <f t="shared" si="99"/>
        <v>0.99412100185825-0.0391762995782687i</v>
      </c>
    </row>
    <row r="197" spans="7:44" x14ac:dyDescent="0.2">
      <c r="G197" s="703">
        <v>11156.25</v>
      </c>
      <c r="H197" s="691">
        <f t="shared" si="91"/>
        <v>11.15625</v>
      </c>
      <c r="I197" s="692">
        <f t="shared" si="69"/>
        <v>10.930313626297723</v>
      </c>
      <c r="J197" s="693">
        <f t="shared" si="70"/>
        <v>1.4791795310728117</v>
      </c>
      <c r="K197" s="693">
        <f t="shared" si="71"/>
        <v>1.000018170177613</v>
      </c>
      <c r="L197" s="694">
        <f t="shared" si="72"/>
        <v>6.0282505733905666E-3</v>
      </c>
      <c r="M197" s="693">
        <f t="shared" si="73"/>
        <v>1.0001013610177507</v>
      </c>
      <c r="N197" s="694">
        <f t="shared" si="74"/>
        <v>-1.4237447578683936E-2</v>
      </c>
      <c r="O197" s="692">
        <f t="shared" si="75"/>
        <v>20187.874393667342</v>
      </c>
      <c r="P197" s="695">
        <f t="shared" si="76"/>
        <v>1.5707467921098224</v>
      </c>
      <c r="Q197" s="704">
        <f t="shared" si="103"/>
        <v>8.4708473882332331</v>
      </c>
      <c r="R197" s="705">
        <f t="shared" si="104"/>
        <v>1.4524684485145631</v>
      </c>
      <c r="S197" s="692">
        <f t="shared" si="79"/>
        <v>1.0015711048253637</v>
      </c>
      <c r="T197" s="695">
        <f t="shared" si="80"/>
        <v>5.6018757644640767E-2</v>
      </c>
      <c r="U197" s="696">
        <f t="shared" si="92"/>
        <v>0.99317711618802207</v>
      </c>
      <c r="V197" s="697">
        <f t="shared" si="93"/>
        <v>-0.13974718088870633</v>
      </c>
      <c r="W197" s="698">
        <f t="shared" si="81"/>
        <v>8.4761664196710331</v>
      </c>
      <c r="X197" s="699">
        <f t="shared" si="82"/>
        <v>-103.21450867833167</v>
      </c>
      <c r="Y197" s="702">
        <f t="shared" si="83"/>
        <v>76.785491321668331</v>
      </c>
      <c r="AA197" s="174">
        <f t="shared" si="84"/>
        <v>1000000000</v>
      </c>
      <c r="AB197" s="174">
        <f t="shared" si="85"/>
        <v>124461914.0625</v>
      </c>
      <c r="AD197" s="701">
        <f t="shared" si="86"/>
        <v>27.651539205439256</v>
      </c>
      <c r="AE197" s="702">
        <f t="shared" si="87"/>
        <v>-9.986488293821921</v>
      </c>
      <c r="AG197" s="701">
        <f t="shared" si="88"/>
        <v>6.3315019936997006</v>
      </c>
      <c r="AH197" s="702">
        <f t="shared" si="89"/>
        <v>-77.214173038662963</v>
      </c>
      <c r="AJ197" s="174">
        <f t="shared" si="90"/>
        <v>0</v>
      </c>
      <c r="AK197" s="174">
        <f t="shared" si="102"/>
        <v>0</v>
      </c>
      <c r="AM197" s="174" t="str">
        <f t="shared" si="94"/>
        <v>0.019988397946357+0.198940342415138i</v>
      </c>
      <c r="AN197" s="174" t="str">
        <f t="shared" si="95"/>
        <v>0.2002765314375i</v>
      </c>
      <c r="AO197" s="174" t="str">
        <f t="shared" si="96"/>
        <v>0.993328279590367-0.0998039950207284i</v>
      </c>
      <c r="AP197" s="174" t="str">
        <f t="shared" si="97"/>
        <v>0.16333526700894-0.0331567237358563i</v>
      </c>
      <c r="AQ197" s="174" t="str">
        <f t="shared" si="98"/>
        <v>0.83666473299106+0.0331567237358563i</v>
      </c>
      <c r="AR197" s="174" t="str">
        <f t="shared" si="99"/>
        <v>0.994058653343808-0.0393941884323576i</v>
      </c>
    </row>
    <row r="198" spans="7:44" x14ac:dyDescent="0.2">
      <c r="G198" s="703">
        <v>11220</v>
      </c>
      <c r="H198" s="691">
        <f t="shared" si="91"/>
        <v>11.22</v>
      </c>
      <c r="I198" s="692">
        <f t="shared" si="69"/>
        <v>10.992251241674444</v>
      </c>
      <c r="J198" s="693">
        <f t="shared" si="70"/>
        <v>1.4796971976355981</v>
      </c>
      <c r="K198" s="693">
        <f t="shared" si="71"/>
        <v>1.000018378428184</v>
      </c>
      <c r="L198" s="694">
        <f t="shared" si="72"/>
        <v>6.062696877828724E-3</v>
      </c>
      <c r="M198" s="693">
        <f t="shared" si="73"/>
        <v>1.0001025226795843</v>
      </c>
      <c r="N198" s="694">
        <f t="shared" si="74"/>
        <v>-1.4318793333751518E-2</v>
      </c>
      <c r="O198" s="692">
        <f t="shared" si="75"/>
        <v>20303.233675634619</v>
      </c>
      <c r="P198" s="695">
        <f t="shared" si="76"/>
        <v>1.5707470735568962</v>
      </c>
      <c r="Q198" s="704">
        <f t="shared" si="103"/>
        <v>8.5185795377848432</v>
      </c>
      <c r="R198" s="705">
        <f t="shared" si="104"/>
        <v>1.453134560571814</v>
      </c>
      <c r="S198" s="692">
        <f t="shared" si="79"/>
        <v>1.0015890973257684</v>
      </c>
      <c r="T198" s="695">
        <f t="shared" si="80"/>
        <v>5.6338189832596051E-2</v>
      </c>
      <c r="U198" s="696">
        <f t="shared" si="92"/>
        <v>0.9931041798775696</v>
      </c>
      <c r="V198" s="697">
        <f t="shared" si="93"/>
        <v>-0.14054063087694829</v>
      </c>
      <c r="W198" s="698">
        <f t="shared" si="81"/>
        <v>8.4256180589281744</v>
      </c>
      <c r="X198" s="699">
        <f t="shared" si="82"/>
        <v>-103.27247009618084</v>
      </c>
      <c r="Y198" s="702">
        <f t="shared" si="83"/>
        <v>76.72752990381916</v>
      </c>
      <c r="AA198" s="174">
        <f t="shared" si="84"/>
        <v>1000000000</v>
      </c>
      <c r="AB198" s="174">
        <f t="shared" si="85"/>
        <v>125888400</v>
      </c>
      <c r="AD198" s="701">
        <f t="shared" si="86"/>
        <v>27.650697293556576</v>
      </c>
      <c r="AE198" s="702">
        <f t="shared" si="87"/>
        <v>-9.9666411261759524</v>
      </c>
      <c r="AG198" s="701">
        <f t="shared" si="88"/>
        <v>6.2830713293816878</v>
      </c>
      <c r="AH198" s="702">
        <f t="shared" si="89"/>
        <v>-77.201058952892268</v>
      </c>
      <c r="AJ198" s="174">
        <f t="shared" si="90"/>
        <v>0</v>
      </c>
      <c r="AK198" s="174">
        <f t="shared" si="102"/>
        <v>0</v>
      </c>
      <c r="AM198" s="174" t="str">
        <f t="shared" si="94"/>
        <v>0.020216714428021+0.200061773744458i</v>
      </c>
      <c r="AN198" s="174" t="str">
        <f t="shared" si="95"/>
        <v>0.20142096876i</v>
      </c>
      <c r="AO198" s="174" t="str">
        <f t="shared" si="96"/>
        <v>0.993251968631123-0.100370455730008i</v>
      </c>
      <c r="AP198" s="174" t="str">
        <f t="shared" si="97"/>
        <v>0.163297214261997-0.0333436289574097i</v>
      </c>
      <c r="AQ198" s="174" t="str">
        <f t="shared" si="98"/>
        <v>0.836702785738003+0.0333436289574097i</v>
      </c>
      <c r="AR198" s="174" t="str">
        <f t="shared" si="99"/>
        <v>0.993995965907479-0.0396119544924753i</v>
      </c>
    </row>
    <row r="199" spans="7:44" x14ac:dyDescent="0.2">
      <c r="G199" s="703">
        <v>11285.5</v>
      </c>
      <c r="H199" s="691">
        <f t="shared" si="91"/>
        <v>11.285500000000001</v>
      </c>
      <c r="I199" s="692">
        <f t="shared" si="69"/>
        <v>11.055892138559603</v>
      </c>
      <c r="J199" s="693">
        <f t="shared" si="70"/>
        <v>1.4802230333209285</v>
      </c>
      <c r="K199" s="693">
        <f t="shared" si="71"/>
        <v>1.0000185936313124</v>
      </c>
      <c r="L199" s="694">
        <f t="shared" si="72"/>
        <v>6.0980887521084369E-3</v>
      </c>
      <c r="M199" s="693">
        <f t="shared" si="73"/>
        <v>1.0001037231229597</v>
      </c>
      <c r="N199" s="694">
        <f t="shared" si="74"/>
        <v>-1.4402371912150186E-2</v>
      </c>
      <c r="O199" s="692">
        <f t="shared" si="75"/>
        <v>20421.759682990891</v>
      </c>
      <c r="P199" s="695">
        <f t="shared" si="76"/>
        <v>1.5707473594181416</v>
      </c>
      <c r="Q199" s="704">
        <f t="shared" si="103"/>
        <v>8.5676258739682556</v>
      </c>
      <c r="R199" s="705">
        <f t="shared" si="104"/>
        <v>1.4538112272188044</v>
      </c>
      <c r="S199" s="692">
        <f t="shared" si="79"/>
        <v>1.0016076901798381</v>
      </c>
      <c r="T199" s="695">
        <f t="shared" si="80"/>
        <v>5.6666378759516023E-2</v>
      </c>
      <c r="U199" s="696">
        <f t="shared" si="92"/>
        <v>0.99302882450198016</v>
      </c>
      <c r="V199" s="697">
        <f t="shared" si="93"/>
        <v>-0.14135577189510076</v>
      </c>
      <c r="W199" s="698">
        <f t="shared" si="81"/>
        <v>8.3739743358508889</v>
      </c>
      <c r="X199" s="699">
        <f t="shared" si="82"/>
        <v>-103.3321133725871</v>
      </c>
      <c r="Y199" s="702">
        <f t="shared" si="83"/>
        <v>76.667886627412898</v>
      </c>
      <c r="AA199" s="174">
        <f t="shared" si="84"/>
        <v>1000000000</v>
      </c>
      <c r="AB199" s="174">
        <f t="shared" si="85"/>
        <v>127362510.25</v>
      </c>
      <c r="AD199" s="701">
        <f t="shared" si="86"/>
        <v>27.649843311657616</v>
      </c>
      <c r="AE199" s="702">
        <f t="shared" si="87"/>
        <v>-9.9466912021816647</v>
      </c>
      <c r="AG199" s="701">
        <f t="shared" si="88"/>
        <v>6.2335997848697042</v>
      </c>
      <c r="AH199" s="702">
        <f t="shared" si="89"/>
        <v>-77.187243873089798</v>
      </c>
      <c r="AJ199" s="174">
        <f t="shared" si="90"/>
        <v>0</v>
      </c>
      <c r="AK199" s="174">
        <f t="shared" si="102"/>
        <v>0</v>
      </c>
      <c r="AM199" s="174" t="str">
        <f t="shared" si="94"/>
        <v>0.020452634999697+0.201213716532854i</v>
      </c>
      <c r="AN199" s="174" t="str">
        <f t="shared" si="95"/>
        <v>0.202596822009i</v>
      </c>
      <c r="AO199" s="174" t="str">
        <f t="shared" si="96"/>
        <v>0.993173113662738-0.100952397954142i</v>
      </c>
      <c r="AP199" s="174" t="str">
        <f t="shared" si="97"/>
        <v>0.163257894166717-0.0335356194221423i</v>
      </c>
      <c r="AQ199" s="174" t="str">
        <f t="shared" si="98"/>
        <v>0.836742105833283+0.0335356194221423i</v>
      </c>
      <c r="AR199" s="174" t="str">
        <f t="shared" si="99"/>
        <v>0.993931204957236-0.0398355698713678i</v>
      </c>
    </row>
    <row r="200" spans="7:44" x14ac:dyDescent="0.2">
      <c r="G200" s="703">
        <v>11351</v>
      </c>
      <c r="H200" s="691">
        <f t="shared" si="91"/>
        <v>11.351000000000001</v>
      </c>
      <c r="I200" s="692">
        <f t="shared" si="69"/>
        <v>11.11953605744109</v>
      </c>
      <c r="J200" s="693">
        <f t="shared" si="70"/>
        <v>1.4807428497889059</v>
      </c>
      <c r="K200" s="693">
        <f t="shared" si="71"/>
        <v>1.0000188100870482</v>
      </c>
      <c r="L200" s="694">
        <f t="shared" si="72"/>
        <v>6.1334806111112208E-3</v>
      </c>
      <c r="M200" s="693">
        <f t="shared" si="73"/>
        <v>1.0001049305524214</v>
      </c>
      <c r="N200" s="694">
        <f t="shared" si="74"/>
        <v>-1.448595028932338E-2</v>
      </c>
      <c r="O200" s="692">
        <f t="shared" si="75"/>
        <v>20540.285690348806</v>
      </c>
      <c r="P200" s="695">
        <f t="shared" si="76"/>
        <v>1.5707476419803097</v>
      </c>
      <c r="Q200" s="704">
        <f t="shared" si="103"/>
        <v>8.6166760884171172</v>
      </c>
      <c r="R200" s="705">
        <f t="shared" si="104"/>
        <v>1.4544801903530626</v>
      </c>
      <c r="S200" s="692">
        <f t="shared" si="79"/>
        <v>1.001626390911029</v>
      </c>
      <c r="T200" s="695">
        <f t="shared" si="80"/>
        <v>5.699455546696746E-2</v>
      </c>
      <c r="U200" s="696">
        <f t="shared" si="92"/>
        <v>0.99295304686490393</v>
      </c>
      <c r="V200" s="697">
        <f t="shared" si="93"/>
        <v>-0.14217082124534189</v>
      </c>
      <c r="W200" s="698">
        <f t="shared" si="81"/>
        <v>8.3226233078333962</v>
      </c>
      <c r="X200" s="699">
        <f t="shared" si="82"/>
        <v>-103.39184700002446</v>
      </c>
      <c r="Y200" s="702">
        <f t="shared" si="83"/>
        <v>76.608152999975545</v>
      </c>
      <c r="AA200" s="174">
        <f t="shared" si="84"/>
        <v>1000000000</v>
      </c>
      <c r="AB200" s="174">
        <f t="shared" si="85"/>
        <v>128845201</v>
      </c>
      <c r="AD200" s="701">
        <f t="shared" si="86"/>
        <v>27.649000247225469</v>
      </c>
      <c r="AE200" s="702">
        <f t="shared" si="87"/>
        <v>-9.9271817678076815</v>
      </c>
      <c r="AG200" s="701">
        <f t="shared" si="88"/>
        <v>6.1844175054761124</v>
      </c>
      <c r="AH200" s="702">
        <f t="shared" si="89"/>
        <v>-77.173089159067047</v>
      </c>
      <c r="AJ200" s="174">
        <f t="shared" si="90"/>
        <v>0</v>
      </c>
      <c r="AK200" s="174">
        <f t="shared" si="102"/>
        <v>0</v>
      </c>
      <c r="AM200" s="174" t="str">
        <f t="shared" si="94"/>
        <v>0.020689909923636+0.202365381116988i</v>
      </c>
      <c r="AN200" s="174" t="str">
        <f t="shared" si="95"/>
        <v>0.203772675258i</v>
      </c>
      <c r="AO200" s="174" t="str">
        <f t="shared" si="96"/>
        <v>0.993093803478655-0.101534270468011i</v>
      </c>
      <c r="AP200" s="174" t="str">
        <f t="shared" si="97"/>
        <v>0.163218348346061-0.033727563519498i</v>
      </c>
      <c r="AQ200" s="174" t="str">
        <f t="shared" si="98"/>
        <v>0.836781651653939+0.033727563519498i</v>
      </c>
      <c r="AR200" s="174" t="str">
        <f t="shared" si="99"/>
        <v>0.993866086881342-0.0400590542454058i</v>
      </c>
    </row>
    <row r="201" spans="7:44" x14ac:dyDescent="0.2">
      <c r="G201" s="703">
        <v>11416.5</v>
      </c>
      <c r="H201" s="691">
        <f t="shared" si="91"/>
        <v>11.416499999999999</v>
      </c>
      <c r="I201" s="692">
        <f t="shared" si="69"/>
        <v>11.183182946724017</v>
      </c>
      <c r="J201" s="693">
        <f t="shared" si="70"/>
        <v>1.4812567495277662</v>
      </c>
      <c r="K201" s="693">
        <f t="shared" si="71"/>
        <v>1.0000190277953909</v>
      </c>
      <c r="L201" s="694">
        <f t="shared" si="72"/>
        <v>6.1688724547484244E-3</v>
      </c>
      <c r="M201" s="693">
        <f t="shared" si="73"/>
        <v>1.0001061449679447</v>
      </c>
      <c r="N201" s="694">
        <f t="shared" si="74"/>
        <v>-1.4569528464104184E-2</v>
      </c>
      <c r="O201" s="692">
        <f t="shared" si="75"/>
        <v>20658.811697708345</v>
      </c>
      <c r="P201" s="695">
        <f t="shared" si="76"/>
        <v>1.5707479213001845</v>
      </c>
      <c r="Q201" s="704">
        <f t="shared" si="103"/>
        <v>8.6657301152755526</v>
      </c>
      <c r="R201" s="705">
        <f t="shared" si="104"/>
        <v>1.4551415801923417</v>
      </c>
      <c r="S201" s="692">
        <f t="shared" si="79"/>
        <v>1.0016451995132982</v>
      </c>
      <c r="T201" s="695">
        <f t="shared" si="80"/>
        <v>5.7322719884947533E-2</v>
      </c>
      <c r="U201" s="696">
        <f t="shared" si="92"/>
        <v>0.99287684724523262</v>
      </c>
      <c r="V201" s="697">
        <f t="shared" si="93"/>
        <v>-0.14298577842379448</v>
      </c>
      <c r="W201" s="698">
        <f t="shared" si="81"/>
        <v>8.2715615036960735</v>
      </c>
      <c r="X201" s="699">
        <f t="shared" si="82"/>
        <v>-103.45166936001941</v>
      </c>
      <c r="Y201" s="702">
        <f t="shared" si="83"/>
        <v>76.548330639980591</v>
      </c>
      <c r="AA201" s="174">
        <f t="shared" si="84"/>
        <v>1000000000</v>
      </c>
      <c r="AB201" s="174">
        <f t="shared" si="85"/>
        <v>130336472.25</v>
      </c>
      <c r="AD201" s="701">
        <f t="shared" si="86"/>
        <v>27.648167832219677</v>
      </c>
      <c r="AE201" s="702">
        <f t="shared" si="87"/>
        <v>-9.9081053613689356</v>
      </c>
      <c r="AG201" s="701">
        <f t="shared" si="88"/>
        <v>6.1355212848888074</v>
      </c>
      <c r="AH201" s="702">
        <f t="shared" si="89"/>
        <v>-77.158600711775577</v>
      </c>
      <c r="AJ201" s="174">
        <f t="shared" si="90"/>
        <v>0</v>
      </c>
      <c r="AK201" s="174">
        <f t="shared" si="102"/>
        <v>0</v>
      </c>
      <c r="AM201" s="174" t="str">
        <f t="shared" si="94"/>
        <v>0.020928538871774+0.203516765904532i</v>
      </c>
      <c r="AN201" s="174" t="str">
        <f t="shared" si="95"/>
        <v>0.204948528507i</v>
      </c>
      <c r="AO201" s="174" t="str">
        <f t="shared" si="96"/>
        <v>0.993014038144611-0.102116072870751i</v>
      </c>
      <c r="AP201" s="174" t="str">
        <f t="shared" si="97"/>
        <v>0.163178576854704-0.0339194609840887i</v>
      </c>
      <c r="AQ201" s="174" t="str">
        <f t="shared" si="98"/>
        <v>0.836821423145296+0.0339194609840887i</v>
      </c>
      <c r="AR201" s="174" t="str">
        <f t="shared" si="99"/>
        <v>0.993800612016344-0.0402824069184937i</v>
      </c>
    </row>
    <row r="202" spans="7:44" x14ac:dyDescent="0.2">
      <c r="G202" s="703">
        <v>11482</v>
      </c>
      <c r="H202" s="691">
        <f t="shared" si="91"/>
        <v>11.481999999999999</v>
      </c>
      <c r="I202" s="692">
        <f t="shared" si="69"/>
        <v>11.246832755979039</v>
      </c>
      <c r="J202" s="693">
        <f t="shared" si="70"/>
        <v>1.4817648327183397</v>
      </c>
      <c r="K202" s="693">
        <f t="shared" si="71"/>
        <v>1.0000192467563391</v>
      </c>
      <c r="L202" s="694">
        <f t="shared" si="72"/>
        <v>6.2042642829313929E-3</v>
      </c>
      <c r="M202" s="693">
        <f t="shared" si="73"/>
        <v>1.0001073663695035</v>
      </c>
      <c r="N202" s="694">
        <f t="shared" si="74"/>
        <v>-1.4653106435325696E-2</v>
      </c>
      <c r="O202" s="692">
        <f t="shared" si="75"/>
        <v>20777.33770506948</v>
      </c>
      <c r="P202" s="695">
        <f t="shared" si="76"/>
        <v>1.5707481974332536</v>
      </c>
      <c r="Q202" s="704">
        <f t="shared" si="103"/>
        <v>8.7147878901653861</v>
      </c>
      <c r="R202" s="705">
        <f t="shared" si="104"/>
        <v>1.455795524049124</v>
      </c>
      <c r="S202" s="692">
        <f t="shared" si="79"/>
        <v>1.0016641159805699</v>
      </c>
      <c r="T202" s="695">
        <f t="shared" si="80"/>
        <v>5.7650871943469247E-2</v>
      </c>
      <c r="U202" s="696">
        <f t="shared" si="92"/>
        <v>0.99280022592330996</v>
      </c>
      <c r="V202" s="697">
        <f t="shared" si="93"/>
        <v>-0.14380064292705452</v>
      </c>
      <c r="W202" s="698">
        <f t="shared" si="81"/>
        <v>8.2207855130018714</v>
      </c>
      <c r="X202" s="699">
        <f t="shared" si="82"/>
        <v>-103.51157886830734</v>
      </c>
      <c r="Y202" s="702">
        <f t="shared" si="83"/>
        <v>76.488421131692661</v>
      </c>
      <c r="AA202" s="174">
        <f t="shared" si="84"/>
        <v>1000000000</v>
      </c>
      <c r="AB202" s="174">
        <f t="shared" si="85"/>
        <v>131836324</v>
      </c>
      <c r="AD202" s="701">
        <f t="shared" si="86"/>
        <v>27.647345806125788</v>
      </c>
      <c r="AE202" s="702">
        <f t="shared" si="87"/>
        <v>-9.8894546875667544</v>
      </c>
      <c r="AG202" s="701">
        <f t="shared" si="88"/>
        <v>6.0869079699952753</v>
      </c>
      <c r="AH202" s="702">
        <f t="shared" si="89"/>
        <v>-77.143784299935348</v>
      </c>
      <c r="AJ202" s="174">
        <f t="shared" si="90"/>
        <v>0</v>
      </c>
      <c r="AK202" s="174">
        <f t="shared" si="102"/>
        <v>0</v>
      </c>
      <c r="AM202" s="174" t="str">
        <f t="shared" si="94"/>
        <v>0.021168521514175+0.204667869303547i</v>
      </c>
      <c r="AN202" s="174" t="str">
        <f t="shared" si="95"/>
        <v>0.206124381756i</v>
      </c>
      <c r="AO202" s="174" t="str">
        <f t="shared" si="96"/>
        <v>0.99293381772673-0.10269780476156i</v>
      </c>
      <c r="AP202" s="174" t="str">
        <f t="shared" si="97"/>
        <v>0.163138579747637-0.0341113115505912i</v>
      </c>
      <c r="AQ202" s="174" t="str">
        <f t="shared" si="98"/>
        <v>0.836861420252363+0.0341113115505912i</v>
      </c>
      <c r="AR202" s="174" t="str">
        <f t="shared" si="99"/>
        <v>0.993734780700485-0.0405056271956121i</v>
      </c>
    </row>
    <row r="203" spans="7:44" x14ac:dyDescent="0.2">
      <c r="G203" s="703">
        <v>11548.75</v>
      </c>
      <c r="H203" s="691">
        <f t="shared" si="91"/>
        <v>11.54875</v>
      </c>
      <c r="I203" s="692">
        <f t="shared" si="69"/>
        <v>11.311700209307421</v>
      </c>
      <c r="J203" s="693">
        <f t="shared" si="70"/>
        <v>1.4822767294306427</v>
      </c>
      <c r="K203" s="693">
        <f t="shared" si="71"/>
        <v>1.0000194711846218</v>
      </c>
      <c r="L203" s="694">
        <f t="shared" si="72"/>
        <v>6.2403315116915129E-3</v>
      </c>
      <c r="M203" s="693">
        <f t="shared" si="73"/>
        <v>1.0001086182675158</v>
      </c>
      <c r="N203" s="694">
        <f t="shared" si="74"/>
        <v>-1.473827919536643E-2</v>
      </c>
      <c r="O203" s="692">
        <f t="shared" si="75"/>
        <v>20898.12565913759</v>
      </c>
      <c r="P203" s="695">
        <f t="shared" si="76"/>
        <v>1.5707484756135661</v>
      </c>
      <c r="Q203" s="704">
        <f t="shared" si="103"/>
        <v>8.7647856729783982</v>
      </c>
      <c r="R203" s="705">
        <f t="shared" si="104"/>
        <v>1.4564544161384785</v>
      </c>
      <c r="S203" s="692">
        <f t="shared" si="79"/>
        <v>1.0016835044151808</v>
      </c>
      <c r="T203" s="695">
        <f t="shared" si="80"/>
        <v>5.7985273657900918E-2</v>
      </c>
      <c r="U203" s="696">
        <f t="shared" si="92"/>
        <v>0.99272170880349542</v>
      </c>
      <c r="V203" s="697">
        <f t="shared" si="93"/>
        <v>-0.14463096241393497</v>
      </c>
      <c r="W203" s="698">
        <f t="shared" si="81"/>
        <v>8.1693310927338842</v>
      </c>
      <c r="X203" s="699">
        <f t="shared" si="82"/>
        <v>-103.57271974105981</v>
      </c>
      <c r="Y203" s="702">
        <f t="shared" si="83"/>
        <v>76.427280258940186</v>
      </c>
      <c r="AA203" s="174">
        <f t="shared" si="84"/>
        <v>1000000000</v>
      </c>
      <c r="AB203" s="174">
        <f t="shared" si="85"/>
        <v>133373626.5625</v>
      </c>
      <c r="AD203" s="701">
        <f t="shared" si="86"/>
        <v>27.646518518549648</v>
      </c>
      <c r="AE203" s="702">
        <f t="shared" si="87"/>
        <v>-9.8708786971276954</v>
      </c>
      <c r="AG203" s="701">
        <f t="shared" si="88"/>
        <v>6.0376547652884751</v>
      </c>
      <c r="AH203" s="702">
        <f t="shared" si="89"/>
        <v>-77.128353558526697</v>
      </c>
      <c r="AJ203" s="174">
        <f t="shared" si="90"/>
        <v>0</v>
      </c>
      <c r="AK203" s="174">
        <f t="shared" si="102"/>
        <v>0</v>
      </c>
      <c r="AM203" s="174" t="str">
        <f t="shared" si="94"/>
        <v>0.021414476326009+0.205840649182082i</v>
      </c>
      <c r="AN203" s="174" t="str">
        <f t="shared" si="95"/>
        <v>0.2073226749525i</v>
      </c>
      <c r="AO203" s="174" t="str">
        <f t="shared" si="96"/>
        <v>0.992851598259778-0.103290565447872i</v>
      </c>
      <c r="AP203" s="174" t="str">
        <f t="shared" si="97"/>
        <v>0.163097587278999-0.0343067748636803i</v>
      </c>
      <c r="AQ203" s="174" t="str">
        <f t="shared" si="98"/>
        <v>0.836902412721001+0.0343067748636803i</v>
      </c>
      <c r="AR203" s="174" t="str">
        <f t="shared" si="99"/>
        <v>0.993667326694254-0.0407329704731766i</v>
      </c>
    </row>
    <row r="204" spans="7:44" x14ac:dyDescent="0.2">
      <c r="G204" s="703">
        <v>11615.5</v>
      </c>
      <c r="H204" s="691">
        <f t="shared" si="91"/>
        <v>11.615500000000001</v>
      </c>
      <c r="I204" s="692">
        <f t="shared" si="69"/>
        <v>11.376570592931751</v>
      </c>
      <c r="J204" s="693">
        <f t="shared" si="70"/>
        <v>1.482782788498169</v>
      </c>
      <c r="K204" s="693">
        <f t="shared" si="71"/>
        <v>1.0000196969137742</v>
      </c>
      <c r="L204" s="694">
        <f t="shared" si="72"/>
        <v>6.2763987242160204E-3</v>
      </c>
      <c r="M204" s="693">
        <f t="shared" si="73"/>
        <v>1.0001098774206969</v>
      </c>
      <c r="N204" s="694">
        <f t="shared" si="74"/>
        <v>-1.4823451741557497E-2</v>
      </c>
      <c r="O204" s="692">
        <f t="shared" si="75"/>
        <v>21018.9136132073</v>
      </c>
      <c r="P204" s="695">
        <f t="shared" si="76"/>
        <v>1.5707487505966791</v>
      </c>
      <c r="Q204" s="704">
        <f t="shared" si="103"/>
        <v>8.8147872177581608</v>
      </c>
      <c r="R204" s="705">
        <f t="shared" si="104"/>
        <v>1.4571058334274054</v>
      </c>
      <c r="S204" s="692">
        <f t="shared" si="79"/>
        <v>1.0017030048582121</v>
      </c>
      <c r="T204" s="695">
        <f t="shared" si="80"/>
        <v>5.8319662389933843E-2</v>
      </c>
      <c r="U204" s="696">
        <f t="shared" si="92"/>
        <v>0.99264275432471993</v>
      </c>
      <c r="V204" s="697">
        <f t="shared" si="93"/>
        <v>-0.14546118460059759</v>
      </c>
      <c r="W204" s="698">
        <f t="shared" si="81"/>
        <v>8.1181665341359981</v>
      </c>
      <c r="X204" s="699">
        <f t="shared" si="82"/>
        <v>-103.6339479026846</v>
      </c>
      <c r="Y204" s="702">
        <f t="shared" si="83"/>
        <v>76.366052097315404</v>
      </c>
      <c r="AA204" s="174">
        <f t="shared" si="84"/>
        <v>1000000000</v>
      </c>
      <c r="AB204" s="174">
        <f t="shared" si="85"/>
        <v>134919840.25</v>
      </c>
      <c r="AD204" s="701">
        <f t="shared" si="86"/>
        <v>27.645701496713123</v>
      </c>
      <c r="AE204" s="702">
        <f t="shared" si="87"/>
        <v>-9.8527300541836134</v>
      </c>
      <c r="AG204" s="701">
        <f t="shared" si="88"/>
        <v>5.9886889191983759</v>
      </c>
      <c r="AH204" s="702">
        <f t="shared" si="89"/>
        <v>-77.112593908279067</v>
      </c>
      <c r="AJ204" s="174">
        <f t="shared" si="90"/>
        <v>0</v>
      </c>
      <c r="AK204" s="174">
        <f t="shared" si="102"/>
        <v>0</v>
      </c>
      <c r="AM204" s="174" t="str">
        <f t="shared" si="94"/>
        <v>0.021661836295072+0.207013133492708i</v>
      </c>
      <c r="AN204" s="174" t="str">
        <f t="shared" si="95"/>
        <v>0.208520968149i</v>
      </c>
      <c r="AO204" s="174" t="str">
        <f t="shared" si="96"/>
        <v>0.992768906313467-0.103883252065056i</v>
      </c>
      <c r="AP204" s="174" t="str">
        <f t="shared" si="97"/>
        <v>0.163056360617488-0.0345021889154513i</v>
      </c>
      <c r="AQ204" s="174" t="str">
        <f t="shared" si="98"/>
        <v>0.836943639382512+0.0345021889154513i</v>
      </c>
      <c r="AR204" s="174" t="str">
        <f t="shared" si="99"/>
        <v>0.993599503216966-0.0409601747993243i</v>
      </c>
    </row>
    <row r="205" spans="7:44" x14ac:dyDescent="0.2">
      <c r="G205" s="703">
        <v>11682.25</v>
      </c>
      <c r="H205" s="691">
        <f t="shared" si="91"/>
        <v>11.68225</v>
      </c>
      <c r="I205" s="692">
        <f t="shared" ref="I205:I268" si="105">SQRT(1+(G205/pole1)^2)</f>
        <v>11.441443857009698</v>
      </c>
      <c r="J205" s="693">
        <f t="shared" ref="J205:J268" si="106">ATAN(G205/pole1)</f>
        <v>1.4832831089582517</v>
      </c>
      <c r="K205" s="693">
        <f t="shared" ref="K205:K268" si="107">SQRT(1+(G205/Zero1)^2)</f>
        <v>1.0000199239437955</v>
      </c>
      <c r="L205" s="694">
        <f t="shared" ref="L205:L268" si="108">ATAN(G205/Zero1)</f>
        <v>6.3124659204110926E-3</v>
      </c>
      <c r="M205" s="693">
        <f t="shared" ref="M205:M268" si="109">SQRT(1+(G205/z_RHP)^2)</f>
        <v>1.0001111438290193</v>
      </c>
      <c r="N205" s="694">
        <f t="shared" ref="N205:N268" si="110">-ATAN(G205/z_RHP)</f>
        <v>-1.4908624072663964E-2</v>
      </c>
      <c r="O205" s="692">
        <f t="shared" ref="O205:O268" si="111">SQRT(1+(G205/Pole2)^2)</f>
        <v>21139.701567278578</v>
      </c>
      <c r="P205" s="695">
        <f t="shared" ref="P205:P268" si="112">ATAN(G205/Pole2)</f>
        <v>1.570749022437397</v>
      </c>
      <c r="Q205" s="704">
        <f t="shared" si="103"/>
        <v>8.864792460846953</v>
      </c>
      <c r="R205" s="705">
        <f t="shared" si="104"/>
        <v>1.4577499018517113</v>
      </c>
      <c r="S205" s="692">
        <f t="shared" ref="S205:S268" si="113">SQRT(1+(G205/pole4)^2)</f>
        <v>1.0017226173031222</v>
      </c>
      <c r="T205" s="695">
        <f t="shared" ref="T205:T268" si="114">ATAN(G205/pole4)</f>
        <v>5.8654038065548482E-2</v>
      </c>
      <c r="U205" s="696">
        <f t="shared" si="92"/>
        <v>0.99256336278829105</v>
      </c>
      <c r="V205" s="697">
        <f t="shared" si="93"/>
        <v>-0.14629130895580925</v>
      </c>
      <c r="W205" s="698">
        <f t="shared" ref="W205:W268" si="115">20*LOG10(((K205*Q205*M205*U205)/(I205*O205*S205))*Adc)</f>
        <v>8.0672884135195861</v>
      </c>
      <c r="X205" s="699">
        <f t="shared" ref="X205:X268" si="116">((L205+R205+N205+V205)-(J205+P205+T205))*radconv</f>
        <v>-103.69526178040893</v>
      </c>
      <c r="Y205" s="702">
        <f t="shared" ref="Y205:Y268" si="117">IF(X205&gt;0,X205,X205+180)</f>
        <v>76.304738219591073</v>
      </c>
      <c r="AA205" s="174">
        <f t="shared" ref="AA205:AA268" si="118">IF(W205&lt;0,G205,1000000000)</f>
        <v>1000000000</v>
      </c>
      <c r="AB205" s="174">
        <f t="shared" ref="AB205:AB268" si="119">G205^2</f>
        <v>136474965.0625</v>
      </c>
      <c r="AD205" s="701">
        <f t="shared" ref="AD205:AD268" si="120">20*LOG10((Q205/(O205*S205))*Aea)</f>
        <v>27.64489448744111</v>
      </c>
      <c r="AE205" s="702">
        <f t="shared" ref="AE205:AE268" si="121">(R205-(P205+T205))*radconv</f>
        <v>-9.835001542043381</v>
      </c>
      <c r="AG205" s="701">
        <f t="shared" ref="AG205:AG268" si="122">20*LOG10((K205*M205/(I205*U205))*Acs*Am)</f>
        <v>5.9400072577816951</v>
      </c>
      <c r="AH205" s="702">
        <f t="shared" ref="AH205:AH268" si="123">(L205+N205-(J205+V205))*radconv</f>
        <v>-77.096511053985665</v>
      </c>
      <c r="AJ205" s="174">
        <f t="shared" ref="AJ205:AJ268" si="124">SUM((W206&lt;0)*(W205&gt;0))*G205</f>
        <v>0</v>
      </c>
      <c r="AK205" s="174">
        <f t="shared" si="102"/>
        <v>0</v>
      </c>
      <c r="AM205" s="174" t="str">
        <f t="shared" si="94"/>
        <v>0.021910601066178+0.208185320551848i</v>
      </c>
      <c r="AN205" s="174" t="str">
        <f t="shared" si="95"/>
        <v>0.2097192613455i</v>
      </c>
      <c r="AO205" s="174" t="str">
        <f t="shared" si="96"/>
        <v>0.992685741958985-0.104475864189134i</v>
      </c>
      <c r="AP205" s="174" t="str">
        <f t="shared" si="97"/>
        <v>0.163014899822304-0.034697553425308i</v>
      </c>
      <c r="AQ205" s="174" t="str">
        <f t="shared" si="98"/>
        <v>0.836985100177696+0.034697553425308i</v>
      </c>
      <c r="AR205" s="174" t="str">
        <f t="shared" si="99"/>
        <v>0.993531310632023-0.0411872394419591i</v>
      </c>
    </row>
    <row r="206" spans="7:44" x14ac:dyDescent="0.2">
      <c r="G206" s="703">
        <v>11749</v>
      </c>
      <c r="H206" s="691">
        <f t="shared" ref="H206:H269" si="125">G206/1000</f>
        <v>11.749000000000001</v>
      </c>
      <c r="I206" s="692">
        <f t="shared" si="105"/>
        <v>11.506319952820794</v>
      </c>
      <c r="J206" s="693">
        <f t="shared" si="106"/>
        <v>1.4837777876262559</v>
      </c>
      <c r="K206" s="693">
        <f t="shared" si="107"/>
        <v>1.0000201522746848</v>
      </c>
      <c r="L206" s="694">
        <f t="shared" si="108"/>
        <v>6.3485331001829053E-3</v>
      </c>
      <c r="M206" s="693">
        <f t="shared" si="109"/>
        <v>1.0001124174924558</v>
      </c>
      <c r="N206" s="694">
        <f t="shared" si="110"/>
        <v>-1.4993796187450918E-2</v>
      </c>
      <c r="O206" s="692">
        <f t="shared" si="111"/>
        <v>21260.489521351403</v>
      </c>
      <c r="P206" s="695">
        <f t="shared" si="112"/>
        <v>1.5707492911892789</v>
      </c>
      <c r="Q206" s="704">
        <f t="shared" si="103"/>
        <v>8.9148013400106905</v>
      </c>
      <c r="R206" s="705">
        <f t="shared" si="104"/>
        <v>1.4583867445460845</v>
      </c>
      <c r="S206" s="692">
        <f t="shared" si="113"/>
        <v>1.0017423417433327</v>
      </c>
      <c r="T206" s="695">
        <f t="shared" si="114"/>
        <v>5.8988400610742779E-2</v>
      </c>
      <c r="U206" s="696">
        <f t="shared" ref="U206:U269" si="126">IMABS(IMPRODUCT(AO206, AR206))</f>
        <v>0.99248353449704352</v>
      </c>
      <c r="V206" s="697">
        <f t="shared" ref="V206:V269" si="127">IMARGUMENT(IMPRODUCT(AO206, AR206))</f>
        <v>-0.14712133494886692</v>
      </c>
      <c r="W206" s="698">
        <f t="shared" si="115"/>
        <v>8.0166933668228975</v>
      </c>
      <c r="X206" s="699">
        <f t="shared" si="116"/>
        <v>-103.75665983460298</v>
      </c>
      <c r="Y206" s="702">
        <f t="shared" si="117"/>
        <v>76.243340165397015</v>
      </c>
      <c r="AA206" s="174">
        <f t="shared" si="118"/>
        <v>1000000000</v>
      </c>
      <c r="AB206" s="174">
        <f t="shared" si="119"/>
        <v>138039001</v>
      </c>
      <c r="AD206" s="701">
        <f t="shared" si="120"/>
        <v>27.644097244643</v>
      </c>
      <c r="AE206" s="702">
        <f t="shared" si="121"/>
        <v>-9.8176861044377244</v>
      </c>
      <c r="AG206" s="701">
        <f t="shared" si="122"/>
        <v>5.891606659619856</v>
      </c>
      <c r="AH206" s="702">
        <f t="shared" si="123"/>
        <v>-77.080110573099986</v>
      </c>
      <c r="AJ206" s="174">
        <f t="shared" si="124"/>
        <v>0</v>
      </c>
      <c r="AK206" s="174">
        <f t="shared" si="102"/>
        <v>0</v>
      </c>
      <c r="AM206" s="174" t="str">
        <f t="shared" ref="AM206:AM269" si="128">IMSUB(1,IMEXP(COMPLEX(0,-2*Pi*G206*Tsw)))</f>
        <v>0.022160770282125+0.209357208676351i</v>
      </c>
      <c r="AN206" s="174" t="str">
        <f t="shared" ref="AN206:AN269" si="129">COMPLEX(0, 2*Pi*G206*Tsw)</f>
        <v>0.210917554542i</v>
      </c>
      <c r="AO206" s="174" t="str">
        <f t="shared" ref="AO206:AO269" si="130">IMDIV(AM206, AN206)</f>
        <v>0.992602105267922-0.105068401396206i</v>
      </c>
      <c r="AP206" s="174" t="str">
        <f t="shared" ref="AP206:AP269" si="131">IMDIV(IMEXP(COMPLEX(0,-2*Pi*G206*Tsw)),6)</f>
        <v>0.162973204952979-0.0348928681127252i</v>
      </c>
      <c r="AQ206" s="174" t="str">
        <f t="shared" ref="AQ206:AQ269" si="132">IMSUB(1, AP206)</f>
        <v>0.837026795047021+0.0348928681127252i</v>
      </c>
      <c r="AR206" s="174" t="str">
        <f t="shared" ref="AR206:AR269" si="133">IMDIV(0.833, AQ206)</f>
        <v>0.993462749304632-0.0414141636701661i</v>
      </c>
    </row>
    <row r="207" spans="7:44" x14ac:dyDescent="0.2">
      <c r="G207" s="703">
        <v>11817.5</v>
      </c>
      <c r="H207" s="691">
        <f t="shared" si="125"/>
        <v>11.817500000000001</v>
      </c>
      <c r="I207" s="692">
        <f t="shared" si="105"/>
        <v>11.572899814179463</v>
      </c>
      <c r="J207" s="693">
        <f t="shared" si="106"/>
        <v>1.4842796690543156</v>
      </c>
      <c r="K207" s="693">
        <f t="shared" si="107"/>
        <v>1.0000203879442489</v>
      </c>
      <c r="L207" s="694">
        <f t="shared" si="108"/>
        <v>6.3855458442736998E-3</v>
      </c>
      <c r="M207" s="693">
        <f t="shared" si="109"/>
        <v>1.000113732090709</v>
      </c>
      <c r="N207" s="694">
        <f t="shared" si="110"/>
        <v>-1.508120105283413E-2</v>
      </c>
      <c r="O207" s="692">
        <f t="shared" si="111"/>
        <v>21384.444200813483</v>
      </c>
      <c r="P207" s="695">
        <f t="shared" si="112"/>
        <v>1.5707495638306141</v>
      </c>
      <c r="Q207" s="704">
        <f t="shared" si="103"/>
        <v>8.9661250298936253</v>
      </c>
      <c r="R207" s="705">
        <f t="shared" si="104"/>
        <v>1.4590328973827718</v>
      </c>
      <c r="S207" s="692">
        <f t="shared" si="113"/>
        <v>1.0017626997348599</v>
      </c>
      <c r="T207" s="695">
        <f t="shared" si="114"/>
        <v>5.9331515486285097E-2</v>
      </c>
      <c r="U207" s="696">
        <f t="shared" si="126"/>
        <v>0.99240115956780695</v>
      </c>
      <c r="V207" s="697">
        <f t="shared" si="127"/>
        <v>-0.14797301910284946</v>
      </c>
      <c r="W207" s="698">
        <f t="shared" si="115"/>
        <v>7.9650626949550336</v>
      </c>
      <c r="X207" s="699">
        <f t="shared" si="116"/>
        <v>-103.81975351068303</v>
      </c>
      <c r="Y207" s="702">
        <f t="shared" si="117"/>
        <v>76.180246489316971</v>
      </c>
      <c r="AA207" s="174">
        <f t="shared" si="118"/>
        <v>1000000000</v>
      </c>
      <c r="AB207" s="174">
        <f t="shared" si="119"/>
        <v>139653306.25</v>
      </c>
      <c r="AD207" s="701">
        <f t="shared" si="120"/>
        <v>27.643289003392859</v>
      </c>
      <c r="AE207" s="702">
        <f t="shared" si="121"/>
        <v>-9.8003389294098735</v>
      </c>
      <c r="AG207" s="701">
        <f t="shared" si="122"/>
        <v>5.8422261254444692</v>
      </c>
      <c r="AH207" s="702">
        <f t="shared" si="123"/>
        <v>-77.062955609093606</v>
      </c>
      <c r="AJ207" s="174">
        <f t="shared" si="124"/>
        <v>0</v>
      </c>
      <c r="AK207" s="174">
        <f t="shared" si="102"/>
        <v>0</v>
      </c>
      <c r="AM207" s="174" t="str">
        <f t="shared" si="128"/>
        <v>0.022418958023299+0.21055950790156i</v>
      </c>
      <c r="AN207" s="174" t="str">
        <f t="shared" si="129"/>
        <v>0.212147263665i</v>
      </c>
      <c r="AO207" s="174" t="str">
        <f t="shared" si="130"/>
        <v>0.992515784856187-0.10567639495318i</v>
      </c>
      <c r="AP207" s="174" t="str">
        <f t="shared" si="131"/>
        <v>0.162930173662784-0.0350932513169267i</v>
      </c>
      <c r="AQ207" s="174" t="str">
        <f t="shared" si="132"/>
        <v>0.837069826337216+0.0350932513169267i</v>
      </c>
      <c r="AR207" s="174" t="str">
        <f t="shared" si="133"/>
        <v>0.993392007503901-0.0416468904728107i</v>
      </c>
    </row>
    <row r="208" spans="7:44" x14ac:dyDescent="0.2">
      <c r="G208" s="703">
        <v>11886</v>
      </c>
      <c r="H208" s="691">
        <f t="shared" si="125"/>
        <v>11.885999999999999</v>
      </c>
      <c r="I208" s="692">
        <f t="shared" si="105"/>
        <v>11.639482557228138</v>
      </c>
      <c r="J208" s="693">
        <f t="shared" si="106"/>
        <v>1.4847758086598113</v>
      </c>
      <c r="K208" s="693">
        <f t="shared" si="107"/>
        <v>1.0000206249837835</v>
      </c>
      <c r="L208" s="694">
        <f t="shared" si="108"/>
        <v>6.4225585708685955E-3</v>
      </c>
      <c r="M208" s="693">
        <f t="shared" si="109"/>
        <v>1.0001150543294215</v>
      </c>
      <c r="N208" s="694">
        <f t="shared" si="110"/>
        <v>-1.5168605687771473E-2</v>
      </c>
      <c r="O208" s="692">
        <f t="shared" si="111"/>
        <v>21508.398880277131</v>
      </c>
      <c r="P208" s="695">
        <f t="shared" si="112"/>
        <v>1.5707498333294403</v>
      </c>
      <c r="Q208" s="704">
        <f t="shared" si="103"/>
        <v>9.0174524206410691</v>
      </c>
      <c r="R208" s="705">
        <f t="shared" si="104"/>
        <v>1.4596716946723578</v>
      </c>
      <c r="S208" s="692">
        <f t="shared" si="113"/>
        <v>1.0017831756569222</v>
      </c>
      <c r="T208" s="695">
        <f t="shared" si="114"/>
        <v>5.9674616376042801E-2</v>
      </c>
      <c r="U208" s="696">
        <f t="shared" si="126"/>
        <v>0.9923183253337382</v>
      </c>
      <c r="V208" s="697">
        <f t="shared" si="127"/>
        <v>-0.14882459853874708</v>
      </c>
      <c r="W208" s="698">
        <f t="shared" si="115"/>
        <v>7.9137231428335078</v>
      </c>
      <c r="X208" s="699">
        <f t="shared" si="116"/>
        <v>-103.88293265288405</v>
      </c>
      <c r="Y208" s="702">
        <f t="shared" si="117"/>
        <v>76.117067347115949</v>
      </c>
      <c r="AA208" s="174">
        <f t="shared" si="118"/>
        <v>1000000000</v>
      </c>
      <c r="AB208" s="174">
        <f t="shared" si="119"/>
        <v>141276996</v>
      </c>
      <c r="AD208" s="701">
        <f t="shared" si="120"/>
        <v>27.642490544199458</v>
      </c>
      <c r="AE208" s="702">
        <f t="shared" si="121"/>
        <v>-9.7834122148084859</v>
      </c>
      <c r="AG208" s="701">
        <f t="shared" si="122"/>
        <v>5.793135089355637</v>
      </c>
      <c r="AH208" s="702">
        <f t="shared" si="123"/>
        <v>-77.045477650590399</v>
      </c>
      <c r="AJ208" s="174">
        <f t="shared" si="124"/>
        <v>0</v>
      </c>
      <c r="AK208" s="174">
        <f t="shared" si="102"/>
        <v>0</v>
      </c>
      <c r="AM208" s="174" t="str">
        <f t="shared" si="128"/>
        <v>0.022678624047212+0.21176148872198i</v>
      </c>
      <c r="AN208" s="174" t="str">
        <f t="shared" si="129"/>
        <v>0.213376972788i</v>
      </c>
      <c r="AO208" s="174" t="str">
        <f t="shared" si="130"/>
        <v>0.992428967170581-0.106284308709095i</v>
      </c>
      <c r="AP208" s="174" t="str">
        <f t="shared" si="131"/>
        <v>0.162886895992131-0.0352935814536633i</v>
      </c>
      <c r="AQ208" s="174" t="str">
        <f t="shared" si="132"/>
        <v>0.837113104007869+0.0352935814536633i</v>
      </c>
      <c r="AR208" s="174" t="str">
        <f t="shared" si="133"/>
        <v>0.993320878157606-0.0418794678461398i</v>
      </c>
    </row>
    <row r="209" spans="7:44" x14ac:dyDescent="0.2">
      <c r="G209" s="703">
        <v>11954.5</v>
      </c>
      <c r="H209" s="691">
        <f t="shared" si="125"/>
        <v>11.954499999999999</v>
      </c>
      <c r="I209" s="692">
        <f t="shared" si="105"/>
        <v>11.706068132794679</v>
      </c>
      <c r="J209" s="693">
        <f t="shared" si="106"/>
        <v>1.4852663041769893</v>
      </c>
      <c r="K209" s="693">
        <f t="shared" si="107"/>
        <v>1.0000208633932877</v>
      </c>
      <c r="L209" s="694">
        <f t="shared" si="108"/>
        <v>6.4595712798661917E-3</v>
      </c>
      <c r="M209" s="693">
        <f t="shared" si="109"/>
        <v>1.000116384208563</v>
      </c>
      <c r="N209" s="694">
        <f t="shared" si="110"/>
        <v>-1.5256010090928399E-2</v>
      </c>
      <c r="O209" s="692">
        <f t="shared" si="111"/>
        <v>21632.353559742329</v>
      </c>
      <c r="P209" s="695">
        <f t="shared" si="112"/>
        <v>1.5707500997397779</v>
      </c>
      <c r="Q209" s="704">
        <f t="shared" si="103"/>
        <v>9.0687834494146955</v>
      </c>
      <c r="R209" s="705">
        <f t="shared" si="104"/>
        <v>1.4603032607903892</v>
      </c>
      <c r="S209" s="692">
        <f t="shared" si="113"/>
        <v>1.0018037695022886</v>
      </c>
      <c r="T209" s="695">
        <f t="shared" si="114"/>
        <v>6.0017703200097486E-2</v>
      </c>
      <c r="U209" s="696">
        <f t="shared" si="126"/>
        <v>0.99223503212716446</v>
      </c>
      <c r="V209" s="697">
        <f t="shared" si="127"/>
        <v>-0.14967607268475006</v>
      </c>
      <c r="W209" s="698">
        <f t="shared" si="115"/>
        <v>7.8626712616822489</v>
      </c>
      <c r="X209" s="699">
        <f t="shared" si="116"/>
        <v>-103.94619570045523</v>
      </c>
      <c r="Y209" s="702">
        <f t="shared" si="117"/>
        <v>76.053804299544765</v>
      </c>
      <c r="AA209" s="174">
        <f t="shared" si="118"/>
        <v>1000000000</v>
      </c>
      <c r="AB209" s="174">
        <f t="shared" si="119"/>
        <v>142910070.25</v>
      </c>
      <c r="AD209" s="701">
        <f t="shared" si="120"/>
        <v>27.641701622849023</v>
      </c>
      <c r="AE209" s="702">
        <f t="shared" si="121"/>
        <v>-9.7668988329557944</v>
      </c>
      <c r="AG209" s="701">
        <f t="shared" si="122"/>
        <v>5.7443303430064248</v>
      </c>
      <c r="AH209" s="702">
        <f t="shared" si="123"/>
        <v>-77.027682330041813</v>
      </c>
      <c r="AJ209" s="174">
        <f t="shared" si="124"/>
        <v>0</v>
      </c>
      <c r="AK209" s="174">
        <f t="shared" si="102"/>
        <v>0</v>
      </c>
      <c r="AM209" s="174" t="str">
        <f t="shared" si="128"/>
        <v>0.022939767961202+0.212963149319993i</v>
      </c>
      <c r="AN209" s="174" t="str">
        <f t="shared" si="129"/>
        <v>0.214606681911i</v>
      </c>
      <c r="AO209" s="174" t="str">
        <f t="shared" si="130"/>
        <v>0.992341652289799-0.106892142206063i</v>
      </c>
      <c r="AP209" s="174" t="str">
        <f t="shared" si="131"/>
        <v>0.162843372006466-0.0354938582199988i</v>
      </c>
      <c r="AQ209" s="174" t="str">
        <f t="shared" si="132"/>
        <v>0.837156627993534+0.0354938582199988i</v>
      </c>
      <c r="AR209" s="174" t="str">
        <f t="shared" si="133"/>
        <v>0.993249361666369-0.0421118950041481i</v>
      </c>
    </row>
    <row r="210" spans="7:44" x14ac:dyDescent="0.2">
      <c r="G210" s="703">
        <v>12023</v>
      </c>
      <c r="H210" s="691">
        <f t="shared" si="125"/>
        <v>12.023</v>
      </c>
      <c r="I210" s="692">
        <f t="shared" si="105"/>
        <v>11.77265649281733</v>
      </c>
      <c r="J210" s="693">
        <f t="shared" si="106"/>
        <v>1.4857512511398885</v>
      </c>
      <c r="K210" s="693">
        <f t="shared" si="107"/>
        <v>1.0000211031727604</v>
      </c>
      <c r="L210" s="694">
        <f t="shared" si="108"/>
        <v>6.4965839711650939E-3</v>
      </c>
      <c r="M210" s="693">
        <f t="shared" si="109"/>
        <v>1.000117721728103</v>
      </c>
      <c r="N210" s="694">
        <f t="shared" si="110"/>
        <v>-1.5343414260970377E-2</v>
      </c>
      <c r="O210" s="692">
        <f t="shared" si="111"/>
        <v>21756.30823920904</v>
      </c>
      <c r="P210" s="695">
        <f t="shared" si="112"/>
        <v>1.5707503631144157</v>
      </c>
      <c r="Q210" s="704">
        <f t="shared" si="103"/>
        <v>9.1201180547864755</v>
      </c>
      <c r="R210" s="705">
        <f t="shared" si="104"/>
        <v>1.4609277173354858</v>
      </c>
      <c r="S210" s="692">
        <f t="shared" si="113"/>
        <v>1.0018244812636867</v>
      </c>
      <c r="T210" s="695">
        <f t="shared" si="114"/>
        <v>6.0360775878550571E-2</v>
      </c>
      <c r="U210" s="696">
        <f t="shared" si="126"/>
        <v>0.99215128028210942</v>
      </c>
      <c r="V210" s="697">
        <f t="shared" si="127"/>
        <v>-0.15052744096962883</v>
      </c>
      <c r="W210" s="698">
        <f t="shared" si="115"/>
        <v>7.8119036629212779</v>
      </c>
      <c r="X210" s="699">
        <f t="shared" si="116"/>
        <v>-104.0095411256531</v>
      </c>
      <c r="Y210" s="702">
        <f t="shared" si="117"/>
        <v>75.990458874346899</v>
      </c>
      <c r="AA210" s="174">
        <f t="shared" si="118"/>
        <v>1000000000</v>
      </c>
      <c r="AB210" s="174">
        <f t="shared" si="119"/>
        <v>144552529</v>
      </c>
      <c r="AD210" s="701">
        <f t="shared" si="120"/>
        <v>27.640922001985196</v>
      </c>
      <c r="AE210" s="702">
        <f t="shared" si="121"/>
        <v>-9.7507918152108228</v>
      </c>
      <c r="AG210" s="701">
        <f t="shared" si="122"/>
        <v>5.6958087313687455</v>
      </c>
      <c r="AH210" s="702">
        <f t="shared" si="123"/>
        <v>-77.009575153803482</v>
      </c>
      <c r="AJ210" s="174">
        <f t="shared" si="124"/>
        <v>0</v>
      </c>
      <c r="AK210" s="174">
        <f t="shared" si="102"/>
        <v>0</v>
      </c>
      <c r="AM210" s="174" t="str">
        <f t="shared" si="128"/>
        <v>0.02320238937037+0.214164487878467i</v>
      </c>
      <c r="AN210" s="174" t="str">
        <f t="shared" si="129"/>
        <v>0.215836391034i</v>
      </c>
      <c r="AO210" s="174" t="str">
        <f t="shared" si="130"/>
        <v>0.992253840292995-0.107499894986268i</v>
      </c>
      <c r="AP210" s="174" t="str">
        <f t="shared" si="131"/>
        <v>0.162799601771605-0.0356940813130778i</v>
      </c>
      <c r="AQ210" s="174" t="str">
        <f t="shared" si="132"/>
        <v>0.837200398228395+0.0356940813130778i</v>
      </c>
      <c r="AR210" s="174" t="str">
        <f t="shared" si="133"/>
        <v>0.993177458432797-0.0423441711621654i</v>
      </c>
    </row>
    <row r="211" spans="7:44" x14ac:dyDescent="0.2">
      <c r="G211" s="703">
        <v>12093</v>
      </c>
      <c r="H211" s="691">
        <f t="shared" si="125"/>
        <v>12.093</v>
      </c>
      <c r="I211" s="692">
        <f t="shared" si="105"/>
        <v>11.840705819809264</v>
      </c>
      <c r="J211" s="693">
        <f t="shared" si="106"/>
        <v>1.4862411824207087</v>
      </c>
      <c r="K211" s="693">
        <f t="shared" si="107"/>
        <v>1.0000213496181736</v>
      </c>
      <c r="L211" s="694">
        <f t="shared" si="108"/>
        <v>6.5344071409639513E-3</v>
      </c>
      <c r="M211" s="693">
        <f t="shared" si="109"/>
        <v>1.0001190964295523</v>
      </c>
      <c r="N211" s="694">
        <f t="shared" si="110"/>
        <v>-1.5432732148723658E-2</v>
      </c>
      <c r="O211" s="692">
        <f t="shared" si="111"/>
        <v>21882.97725472401</v>
      </c>
      <c r="P211" s="695">
        <f t="shared" si="112"/>
        <v>1.5707506291739235</v>
      </c>
      <c r="Q211" s="704">
        <f t="shared" si="103"/>
        <v>9.1725804080502495</v>
      </c>
      <c r="R211" s="705">
        <f t="shared" si="104"/>
        <v>1.461558627021792</v>
      </c>
      <c r="S211" s="692">
        <f t="shared" si="113"/>
        <v>1.0018457683771522</v>
      </c>
      <c r="T211" s="695">
        <f t="shared" si="114"/>
        <v>6.0711346400654231E-2</v>
      </c>
      <c r="U211" s="696">
        <f t="shared" si="126"/>
        <v>0.99206522099120731</v>
      </c>
      <c r="V211" s="697">
        <f t="shared" si="127"/>
        <v>-0.15139734239813957</v>
      </c>
      <c r="W211" s="698">
        <f t="shared" si="115"/>
        <v>7.7603145884784617</v>
      </c>
      <c r="X211" s="699">
        <f t="shared" si="116"/>
        <v>-104.07435722396757</v>
      </c>
      <c r="Y211" s="702">
        <f t="shared" si="117"/>
        <v>75.925642776032433</v>
      </c>
      <c r="AA211" s="174">
        <f t="shared" si="118"/>
        <v>1000000000</v>
      </c>
      <c r="AB211" s="174">
        <f t="shared" si="119"/>
        <v>146240649</v>
      </c>
      <c r="AD211" s="701">
        <f t="shared" si="120"/>
        <v>27.640134677273327</v>
      </c>
      <c r="AE211" s="702">
        <f t="shared" si="121"/>
        <v>-9.7347448083383608</v>
      </c>
      <c r="AG211" s="701">
        <f t="shared" si="122"/>
        <v>5.646513876682957</v>
      </c>
      <c r="AH211" s="702">
        <f t="shared" si="123"/>
        <v>-76.990754897984345</v>
      </c>
      <c r="AJ211" s="174">
        <f t="shared" si="124"/>
        <v>0</v>
      </c>
      <c r="AK211" s="174">
        <f t="shared" si="102"/>
        <v>0</v>
      </c>
      <c r="AM211" s="174" t="str">
        <f t="shared" si="128"/>
        <v>0.0234722875803191+0.215391798535565i</v>
      </c>
      <c r="AN211" s="174" t="str">
        <f t="shared" si="129"/>
        <v>0.217093028094i</v>
      </c>
      <c r="AO211" s="174" t="str">
        <f t="shared" si="130"/>
        <v>0.992163591924756-0.108120872357797i</v>
      </c>
      <c r="AP211" s="174" t="str">
        <f t="shared" si="131"/>
        <v>0.162754618736613-0.0358986330892608i</v>
      </c>
      <c r="AQ211" s="174" t="str">
        <f t="shared" si="132"/>
        <v>0.837245381263387+0.0358986330892608i</v>
      </c>
      <c r="AR211" s="174" t="str">
        <f t="shared" si="133"/>
        <v>0.99310358155863-0.0425813768482154i</v>
      </c>
    </row>
    <row r="212" spans="7:44" x14ac:dyDescent="0.2">
      <c r="G212" s="703">
        <v>12163</v>
      </c>
      <c r="H212" s="691">
        <f t="shared" si="125"/>
        <v>12.163</v>
      </c>
      <c r="I212" s="692">
        <f t="shared" si="105"/>
        <v>11.908757956475473</v>
      </c>
      <c r="J212" s="693">
        <f t="shared" si="106"/>
        <v>1.4867255144299762</v>
      </c>
      <c r="K212" s="693">
        <f t="shared" si="107"/>
        <v>1.0000215974942086</v>
      </c>
      <c r="L212" s="694">
        <f t="shared" si="108"/>
        <v>6.5722302920664085E-3</v>
      </c>
      <c r="M212" s="693">
        <f t="shared" si="109"/>
        <v>1.0001204791096148</v>
      </c>
      <c r="N212" s="694">
        <f t="shared" si="110"/>
        <v>-1.5522049790223112E-2</v>
      </c>
      <c r="O212" s="692">
        <f t="shared" si="111"/>
        <v>22009.646270240512</v>
      </c>
      <c r="P212" s="695">
        <f t="shared" si="112"/>
        <v>1.5707508921710018</v>
      </c>
      <c r="Q212" s="704">
        <f t="shared" si="103"/>
        <v>9.2250463709041579</v>
      </c>
      <c r="R212" s="705">
        <f t="shared" si="104"/>
        <v>1.4621823605599276</v>
      </c>
      <c r="S212" s="692">
        <f t="shared" si="113"/>
        <v>1.001867178611912</v>
      </c>
      <c r="T212" s="695">
        <f t="shared" si="114"/>
        <v>6.1061901982222271E-2</v>
      </c>
      <c r="U212" s="696">
        <f t="shared" si="126"/>
        <v>0.99197868346621354</v>
      </c>
      <c r="V212" s="697">
        <f t="shared" si="127"/>
        <v>-0.15226713207433284</v>
      </c>
      <c r="W212" s="698">
        <f t="shared" si="115"/>
        <v>7.7090154146904757</v>
      </c>
      <c r="X212" s="699">
        <f t="shared" si="116"/>
        <v>-104.13925622318897</v>
      </c>
      <c r="Y212" s="702">
        <f t="shared" si="117"/>
        <v>75.860743776811034</v>
      </c>
      <c r="AA212" s="174">
        <f t="shared" si="118"/>
        <v>1000000000</v>
      </c>
      <c r="AB212" s="174">
        <f t="shared" si="119"/>
        <v>147938569</v>
      </c>
      <c r="AD212" s="701">
        <f t="shared" si="120"/>
        <v>27.639356584600215</v>
      </c>
      <c r="AE212" s="702">
        <f t="shared" si="121"/>
        <v>-9.7191079329757706</v>
      </c>
      <c r="AG212" s="701">
        <f t="shared" si="122"/>
        <v>5.5975081962916988</v>
      </c>
      <c r="AH212" s="702">
        <f t="shared" si="123"/>
        <v>-76.971620217434619</v>
      </c>
      <c r="AJ212" s="174">
        <f t="shared" si="124"/>
        <v>0</v>
      </c>
      <c r="AK212" s="174">
        <f t="shared" si="102"/>
        <v>0</v>
      </c>
      <c r="AM212" s="174" t="str">
        <f t="shared" si="128"/>
        <v>0.023743727860815+0.216618769059613i</v>
      </c>
      <c r="AN212" s="174" t="str">
        <f t="shared" si="129"/>
        <v>0.218349665154i</v>
      </c>
      <c r="AO212" s="174" t="str">
        <f t="shared" si="130"/>
        <v>0.992072824599176-0.108741764472452i</v>
      </c>
      <c r="AP212" s="174" t="str">
        <f t="shared" si="131"/>
        <v>0.162709378689864-0.0361031281766022i</v>
      </c>
      <c r="AQ212" s="174" t="str">
        <f t="shared" si="132"/>
        <v>0.837290621310136+0.0361031281766022i</v>
      </c>
      <c r="AR212" s="174" t="str">
        <f t="shared" si="133"/>
        <v>0.993029301675471-0.0428184231962534i</v>
      </c>
    </row>
    <row r="213" spans="7:44" x14ac:dyDescent="0.2">
      <c r="G213" s="703">
        <v>12233</v>
      </c>
      <c r="H213" s="691">
        <f t="shared" si="125"/>
        <v>12.233000000000001</v>
      </c>
      <c r="I213" s="692">
        <f t="shared" si="105"/>
        <v>11.976812854922333</v>
      </c>
      <c r="J213" s="693">
        <f t="shared" si="106"/>
        <v>1.4872043423874015</v>
      </c>
      <c r="K213" s="693">
        <f t="shared" si="107"/>
        <v>1.0000218468008646</v>
      </c>
      <c r="L213" s="694">
        <f t="shared" si="108"/>
        <v>6.610053424364261E-3</v>
      </c>
      <c r="M213" s="693">
        <f t="shared" si="109"/>
        <v>1.0001218697682575</v>
      </c>
      <c r="N213" s="694">
        <f t="shared" si="110"/>
        <v>-1.561136718404468E-2</v>
      </c>
      <c r="O213" s="692">
        <f t="shared" si="111"/>
        <v>22136.315285758519</v>
      </c>
      <c r="P213" s="695">
        <f t="shared" si="112"/>
        <v>1.5707511521582225</v>
      </c>
      <c r="Q213" s="704">
        <f t="shared" si="103"/>
        <v>9.2775158821096202</v>
      </c>
      <c r="R213" s="705">
        <f t="shared" si="104"/>
        <v>1.462799039215734</v>
      </c>
      <c r="S213" s="692">
        <f t="shared" si="113"/>
        <v>1.0018887119600726</v>
      </c>
      <c r="T213" s="695">
        <f t="shared" si="114"/>
        <v>6.1412442538056299E-2</v>
      </c>
      <c r="U213" s="696">
        <f t="shared" si="126"/>
        <v>0.99189166806905138</v>
      </c>
      <c r="V213" s="697">
        <f t="shared" si="127"/>
        <v>-0.15313680939057003</v>
      </c>
      <c r="W213" s="698">
        <f t="shared" si="115"/>
        <v>7.6580027113435758</v>
      </c>
      <c r="X213" s="699">
        <f t="shared" si="116"/>
        <v>-104.20423659422406</v>
      </c>
      <c r="Y213" s="702">
        <f t="shared" si="117"/>
        <v>75.795763405775944</v>
      </c>
      <c r="AA213" s="174">
        <f t="shared" si="118"/>
        <v>1000000000</v>
      </c>
      <c r="AB213" s="174">
        <f t="shared" si="119"/>
        <v>149646289</v>
      </c>
      <c r="AD213" s="701">
        <f t="shared" si="120"/>
        <v>27.638587491408735</v>
      </c>
      <c r="AE213" s="702">
        <f t="shared" si="121"/>
        <v>-9.7038742392327819</v>
      </c>
      <c r="AG213" s="701">
        <f t="shared" si="122"/>
        <v>5.5487884884143943</v>
      </c>
      <c r="AH213" s="702">
        <f t="shared" si="123"/>
        <v>-76.952176602581531</v>
      </c>
      <c r="AJ213" s="174">
        <f t="shared" si="124"/>
        <v>0</v>
      </c>
      <c r="AK213" s="174">
        <f t="shared" si="102"/>
        <v>0</v>
      </c>
      <c r="AM213" s="174" t="str">
        <f t="shared" si="128"/>
        <v>0.024016709783217+0.217845397513059i</v>
      </c>
      <c r="AN213" s="174" t="str">
        <f t="shared" si="129"/>
        <v>0.219606302214i</v>
      </c>
      <c r="AO213" s="174" t="str">
        <f t="shared" si="130"/>
        <v>0.991981538402186-0.109362570841949i</v>
      </c>
      <c r="AP213" s="174" t="str">
        <f t="shared" si="131"/>
        <v>0.162663881702797-0.0363075662521765i</v>
      </c>
      <c r="AQ213" s="174" t="str">
        <f t="shared" si="132"/>
        <v>0.837336118297203+0.0363075662521765i</v>
      </c>
      <c r="AR213" s="174" t="str">
        <f t="shared" si="133"/>
        <v>0.992954619219366-0.0430553093732852i</v>
      </c>
    </row>
    <row r="214" spans="7:44" x14ac:dyDescent="0.2">
      <c r="G214" s="703">
        <v>12303</v>
      </c>
      <c r="H214" s="691">
        <f t="shared" si="125"/>
        <v>12.303000000000001</v>
      </c>
      <c r="I214" s="692">
        <f t="shared" si="105"/>
        <v>12.044870468336709</v>
      </c>
      <c r="J214" s="693">
        <f t="shared" si="106"/>
        <v>1.487677759370827</v>
      </c>
      <c r="K214" s="693">
        <f t="shared" si="107"/>
        <v>1.0000220975381404</v>
      </c>
      <c r="L214" s="694">
        <f t="shared" si="108"/>
        <v>6.647876537749303E-3</v>
      </c>
      <c r="M214" s="693">
        <f t="shared" si="109"/>
        <v>1.0001232684054471</v>
      </c>
      <c r="N214" s="694">
        <f t="shared" si="110"/>
        <v>-1.5700684328764321E-2</v>
      </c>
      <c r="O214" s="692">
        <f t="shared" si="111"/>
        <v>22262.984301278004</v>
      </c>
      <c r="P214" s="695">
        <f t="shared" si="112"/>
        <v>1.5707514091869603</v>
      </c>
      <c r="Q214" s="704">
        <f t="shared" si="103"/>
        <v>9.3299888818015262</v>
      </c>
      <c r="R214" s="705">
        <f t="shared" si="104"/>
        <v>1.4634087815487382</v>
      </c>
      <c r="S214" s="692">
        <f t="shared" si="113"/>
        <v>1.0019103684136961</v>
      </c>
      <c r="T214" s="695">
        <f t="shared" si="114"/>
        <v>6.1762967982979977E-2</v>
      </c>
      <c r="U214" s="696">
        <f t="shared" si="126"/>
        <v>0.99180417516345987</v>
      </c>
      <c r="V214" s="697">
        <f t="shared" si="127"/>
        <v>-0.15400637373986883</v>
      </c>
      <c r="W214" s="698">
        <f t="shared" si="115"/>
        <v>7.6072731079780205</v>
      </c>
      <c r="X214" s="699">
        <f t="shared" si="116"/>
        <v>-104.26929684029034</v>
      </c>
      <c r="Y214" s="702">
        <f t="shared" si="117"/>
        <v>75.730703159709662</v>
      </c>
      <c r="AA214" s="174">
        <f t="shared" si="118"/>
        <v>1000000000</v>
      </c>
      <c r="AB214" s="174">
        <f t="shared" si="119"/>
        <v>151363809</v>
      </c>
      <c r="AD214" s="701">
        <f t="shared" si="120"/>
        <v>27.637827171667141</v>
      </c>
      <c r="AE214" s="702">
        <f t="shared" si="121"/>
        <v>-9.6890369322121863</v>
      </c>
      <c r="AG214" s="701">
        <f t="shared" si="122"/>
        <v>5.5003516044779559</v>
      </c>
      <c r="AH214" s="702">
        <f t="shared" si="123"/>
        <v>-76.932429421094781</v>
      </c>
      <c r="AJ214" s="174">
        <f t="shared" si="124"/>
        <v>0</v>
      </c>
      <c r="AK214" s="174">
        <f t="shared" si="102"/>
        <v>0</v>
      </c>
      <c r="AM214" s="174" t="str">
        <f t="shared" si="128"/>
        <v>0.024291232916448+0.219071681958887i</v>
      </c>
      <c r="AN214" s="174" t="str">
        <f t="shared" si="129"/>
        <v>0.220862939274i</v>
      </c>
      <c r="AO214" s="174" t="str">
        <f t="shared" si="130"/>
        <v>0.991889733420188-0.109983290978087i</v>
      </c>
      <c r="AP214" s="174" t="str">
        <f t="shared" si="131"/>
        <v>0.162618127847259-0.0365119469931478i</v>
      </c>
      <c r="AQ214" s="174" t="str">
        <f t="shared" si="132"/>
        <v>0.837381872152741+0.0365119469931478i</v>
      </c>
      <c r="AR214" s="174" t="str">
        <f t="shared" si="133"/>
        <v>0.992879534628512-0.0432920345477995i</v>
      </c>
    </row>
    <row r="215" spans="7:44" x14ac:dyDescent="0.2">
      <c r="G215" s="703">
        <v>12374.5</v>
      </c>
      <c r="H215" s="691">
        <f t="shared" si="125"/>
        <v>12.374499999999999</v>
      </c>
      <c r="I215" s="692">
        <f t="shared" si="105"/>
        <v>12.11438921446298</v>
      </c>
      <c r="J215" s="693">
        <f t="shared" si="106"/>
        <v>1.4881558294645687</v>
      </c>
      <c r="K215" s="693">
        <f t="shared" si="107"/>
        <v>1.0000223551252896</v>
      </c>
      <c r="L215" s="694">
        <f t="shared" si="108"/>
        <v>6.6865101267835989E-3</v>
      </c>
      <c r="M215" s="693">
        <f t="shared" si="109"/>
        <v>1.0001247052502307</v>
      </c>
      <c r="N215" s="694">
        <f t="shared" si="110"/>
        <v>-1.5791915153652792E-2</v>
      </c>
      <c r="O215" s="692">
        <f t="shared" si="111"/>
        <v>22392.367652845838</v>
      </c>
      <c r="P215" s="695">
        <f t="shared" si="112"/>
        <v>1.5707516687214031</v>
      </c>
      <c r="Q215" s="704">
        <f t="shared" ref="Q215:Q278" si="134">SQRT(1+(G215/Zero2)^2)</f>
        <v>9.3835898434837848</v>
      </c>
      <c r="R215" s="705">
        <f t="shared" ref="R215:R278" si="135">ATAN(G215/Zero2)</f>
        <v>1.4640245494417194</v>
      </c>
      <c r="S215" s="692">
        <f t="shared" si="113"/>
        <v>1.0019326160165714</v>
      </c>
      <c r="T215" s="695">
        <f t="shared" si="114"/>
        <v>6.2120988998811646E-2</v>
      </c>
      <c r="U215" s="696">
        <f t="shared" si="126"/>
        <v>0.99171431482346706</v>
      </c>
      <c r="V215" s="697">
        <f t="shared" si="127"/>
        <v>-0.15489445435657881</v>
      </c>
      <c r="W215" s="698">
        <f t="shared" si="115"/>
        <v>7.5557452628912705</v>
      </c>
      <c r="X215" s="699">
        <f t="shared" si="116"/>
        <v>-104.33583217186739</v>
      </c>
      <c r="Y215" s="702">
        <f t="shared" si="117"/>
        <v>75.664167828132605</v>
      </c>
      <c r="AA215" s="174">
        <f t="shared" si="118"/>
        <v>1000000000</v>
      </c>
      <c r="AB215" s="174">
        <f t="shared" si="119"/>
        <v>153128250.25</v>
      </c>
      <c r="AD215" s="701">
        <f t="shared" si="120"/>
        <v>27.637059388404218</v>
      </c>
      <c r="AE215" s="702">
        <f t="shared" si="121"/>
        <v>-9.6742839941802021</v>
      </c>
      <c r="AG215" s="701">
        <f t="shared" si="122"/>
        <v>5.4511655476366698</v>
      </c>
      <c r="AH215" s="702">
        <f t="shared" si="123"/>
        <v>-76.911951148177849</v>
      </c>
      <c r="AJ215" s="174">
        <f t="shared" si="124"/>
        <v>0</v>
      </c>
      <c r="AK215" s="174">
        <f t="shared" si="102"/>
        <v>0</v>
      </c>
      <c r="AM215" s="174" t="str">
        <f t="shared" si="128"/>
        <v>0.024573229341094+0.220323886771133i</v>
      </c>
      <c r="AN215" s="174" t="str">
        <f t="shared" si="129"/>
        <v>0.222146504271i</v>
      </c>
      <c r="AO215" s="174" t="str">
        <f t="shared" si="130"/>
        <v>0.991795425699593-0.11061722272756i</v>
      </c>
      <c r="AP215" s="174" t="str">
        <f t="shared" si="131"/>
        <v>0.162571128443151-0.0367206477951888i</v>
      </c>
      <c r="AQ215" s="174" t="str">
        <f t="shared" si="132"/>
        <v>0.837428871556849+0.0367206477951888i</v>
      </c>
      <c r="AR215" s="174" t="str">
        <f t="shared" si="133"/>
        <v>0.992802426387149-0.0435336653270576i</v>
      </c>
    </row>
    <row r="216" spans="7:44" x14ac:dyDescent="0.2">
      <c r="G216" s="703">
        <v>12446</v>
      </c>
      <c r="H216" s="691">
        <f t="shared" si="125"/>
        <v>12.446</v>
      </c>
      <c r="I216" s="692">
        <f t="shared" si="105"/>
        <v>12.18391069774899</v>
      </c>
      <c r="J216" s="693">
        <f t="shared" si="106"/>
        <v>1.48862844392242</v>
      </c>
      <c r="K216" s="693">
        <f t="shared" si="107"/>
        <v>1.0000226142050253</v>
      </c>
      <c r="L216" s="694">
        <f t="shared" si="108"/>
        <v>6.7251436958576504E-3</v>
      </c>
      <c r="M216" s="693">
        <f t="shared" si="109"/>
        <v>1.0001261504190917</v>
      </c>
      <c r="N216" s="694">
        <f t="shared" si="110"/>
        <v>-1.588314571564595E-2</v>
      </c>
      <c r="O216" s="692">
        <f t="shared" si="111"/>
        <v>22521.751004415164</v>
      </c>
      <c r="P216" s="695">
        <f t="shared" si="112"/>
        <v>1.57075192527389</v>
      </c>
      <c r="Q216" s="704">
        <f t="shared" si="134"/>
        <v>9.4371943227250643</v>
      </c>
      <c r="R216" s="705">
        <f t="shared" si="135"/>
        <v>1.4646333222814656</v>
      </c>
      <c r="S216" s="692">
        <f t="shared" si="113"/>
        <v>1.0019549920405024</v>
      </c>
      <c r="T216" s="695">
        <f t="shared" si="114"/>
        <v>6.2478994069618835E-2</v>
      </c>
      <c r="U216" s="696">
        <f t="shared" si="126"/>
        <v>0.99162395706410789</v>
      </c>
      <c r="V216" s="697">
        <f t="shared" si="127"/>
        <v>-0.15578241583504823</v>
      </c>
      <c r="W216" s="698">
        <f t="shared" si="115"/>
        <v>7.5045058571033296</v>
      </c>
      <c r="X216" s="699">
        <f t="shared" si="116"/>
        <v>-104.40244778108767</v>
      </c>
      <c r="Y216" s="702">
        <f t="shared" si="117"/>
        <v>75.597552218912327</v>
      </c>
      <c r="AA216" s="174">
        <f t="shared" si="118"/>
        <v>1000000000</v>
      </c>
      <c r="AB216" s="174">
        <f t="shared" si="119"/>
        <v>154902916</v>
      </c>
      <c r="AD216" s="701">
        <f t="shared" si="120"/>
        <v>27.636300301817336</v>
      </c>
      <c r="AE216" s="702">
        <f t="shared" si="121"/>
        <v>-9.6599307587404049</v>
      </c>
      <c r="AG216" s="701">
        <f t="shared" si="122"/>
        <v>5.4022680900934592</v>
      </c>
      <c r="AH216" s="702">
        <f t="shared" si="123"/>
        <v>-76.891167102548692</v>
      </c>
      <c r="AJ216" s="174">
        <f t="shared" si="124"/>
        <v>0</v>
      </c>
      <c r="AK216" s="174">
        <f t="shared" si="102"/>
        <v>0</v>
      </c>
      <c r="AM216" s="174" t="str">
        <f t="shared" si="128"/>
        <v>0.024856832819265+0.22157572859121i</v>
      </c>
      <c r="AN216" s="174" t="str">
        <f t="shared" si="129"/>
        <v>0.223430069268i</v>
      </c>
      <c r="AO216" s="174" t="str">
        <f t="shared" si="130"/>
        <v>0.991700576905941-0.11125106347906i</v>
      </c>
      <c r="AP216" s="174" t="str">
        <f t="shared" si="131"/>
        <v>0.162523861196789-0.036929288098535i</v>
      </c>
      <c r="AQ216" s="174" t="str">
        <f t="shared" si="132"/>
        <v>0.837476138803211+0.036929288098535i</v>
      </c>
      <c r="AR216" s="174" t="str">
        <f t="shared" si="133"/>
        <v>0.992724899523004-0.0437751263808708i</v>
      </c>
    </row>
    <row r="217" spans="7:44" x14ac:dyDescent="0.2">
      <c r="G217" s="703">
        <v>12517.5</v>
      </c>
      <c r="H217" s="691">
        <f t="shared" si="125"/>
        <v>12.5175</v>
      </c>
      <c r="I217" s="692">
        <f t="shared" si="105"/>
        <v>12.253434871605824</v>
      </c>
      <c r="J217" s="693">
        <f t="shared" si="106"/>
        <v>1.4890956953948418</v>
      </c>
      <c r="K217" s="693">
        <f t="shared" si="107"/>
        <v>1.0000228747773467</v>
      </c>
      <c r="L217" s="694">
        <f t="shared" si="108"/>
        <v>6.7637772448561461E-3</v>
      </c>
      <c r="M217" s="693">
        <f t="shared" si="109"/>
        <v>1.000127603911994</v>
      </c>
      <c r="N217" s="694">
        <f t="shared" si="110"/>
        <v>-1.5974376013226307E-2</v>
      </c>
      <c r="O217" s="692">
        <f t="shared" si="111"/>
        <v>22651.134355985949</v>
      </c>
      <c r="P217" s="695">
        <f t="shared" si="112"/>
        <v>1.5707521788955194</v>
      </c>
      <c r="Q217" s="704">
        <f t="shared" si="134"/>
        <v>9.4908022599233686</v>
      </c>
      <c r="R217" s="705">
        <f t="shared" si="135"/>
        <v>1.4652352181456567</v>
      </c>
      <c r="S217" s="692">
        <f t="shared" si="113"/>
        <v>1.0019774964768857</v>
      </c>
      <c r="T217" s="695">
        <f t="shared" si="114"/>
        <v>6.283698310470355E-2</v>
      </c>
      <c r="U217" s="696">
        <f t="shared" si="126"/>
        <v>0.99153310227891522</v>
      </c>
      <c r="V217" s="697">
        <f t="shared" si="127"/>
        <v>-0.15667025753058816</v>
      </c>
      <c r="W217" s="698">
        <f t="shared" si="115"/>
        <v>7.4535514830483347</v>
      </c>
      <c r="X217" s="699">
        <f t="shared" si="116"/>
        <v>-104.46914217179174</v>
      </c>
      <c r="Y217" s="702">
        <f t="shared" si="117"/>
        <v>75.530857828208255</v>
      </c>
      <c r="AA217" s="174">
        <f t="shared" si="118"/>
        <v>1000000000</v>
      </c>
      <c r="AB217" s="174">
        <f t="shared" si="119"/>
        <v>156687806.25</v>
      </c>
      <c r="AD217" s="701">
        <f t="shared" si="120"/>
        <v>27.635549690731942</v>
      </c>
      <c r="AE217" s="702">
        <f t="shared" si="121"/>
        <v>-9.6459704582711971</v>
      </c>
      <c r="AG217" s="701">
        <f t="shared" si="122"/>
        <v>5.3536560409704439</v>
      </c>
      <c r="AH217" s="702">
        <f t="shared" si="123"/>
        <v>-76.870082629545308</v>
      </c>
      <c r="AJ217" s="174">
        <f t="shared" si="124"/>
        <v>0</v>
      </c>
      <c r="AK217" s="174">
        <f t="shared" si="102"/>
        <v>0</v>
      </c>
      <c r="AM217" s="174" t="str">
        <f t="shared" si="128"/>
        <v>0.025142042883713+0.22282720535666i</v>
      </c>
      <c r="AN217" s="174" t="str">
        <f t="shared" si="129"/>
        <v>0.224713634265i</v>
      </c>
      <c r="AO217" s="174" t="str">
        <f t="shared" si="130"/>
        <v>0.991605187132903-0.111884812712626i</v>
      </c>
      <c r="AP217" s="174" t="str">
        <f t="shared" si="131"/>
        <v>0.162476326186048-0.0371378675594433i</v>
      </c>
      <c r="AQ217" s="174" t="str">
        <f t="shared" si="132"/>
        <v>0.837523673813952+0.0371378675594433i</v>
      </c>
      <c r="AR217" s="174" t="str">
        <f t="shared" si="133"/>
        <v>0.992646954509948-0.0440164168279551i</v>
      </c>
    </row>
    <row r="218" spans="7:44" x14ac:dyDescent="0.2">
      <c r="G218" s="703">
        <v>12589</v>
      </c>
      <c r="H218" s="691">
        <f t="shared" si="125"/>
        <v>12.589</v>
      </c>
      <c r="I218" s="692">
        <f t="shared" si="105"/>
        <v>12.32296169049418</v>
      </c>
      <c r="J218" s="693">
        <f t="shared" si="106"/>
        <v>1.4895576744508281</v>
      </c>
      <c r="K218" s="693">
        <f t="shared" si="107"/>
        <v>1.0000231368422525</v>
      </c>
      <c r="L218" s="694">
        <f t="shared" si="108"/>
        <v>6.8024107736637789E-3</v>
      </c>
      <c r="M218" s="693">
        <f t="shared" si="109"/>
        <v>1.0001290657289013</v>
      </c>
      <c r="N218" s="694">
        <f t="shared" si="110"/>
        <v>-1.6065606044876401E-2</v>
      </c>
      <c r="O218" s="692">
        <f t="shared" si="111"/>
        <v>22780.517707558181</v>
      </c>
      <c r="P218" s="695">
        <f t="shared" si="112"/>
        <v>1.5707524296362299</v>
      </c>
      <c r="Q218" s="704">
        <f t="shared" si="134"/>
        <v>9.5444135968119586</v>
      </c>
      <c r="R218" s="705">
        <f t="shared" si="135"/>
        <v>1.4658303524791743</v>
      </c>
      <c r="S218" s="692">
        <f t="shared" si="113"/>
        <v>1.0020001293170688</v>
      </c>
      <c r="T218" s="695">
        <f t="shared" si="114"/>
        <v>6.3194956013392353E-2</v>
      </c>
      <c r="U218" s="696">
        <f t="shared" si="126"/>
        <v>0.99144175086339803</v>
      </c>
      <c r="V218" s="697">
        <f t="shared" si="127"/>
        <v>-0.15755797879923988</v>
      </c>
      <c r="W218" s="698">
        <f t="shared" si="115"/>
        <v>7.4028787923800623</v>
      </c>
      <c r="X218" s="699">
        <f t="shared" si="116"/>
        <v>-104.5359138793857</v>
      </c>
      <c r="Y218" s="702">
        <f t="shared" si="117"/>
        <v>75.464086120614297</v>
      </c>
      <c r="AA218" s="174">
        <f t="shared" si="118"/>
        <v>1000000000</v>
      </c>
      <c r="AB218" s="174">
        <f t="shared" si="119"/>
        <v>158482921</v>
      </c>
      <c r="AD218" s="701">
        <f t="shared" si="120"/>
        <v>27.634807340172308</v>
      </c>
      <c r="AE218" s="702">
        <f t="shared" si="121"/>
        <v>-9.6323964759341543</v>
      </c>
      <c r="AG218" s="701">
        <f t="shared" si="122"/>
        <v>5.3053262623873607</v>
      </c>
      <c r="AH218" s="702">
        <f t="shared" si="123"/>
        <v>-76.848702955204615</v>
      </c>
      <c r="AJ218" s="174">
        <f t="shared" si="124"/>
        <v>0</v>
      </c>
      <c r="AK218" s="174">
        <f t="shared" ref="AK218:AK281" si="136">IF(AJ218&gt;0,Y218,0)</f>
        <v>0</v>
      </c>
      <c r="AM218" s="174" t="str">
        <f t="shared" si="128"/>
        <v>0.025428859064543+0.224078315005628i</v>
      </c>
      <c r="AN218" s="174" t="str">
        <f t="shared" si="129"/>
        <v>0.225997199262i</v>
      </c>
      <c r="AO218" s="174" t="str">
        <f t="shared" si="130"/>
        <v>0.99150925647469-0.112518469908395i</v>
      </c>
      <c r="AP218" s="174" t="str">
        <f t="shared" si="131"/>
        <v>0.162428523489243-0.0373463858342713i</v>
      </c>
      <c r="AQ218" s="174" t="str">
        <f t="shared" si="132"/>
        <v>0.837571476510757+0.0373463858342713i</v>
      </c>
      <c r="AR218" s="174" t="str">
        <f t="shared" si="133"/>
        <v>0.992568591824157-0.0442575357886704i</v>
      </c>
    </row>
    <row r="219" spans="7:44" x14ac:dyDescent="0.2">
      <c r="G219" s="703">
        <v>12662.25</v>
      </c>
      <c r="H219" s="691">
        <f t="shared" si="125"/>
        <v>12.66225</v>
      </c>
      <c r="I219" s="692">
        <f t="shared" si="105"/>
        <v>12.394192911134423</v>
      </c>
      <c r="J219" s="693">
        <f t="shared" si="106"/>
        <v>1.4900255856824369</v>
      </c>
      <c r="K219" s="693">
        <f t="shared" si="107"/>
        <v>1.0000234068691625</v>
      </c>
      <c r="L219" s="694">
        <f t="shared" si="108"/>
        <v>6.8419898572925821E-3</v>
      </c>
      <c r="M219" s="693">
        <f t="shared" si="109"/>
        <v>1.0001305719566056</v>
      </c>
      <c r="N219" s="694">
        <f t="shared" si="110"/>
        <v>-1.6159068702039529E-2</v>
      </c>
      <c r="O219" s="692">
        <f t="shared" si="111"/>
        <v>22913.067784520008</v>
      </c>
      <c r="P219" s="695">
        <f t="shared" si="112"/>
        <v>1.5707526835774226</v>
      </c>
      <c r="Q219" s="704">
        <f t="shared" si="134"/>
        <v>9.5993405652601336</v>
      </c>
      <c r="R219" s="705">
        <f t="shared" si="135"/>
        <v>1.4664331592457089</v>
      </c>
      <c r="S219" s="692">
        <f t="shared" si="113"/>
        <v>1.0020234492551747</v>
      </c>
      <c r="T219" s="695">
        <f t="shared" si="114"/>
        <v>6.3561673678719524E-2</v>
      </c>
      <c r="U219" s="696">
        <f t="shared" si="126"/>
        <v>0.9913476489776224</v>
      </c>
      <c r="V219" s="697">
        <f t="shared" si="127"/>
        <v>-0.15846730195484235</v>
      </c>
      <c r="W219" s="698">
        <f t="shared" si="115"/>
        <v>7.3512545305524242</v>
      </c>
      <c r="X219" s="699">
        <f t="shared" si="116"/>
        <v>-104.60439853927041</v>
      </c>
      <c r="Y219" s="702">
        <f t="shared" si="117"/>
        <v>75.395601460729594</v>
      </c>
      <c r="AA219" s="174">
        <f t="shared" si="118"/>
        <v>1000000000</v>
      </c>
      <c r="AB219" s="174">
        <f t="shared" si="119"/>
        <v>160332575.0625</v>
      </c>
      <c r="AD219" s="701">
        <f t="shared" si="120"/>
        <v>27.63405516801495</v>
      </c>
      <c r="AE219" s="702">
        <f t="shared" si="121"/>
        <v>-9.6188841165890668</v>
      </c>
      <c r="AG219" s="701">
        <f t="shared" si="122"/>
        <v>5.2561030792429362</v>
      </c>
      <c r="AH219" s="702">
        <f t="shared" si="123"/>
        <v>-76.826499216256266</v>
      </c>
      <c r="AJ219" s="174">
        <f t="shared" si="124"/>
        <v>0</v>
      </c>
      <c r="AK219" s="174">
        <f t="shared" si="136"/>
        <v>0</v>
      </c>
      <c r="AM219" s="174" t="str">
        <f t="shared" si="128"/>
        <v>0.025724360291048+0.225359663359953i</v>
      </c>
      <c r="AN219" s="174" t="str">
        <f t="shared" si="129"/>
        <v>0.2273121801855i</v>
      </c>
      <c r="AO219" s="174" t="str">
        <f t="shared" si="130"/>
        <v>0.991410417057486-0.113167540208604i</v>
      </c>
      <c r="AP219" s="174" t="str">
        <f t="shared" si="131"/>
        <v>0.162379273284825-0.0375599438933255i</v>
      </c>
      <c r="AQ219" s="174" t="str">
        <f t="shared" si="132"/>
        <v>0.837620726715175+0.0375599438933255i</v>
      </c>
      <c r="AR219" s="174" t="str">
        <f t="shared" si="133"/>
        <v>0.992487878538811-0.044504377510944i</v>
      </c>
    </row>
    <row r="220" spans="7:44" x14ac:dyDescent="0.2">
      <c r="G220" s="703">
        <v>12735.5</v>
      </c>
      <c r="H220" s="691">
        <f t="shared" si="125"/>
        <v>12.7355</v>
      </c>
      <c r="I220" s="692">
        <f t="shared" si="105"/>
        <v>12.465426814357713</v>
      </c>
      <c r="J220" s="693">
        <f t="shared" si="106"/>
        <v>1.490488149240248</v>
      </c>
      <c r="K220" s="693">
        <f t="shared" si="107"/>
        <v>1.000023678462612</v>
      </c>
      <c r="L220" s="694">
        <f t="shared" si="108"/>
        <v>6.8815689194850552E-3</v>
      </c>
      <c r="M220" s="693">
        <f t="shared" si="109"/>
        <v>1.0001320869206927</v>
      </c>
      <c r="N220" s="694">
        <f t="shared" si="110"/>
        <v>-1.6252531076871336E-2</v>
      </c>
      <c r="O220" s="692">
        <f t="shared" si="111"/>
        <v>23045.617861483297</v>
      </c>
      <c r="P220" s="695">
        <f t="shared" si="112"/>
        <v>1.5707529345974591</v>
      </c>
      <c r="Q220" s="704">
        <f t="shared" si="134"/>
        <v>9.6542709821863699</v>
      </c>
      <c r="R220" s="705">
        <f t="shared" si="135"/>
        <v>1.4670291065835757</v>
      </c>
      <c r="S220" s="692">
        <f t="shared" si="113"/>
        <v>1.0020469039409612</v>
      </c>
      <c r="T220" s="695">
        <f t="shared" si="114"/>
        <v>6.3928374226004059E-2</v>
      </c>
      <c r="U220" s="696">
        <f t="shared" si="126"/>
        <v>0.99125302670014626</v>
      </c>
      <c r="V220" s="697">
        <f t="shared" si="127"/>
        <v>-0.15937649735048687</v>
      </c>
      <c r="W220" s="698">
        <f t="shared" si="115"/>
        <v>7.2999189796990169</v>
      </c>
      <c r="X220" s="699">
        <f t="shared" si="116"/>
        <v>-104.67296133311287</v>
      </c>
      <c r="Y220" s="702">
        <f t="shared" si="117"/>
        <v>75.327038666887134</v>
      </c>
      <c r="AA220" s="174">
        <f t="shared" si="118"/>
        <v>1000000000</v>
      </c>
      <c r="AB220" s="174">
        <f t="shared" si="119"/>
        <v>162192960.25</v>
      </c>
      <c r="AD220" s="701">
        <f t="shared" si="120"/>
        <v>27.633311227975188</v>
      </c>
      <c r="AE220" s="702">
        <f t="shared" si="121"/>
        <v>-9.6057636253954737</v>
      </c>
      <c r="AG220" s="701">
        <f t="shared" si="122"/>
        <v>5.2071696513809336</v>
      </c>
      <c r="AH220" s="702">
        <f t="shared" si="123"/>
        <v>-76.803996383326947</v>
      </c>
      <c r="AJ220" s="174">
        <f t="shared" si="124"/>
        <v>0</v>
      </c>
      <c r="AK220" s="174">
        <f t="shared" si="136"/>
        <v>0</v>
      </c>
      <c r="AM220" s="174" t="str">
        <f t="shared" si="128"/>
        <v>0.026021546210222+0.226640622028077i</v>
      </c>
      <c r="AN220" s="174" t="str">
        <f t="shared" si="129"/>
        <v>0.228627161109i</v>
      </c>
      <c r="AO220" s="174" t="str">
        <f t="shared" si="130"/>
        <v>0.991311010156068-0.113816512806263i</v>
      </c>
      <c r="AP220" s="174" t="str">
        <f t="shared" si="131"/>
        <v>0.162329742298296-0.0377734370046795i</v>
      </c>
      <c r="AQ220" s="174" t="str">
        <f t="shared" si="132"/>
        <v>0.837670257701704+0.0377734370046795i</v>
      </c>
      <c r="AR220" s="174" t="str">
        <f t="shared" si="133"/>
        <v>0.99240672790419-0.044751037385952i</v>
      </c>
    </row>
    <row r="221" spans="7:44" x14ac:dyDescent="0.2">
      <c r="G221" s="703">
        <v>12808.75</v>
      </c>
      <c r="H221" s="691">
        <f t="shared" si="125"/>
        <v>12.80875</v>
      </c>
      <c r="I221" s="692">
        <f t="shared" si="105"/>
        <v>12.536663354436358</v>
      </c>
      <c r="J221" s="693">
        <f t="shared" si="106"/>
        <v>1.4909454560851767</v>
      </c>
      <c r="K221" s="693">
        <f t="shared" si="107"/>
        <v>1.0000239516225999</v>
      </c>
      <c r="L221" s="694">
        <f t="shared" si="108"/>
        <v>6.9211479601172148E-3</v>
      </c>
      <c r="M221" s="693">
        <f t="shared" si="109"/>
        <v>1.0001336106211223</v>
      </c>
      <c r="N221" s="694">
        <f t="shared" si="110"/>
        <v>-1.6345993167740283E-2</v>
      </c>
      <c r="O221" s="692">
        <f t="shared" si="111"/>
        <v>23178.167938448027</v>
      </c>
      <c r="P221" s="695">
        <f t="shared" si="112"/>
        <v>1.5707531827464556</v>
      </c>
      <c r="Q221" s="704">
        <f t="shared" si="134"/>
        <v>9.7092047890607471</v>
      </c>
      <c r="R221" s="705">
        <f t="shared" si="135"/>
        <v>1.4676183104959257</v>
      </c>
      <c r="S221" s="692">
        <f t="shared" si="113"/>
        <v>1.0020704933649667</v>
      </c>
      <c r="T221" s="695">
        <f t="shared" si="114"/>
        <v>6.4295057557831506E-2</v>
      </c>
      <c r="U221" s="696">
        <f t="shared" si="126"/>
        <v>0.99115788446265418</v>
      </c>
      <c r="V221" s="697">
        <f t="shared" si="127"/>
        <v>-0.1602855642961907</v>
      </c>
      <c r="W221" s="698">
        <f t="shared" si="115"/>
        <v>7.2488687240714498</v>
      </c>
      <c r="X221" s="699">
        <f t="shared" si="116"/>
        <v>-104.7416007837691</v>
      </c>
      <c r="Y221" s="702">
        <f t="shared" si="117"/>
        <v>75.258399216230899</v>
      </c>
      <c r="AA221" s="174">
        <f t="shared" si="118"/>
        <v>1000000000</v>
      </c>
      <c r="AB221" s="174">
        <f t="shared" si="119"/>
        <v>164064076.5625</v>
      </c>
      <c r="AD221" s="701">
        <f t="shared" si="120"/>
        <v>27.632575307814822</v>
      </c>
      <c r="AE221" s="702">
        <f t="shared" si="121"/>
        <v>-9.593028353152361</v>
      </c>
      <c r="AG221" s="701">
        <f t="shared" si="122"/>
        <v>5.1585227703668082</v>
      </c>
      <c r="AH221" s="702">
        <f t="shared" si="123"/>
        <v>-76.78119970753994</v>
      </c>
      <c r="AJ221" s="174">
        <f t="shared" si="124"/>
        <v>0</v>
      </c>
      <c r="AK221" s="174">
        <f t="shared" si="136"/>
        <v>0</v>
      </c>
      <c r="AM221" s="174" t="str">
        <f t="shared" si="128"/>
        <v>0.026320416308181+0.227921188794999i</v>
      </c>
      <c r="AN221" s="174" t="str">
        <f t="shared" si="129"/>
        <v>0.2299421420325i</v>
      </c>
      <c r="AO221" s="174" t="str">
        <f t="shared" si="130"/>
        <v>0.991211035873471-0.11446538714274i</v>
      </c>
      <c r="AP221" s="174" t="str">
        <f t="shared" si="131"/>
        <v>0.162279930615303-0.0379868647991665i</v>
      </c>
      <c r="AQ221" s="174" t="str">
        <f t="shared" si="132"/>
        <v>0.837720069384697+0.0379868647991665i</v>
      </c>
      <c r="AR221" s="174" t="str">
        <f t="shared" si="133"/>
        <v>0.992325140439795-0.0449975144732864i</v>
      </c>
    </row>
    <row r="222" spans="7:44" x14ac:dyDescent="0.2">
      <c r="G222" s="703">
        <v>12882</v>
      </c>
      <c r="H222" s="691">
        <f t="shared" si="125"/>
        <v>12.882</v>
      </c>
      <c r="I222" s="692">
        <f t="shared" si="105"/>
        <v>12.607902486674485</v>
      </c>
      <c r="J222" s="693">
        <f t="shared" si="106"/>
        <v>1.4913975951312015</v>
      </c>
      <c r="K222" s="693">
        <f t="shared" si="107"/>
        <v>1.000024226349125</v>
      </c>
      <c r="L222" s="694">
        <f t="shared" si="108"/>
        <v>6.960726979065076E-3</v>
      </c>
      <c r="M222" s="693">
        <f t="shared" si="109"/>
        <v>1.0001351430578551</v>
      </c>
      <c r="N222" s="694">
        <f t="shared" si="110"/>
        <v>-1.6439454973014855E-2</v>
      </c>
      <c r="O222" s="692">
        <f t="shared" si="111"/>
        <v>23310.718015414161</v>
      </c>
      <c r="P222" s="695">
        <f t="shared" si="112"/>
        <v>1.5707534280733881</v>
      </c>
      <c r="Q222" s="704">
        <f t="shared" si="134"/>
        <v>9.7641419286669429</v>
      </c>
      <c r="R222" s="705">
        <f t="shared" si="135"/>
        <v>1.468200884394153</v>
      </c>
      <c r="S222" s="692">
        <f t="shared" si="113"/>
        <v>1.0020942175176755</v>
      </c>
      <c r="T222" s="695">
        <f t="shared" si="114"/>
        <v>6.4661723576815072E-2</v>
      </c>
      <c r="U222" s="696">
        <f t="shared" si="126"/>
        <v>0.99106222269898381</v>
      </c>
      <c r="V222" s="697">
        <f t="shared" si="127"/>
        <v>-0.16119450210277636</v>
      </c>
      <c r="W222" s="698">
        <f t="shared" si="115"/>
        <v>7.1981004073204877</v>
      </c>
      <c r="X222" s="699">
        <f t="shared" si="116"/>
        <v>-104.81031544529363</v>
      </c>
      <c r="Y222" s="702">
        <f t="shared" si="117"/>
        <v>75.189684554706375</v>
      </c>
      <c r="AA222" s="174">
        <f t="shared" si="118"/>
        <v>1000000000</v>
      </c>
      <c r="AB222" s="174">
        <f t="shared" si="119"/>
        <v>165945924</v>
      </c>
      <c r="AD222" s="701">
        <f t="shared" si="120"/>
        <v>27.631847201254644</v>
      </c>
      <c r="AE222" s="702">
        <f t="shared" si="121"/>
        <v>-9.5806717990917836</v>
      </c>
      <c r="AG222" s="701">
        <f t="shared" si="122"/>
        <v>5.1101592811808496</v>
      </c>
      <c r="AH222" s="702">
        <f t="shared" si="123"/>
        <v>-76.75811432269154</v>
      </c>
      <c r="AJ222" s="174">
        <f t="shared" si="124"/>
        <v>0</v>
      </c>
      <c r="AK222" s="174">
        <f t="shared" si="136"/>
        <v>0</v>
      </c>
      <c r="AM222" s="174" t="str">
        <f t="shared" si="128"/>
        <v>0.026620970068125+0.229201361446395i</v>
      </c>
      <c r="AN222" s="174" t="str">
        <f t="shared" si="129"/>
        <v>0.231257122956i</v>
      </c>
      <c r="AO222" s="174" t="str">
        <f t="shared" si="130"/>
        <v>0.99111049431331-0.1151141626595i</v>
      </c>
      <c r="AP222" s="174" t="str">
        <f t="shared" si="131"/>
        <v>0.162229838321979-0.0382002269077325i</v>
      </c>
      <c r="AQ222" s="174" t="str">
        <f t="shared" si="132"/>
        <v>0.837770161678021+0.0382002269077325i</v>
      </c>
      <c r="AR222" s="174" t="str">
        <f t="shared" si="133"/>
        <v>0.992243116667645-0.0452438078343823i</v>
      </c>
    </row>
    <row r="223" spans="7:44" x14ac:dyDescent="0.2">
      <c r="G223" s="703">
        <v>12957.25</v>
      </c>
      <c r="H223" s="691">
        <f t="shared" si="125"/>
        <v>12.95725</v>
      </c>
      <c r="I223" s="692">
        <f t="shared" si="105"/>
        <v>12.681089368056801</v>
      </c>
      <c r="J223" s="693">
        <f t="shared" si="106"/>
        <v>1.4918567892214536</v>
      </c>
      <c r="K223" s="693">
        <f t="shared" si="107"/>
        <v>1.0000245102079939</v>
      </c>
      <c r="L223" s="694">
        <f t="shared" si="108"/>
        <v>7.0013866311096316E-3</v>
      </c>
      <c r="M223" s="693">
        <f t="shared" si="109"/>
        <v>1.0001367264331815</v>
      </c>
      <c r="N223" s="694">
        <f t="shared" si="110"/>
        <v>-1.6535468337342027E-2</v>
      </c>
      <c r="O223" s="692">
        <f t="shared" si="111"/>
        <v>23446.887207111191</v>
      </c>
      <c r="P223" s="695">
        <f t="shared" si="112"/>
        <v>1.5707536772102644</v>
      </c>
      <c r="Q223" s="704">
        <f t="shared" si="134"/>
        <v>9.8205824701289082</v>
      </c>
      <c r="R223" s="705">
        <f t="shared" si="135"/>
        <v>1.4687925772326862</v>
      </c>
      <c r="S223" s="692">
        <f t="shared" si="113"/>
        <v>1.0021187297155874</v>
      </c>
      <c r="T223" s="695">
        <f t="shared" si="114"/>
        <v>6.5038382824017943E-2</v>
      </c>
      <c r="U223" s="696">
        <f t="shared" si="126"/>
        <v>0.9909634084708312</v>
      </c>
      <c r="V223" s="697">
        <f t="shared" si="127"/>
        <v>-0.16212812212433306</v>
      </c>
      <c r="W223" s="698">
        <f t="shared" si="115"/>
        <v>7.1462360503908782</v>
      </c>
      <c r="X223" s="699">
        <f t="shared" si="116"/>
        <v>-104.88098310697622</v>
      </c>
      <c r="Y223" s="702">
        <f t="shared" si="117"/>
        <v>75.119016893023783</v>
      </c>
      <c r="AA223" s="174">
        <f t="shared" si="118"/>
        <v>1000000000</v>
      </c>
      <c r="AB223" s="174">
        <f t="shared" si="119"/>
        <v>167890327.5625</v>
      </c>
      <c r="AD223" s="701">
        <f t="shared" si="120"/>
        <v>27.631107140508824</v>
      </c>
      <c r="AE223" s="702">
        <f t="shared" si="121"/>
        <v>-9.5683655563324876</v>
      </c>
      <c r="AG223" s="701">
        <f t="shared" si="122"/>
        <v>5.0607671310755347</v>
      </c>
      <c r="AH223" s="702">
        <f t="shared" si="123"/>
        <v>-76.734103253202946</v>
      </c>
      <c r="AJ223" s="174">
        <f t="shared" si="124"/>
        <v>0</v>
      </c>
      <c r="AK223" s="174">
        <f t="shared" si="136"/>
        <v>0</v>
      </c>
      <c r="AM223" s="174" t="str">
        <f t="shared" si="128"/>
        <v>0.026931482772944+0.230516074887499i</v>
      </c>
      <c r="AN223" s="174" t="str">
        <f t="shared" si="129"/>
        <v>0.2326080077955i</v>
      </c>
      <c r="AO223" s="174" t="str">
        <f t="shared" si="130"/>
        <v>0.99100661697838-0.11578054869298i</v>
      </c>
      <c r="AP223" s="174" t="str">
        <f t="shared" si="131"/>
        <v>0.162178086204509-0.0384193458145832i</v>
      </c>
      <c r="AQ223" s="174" t="str">
        <f t="shared" si="132"/>
        <v>0.837821913795491+0.0384193458145832i</v>
      </c>
      <c r="AR223" s="174" t="str">
        <f t="shared" si="133"/>
        <v>0.992158399550119-0.0454966336252502i</v>
      </c>
    </row>
    <row r="224" spans="7:44" x14ac:dyDescent="0.2">
      <c r="G224" s="703">
        <v>13032.5</v>
      </c>
      <c r="H224" s="691">
        <f t="shared" si="125"/>
        <v>13.032500000000001</v>
      </c>
      <c r="I224" s="692">
        <f t="shared" si="105"/>
        <v>12.754278892676165</v>
      </c>
      <c r="J224" s="693">
        <f t="shared" si="106"/>
        <v>1.4923107133010842</v>
      </c>
      <c r="K224" s="693">
        <f t="shared" si="107"/>
        <v>1.0000247957201096</v>
      </c>
      <c r="L224" s="694">
        <f t="shared" si="108"/>
        <v>7.0420462600043364E-3</v>
      </c>
      <c r="M224" s="693">
        <f t="shared" si="109"/>
        <v>1.0001383190283053</v>
      </c>
      <c r="N224" s="694">
        <f t="shared" si="110"/>
        <v>-1.6631481396775758E-2</v>
      </c>
      <c r="O224" s="692">
        <f t="shared" si="111"/>
        <v>23583.056398809666</v>
      </c>
      <c r="P224" s="695">
        <f t="shared" si="112"/>
        <v>1.5707539234700947</v>
      </c>
      <c r="Q224" s="704">
        <f t="shared" si="134"/>
        <v>9.877026410486307</v>
      </c>
      <c r="R224" s="705">
        <f t="shared" si="135"/>
        <v>1.469377507616169</v>
      </c>
      <c r="S224" s="692">
        <f t="shared" si="113"/>
        <v>1.0021433840793097</v>
      </c>
      <c r="T224" s="695">
        <f t="shared" si="114"/>
        <v>6.5415023591788371E-2</v>
      </c>
      <c r="U224" s="696">
        <f t="shared" si="126"/>
        <v>0.99086404689434071</v>
      </c>
      <c r="V224" s="697">
        <f t="shared" si="127"/>
        <v>-0.16306160438672537</v>
      </c>
      <c r="W224" s="698">
        <f t="shared" si="115"/>
        <v>7.0946622442359155</v>
      </c>
      <c r="X224" s="699">
        <f t="shared" si="116"/>
        <v>-104.95172714662834</v>
      </c>
      <c r="Y224" s="702">
        <f t="shared" si="117"/>
        <v>75.048272853371657</v>
      </c>
      <c r="AA224" s="174">
        <f t="shared" si="118"/>
        <v>1000000000</v>
      </c>
      <c r="AB224" s="174">
        <f t="shared" si="119"/>
        <v>169846056.25</v>
      </c>
      <c r="AD224" s="701">
        <f t="shared" si="120"/>
        <v>27.630374902998057</v>
      </c>
      <c r="AE224" s="702">
        <f t="shared" si="121"/>
        <v>-9.5564455500710785</v>
      </c>
      <c r="AG224" s="701">
        <f t="shared" si="122"/>
        <v>5.0116674773211445</v>
      </c>
      <c r="AH224" s="702">
        <f t="shared" si="123"/>
        <v>-76.709798111223421</v>
      </c>
      <c r="AJ224" s="174">
        <f t="shared" si="124"/>
        <v>0</v>
      </c>
      <c r="AK224" s="174">
        <f t="shared" si="136"/>
        <v>0</v>
      </c>
      <c r="AM224" s="174" t="str">
        <f t="shared" si="128"/>
        <v>0.027243771220354+0.231830367662221i</v>
      </c>
      <c r="AN224" s="174" t="str">
        <f t="shared" si="129"/>
        <v>0.233958892635i</v>
      </c>
      <c r="AO224" s="174" t="str">
        <f t="shared" si="130"/>
        <v>0.990902141188966-0.116446829242166i</v>
      </c>
      <c r="AP224" s="174" t="str">
        <f t="shared" si="131"/>
        <v>0.162126038129941-0.0386383946103702i</v>
      </c>
      <c r="AQ224" s="174" t="str">
        <f t="shared" si="132"/>
        <v>0.837873961870059+0.0386383946103702i</v>
      </c>
      <c r="AR224" s="174" t="str">
        <f t="shared" si="133"/>
        <v>0.992073223098879-0.0457492635180147i</v>
      </c>
    </row>
    <row r="225" spans="7:44" x14ac:dyDescent="0.2">
      <c r="G225" s="703">
        <v>13107.75</v>
      </c>
      <c r="H225" s="691">
        <f t="shared" si="125"/>
        <v>13.107749999999999</v>
      </c>
      <c r="I225" s="692">
        <f t="shared" si="105"/>
        <v>12.827471015288133</v>
      </c>
      <c r="J225" s="693">
        <f t="shared" si="106"/>
        <v>1.4927594573916976</v>
      </c>
      <c r="K225" s="693">
        <f t="shared" si="107"/>
        <v>1.0000250828854709</v>
      </c>
      <c r="L225" s="694">
        <f t="shared" si="108"/>
        <v>7.0827058656147699E-3</v>
      </c>
      <c r="M225" s="693">
        <f t="shared" si="109"/>
        <v>1.0001399208431825</v>
      </c>
      <c r="N225" s="694">
        <f t="shared" si="110"/>
        <v>-1.6727494149547321E-2</v>
      </c>
      <c r="O225" s="692">
        <f t="shared" si="111"/>
        <v>23719.225590509548</v>
      </c>
      <c r="P225" s="695">
        <f t="shared" si="112"/>
        <v>1.5707541669024296</v>
      </c>
      <c r="Q225" s="704">
        <f t="shared" si="134"/>
        <v>9.9334736917995663</v>
      </c>
      <c r="R225" s="705">
        <f t="shared" si="135"/>
        <v>1.4699557904244895</v>
      </c>
      <c r="S225" s="692">
        <f t="shared" si="113"/>
        <v>1.0021681805983504</v>
      </c>
      <c r="T225" s="695">
        <f t="shared" si="114"/>
        <v>6.5791645774634935E-2</v>
      </c>
      <c r="U225" s="696">
        <f t="shared" si="126"/>
        <v>0.99076413844694233</v>
      </c>
      <c r="V225" s="697">
        <f t="shared" si="127"/>
        <v>-0.16399494814550394</v>
      </c>
      <c r="W225" s="698">
        <f t="shared" si="115"/>
        <v>7.0433755368739632</v>
      </c>
      <c r="X225" s="699">
        <f t="shared" si="116"/>
        <v>-105.02254609402257</v>
      </c>
      <c r="Y225" s="702">
        <f t="shared" si="117"/>
        <v>74.977453905977427</v>
      </c>
      <c r="AA225" s="174">
        <f t="shared" si="118"/>
        <v>1000000000</v>
      </c>
      <c r="AB225" s="174">
        <f t="shared" si="119"/>
        <v>171813110.0625</v>
      </c>
      <c r="AD225" s="701">
        <f t="shared" si="120"/>
        <v>27.629650283434227</v>
      </c>
      <c r="AE225" s="702">
        <f t="shared" si="121"/>
        <v>-9.5449051949696653</v>
      </c>
      <c r="AG225" s="701">
        <f t="shared" si="122"/>
        <v>4.9628570677746149</v>
      </c>
      <c r="AH225" s="702">
        <f t="shared" si="123"/>
        <v>-76.685204097171123</v>
      </c>
      <c r="AJ225" s="174">
        <f t="shared" si="124"/>
        <v>0</v>
      </c>
      <c r="AK225" s="174">
        <f t="shared" si="136"/>
        <v>0</v>
      </c>
      <c r="AM225" s="174" t="str">
        <f t="shared" si="128"/>
        <v>0.027557834840461+0.233144237372123i</v>
      </c>
      <c r="AN225" s="174" t="str">
        <f t="shared" si="129"/>
        <v>0.2353097774745i</v>
      </c>
      <c r="AO225" s="174" t="str">
        <f t="shared" si="130"/>
        <v>0.99079706705935-0.117113003701886i</v>
      </c>
      <c r="AP225" s="174" t="str">
        <f t="shared" si="131"/>
        <v>0.162073694193256-0.0388573728953538i</v>
      </c>
      <c r="AQ225" s="174" t="str">
        <f t="shared" si="132"/>
        <v>0.837926305806744+0.0388573728953538i</v>
      </c>
      <c r="AR225" s="174" t="str">
        <f t="shared" si="133"/>
        <v>0.991987587888116-0.0460016965012448i</v>
      </c>
    </row>
    <row r="226" spans="7:44" x14ac:dyDescent="0.2">
      <c r="G226" s="703">
        <v>13183</v>
      </c>
      <c r="H226" s="691">
        <f t="shared" si="125"/>
        <v>13.183</v>
      </c>
      <c r="I226" s="692">
        <f t="shared" si="105"/>
        <v>12.900665691673453</v>
      </c>
      <c r="J226" s="693">
        <f t="shared" si="106"/>
        <v>1.4932031094803244</v>
      </c>
      <c r="K226" s="693">
        <f t="shared" si="107"/>
        <v>1.0000253717040759</v>
      </c>
      <c r="L226" s="694">
        <f t="shared" si="108"/>
        <v>7.1233654478065171E-3</v>
      </c>
      <c r="M226" s="693">
        <f t="shared" si="109"/>
        <v>1.0001415318777684</v>
      </c>
      <c r="N226" s="694">
        <f t="shared" si="110"/>
        <v>-1.6823506593888014E-2</v>
      </c>
      <c r="O226" s="692">
        <f t="shared" si="111"/>
        <v>23855.39478221082</v>
      </c>
      <c r="P226" s="695">
        <f t="shared" si="112"/>
        <v>1.5707544075556878</v>
      </c>
      <c r="Q226" s="704">
        <f t="shared" si="134"/>
        <v>9.9899242574352698</v>
      </c>
      <c r="R226" s="705">
        <f t="shared" si="135"/>
        <v>1.4705275379589222</v>
      </c>
      <c r="S226" s="692">
        <f t="shared" si="113"/>
        <v>1.0021931192621576</v>
      </c>
      <c r="T226" s="695">
        <f t="shared" si="114"/>
        <v>6.6168249267097731E-2</v>
      </c>
      <c r="U226" s="696">
        <f t="shared" si="126"/>
        <v>0.9906636836084356</v>
      </c>
      <c r="V226" s="697">
        <f t="shared" si="127"/>
        <v>-0.16492815265716906</v>
      </c>
      <c r="W226" s="698">
        <f t="shared" si="115"/>
        <v>6.9923725365528249</v>
      </c>
      <c r="X226" s="699">
        <f t="shared" si="116"/>
        <v>-105.09343851009422</v>
      </c>
      <c r="Y226" s="702">
        <f t="shared" si="117"/>
        <v>74.906561489905783</v>
      </c>
      <c r="AA226" s="174">
        <f t="shared" si="118"/>
        <v>1000000000</v>
      </c>
      <c r="AB226" s="174">
        <f t="shared" si="119"/>
        <v>173791489</v>
      </c>
      <c r="AD226" s="701">
        <f t="shared" si="120"/>
        <v>27.628933082318689</v>
      </c>
      <c r="AE226" s="702">
        <f t="shared" si="121"/>
        <v>-9.533738053370918</v>
      </c>
      <c r="AG226" s="701">
        <f t="shared" si="122"/>
        <v>4.9143327047049432</v>
      </c>
      <c r="AH226" s="702">
        <f t="shared" si="123"/>
        <v>-76.660326294837304</v>
      </c>
      <c r="AJ226" s="174">
        <f t="shared" si="124"/>
        <v>0</v>
      </c>
      <c r="AK226" s="174">
        <f t="shared" si="136"/>
        <v>0</v>
      </c>
      <c r="AM226" s="174" t="str">
        <f t="shared" si="128"/>
        <v>0.027873673060136+0.234457681619537i</v>
      </c>
      <c r="AN226" s="174" t="str">
        <f t="shared" si="129"/>
        <v>0.236660662314i</v>
      </c>
      <c r="AO226" s="174" t="str">
        <f t="shared" si="130"/>
        <v>0.990691394704456-0.117779071467118i</v>
      </c>
      <c r="AP226" s="174" t="str">
        <f t="shared" si="131"/>
        <v>0.162021054489977-0.0390762802699228i</v>
      </c>
      <c r="AQ226" s="174" t="str">
        <f t="shared" si="132"/>
        <v>0.837978945510023+0.0390762802699228i</v>
      </c>
      <c r="AR226" s="174" t="str">
        <f t="shared" si="133"/>
        <v>0.991901494494786-0.0462539315655992i</v>
      </c>
    </row>
    <row r="227" spans="7:44" x14ac:dyDescent="0.2">
      <c r="G227" s="703">
        <v>13259.75</v>
      </c>
      <c r="H227" s="691">
        <f t="shared" si="125"/>
        <v>13.25975</v>
      </c>
      <c r="I227" s="692">
        <f t="shared" si="105"/>
        <v>12.97532198397756</v>
      </c>
      <c r="J227" s="693">
        <f t="shared" si="106"/>
        <v>1.4936504490430007</v>
      </c>
      <c r="K227" s="693">
        <f t="shared" si="107"/>
        <v>1.0000256679828663</v>
      </c>
      <c r="L227" s="694">
        <f t="shared" si="108"/>
        <v>7.1648354957457834E-3</v>
      </c>
      <c r="M227" s="693">
        <f t="shared" si="109"/>
        <v>1.0001431845231676</v>
      </c>
      <c r="N227" s="694">
        <f t="shared" si="110"/>
        <v>-1.6921432588002779E-2</v>
      </c>
      <c r="O227" s="692">
        <f t="shared" si="111"/>
        <v>23994.278309960704</v>
      </c>
      <c r="P227" s="695">
        <f t="shared" si="112"/>
        <v>1.5707546501923595</v>
      </c>
      <c r="Q227" s="704">
        <f t="shared" si="134"/>
        <v>10.047503409290105</v>
      </c>
      <c r="R227" s="705">
        <f t="shared" si="135"/>
        <v>1.4711040643129263</v>
      </c>
      <c r="S227" s="692">
        <f t="shared" si="113"/>
        <v>1.0022187014543658</v>
      </c>
      <c r="T227" s="695">
        <f t="shared" si="114"/>
        <v>6.6552340443653199E-2</v>
      </c>
      <c r="U227" s="696">
        <f t="shared" si="126"/>
        <v>0.99056066401095755</v>
      </c>
      <c r="V227" s="697">
        <f t="shared" si="127"/>
        <v>-0.16587981504380211</v>
      </c>
      <c r="W227" s="698">
        <f t="shared" si="115"/>
        <v>6.9406416557204818</v>
      </c>
      <c r="X227" s="699">
        <f t="shared" si="116"/>
        <v>-105.16581828340674</v>
      </c>
      <c r="Y227" s="702">
        <f t="shared" si="117"/>
        <v>74.834181716593264</v>
      </c>
      <c r="AA227" s="174">
        <f t="shared" si="118"/>
        <v>1000000000</v>
      </c>
      <c r="AB227" s="174">
        <f t="shared" si="119"/>
        <v>175820970.0625</v>
      </c>
      <c r="AD227" s="701">
        <f t="shared" si="120"/>
        <v>27.628209025532875</v>
      </c>
      <c r="AE227" s="702">
        <f t="shared" si="121"/>
        <v>-9.5227262319179253</v>
      </c>
      <c r="AG227" s="701">
        <f t="shared" si="122"/>
        <v>4.8651324743561624</v>
      </c>
      <c r="AH227" s="702">
        <f t="shared" si="123"/>
        <v>-76.634665412927419</v>
      </c>
      <c r="AJ227" s="174">
        <f t="shared" si="124"/>
        <v>0</v>
      </c>
      <c r="AK227" s="174">
        <f t="shared" si="136"/>
        <v>0</v>
      </c>
      <c r="AM227" s="174" t="str">
        <f t="shared" si="128"/>
        <v>0.028197634473844+0.235796866725935i</v>
      </c>
      <c r="AN227" s="174" t="str">
        <f t="shared" si="129"/>
        <v>0.2380384750905i</v>
      </c>
      <c r="AO227" s="174" t="str">
        <f t="shared" si="130"/>
        <v>0.990582999812477-0.118458305797512i</v>
      </c>
      <c r="AP227" s="174" t="str">
        <f t="shared" si="131"/>
        <v>0.161967060921026-0.0392994777876558i</v>
      </c>
      <c r="AQ227" s="174" t="str">
        <f t="shared" si="132"/>
        <v>0.838032939078974+0.0392994777876558i</v>
      </c>
      <c r="AR227" s="174" t="str">
        <f t="shared" si="133"/>
        <v>0.991813213581815-0.0465109896509556i</v>
      </c>
    </row>
    <row r="228" spans="7:44" x14ac:dyDescent="0.2">
      <c r="G228" s="703">
        <v>13336.5</v>
      </c>
      <c r="H228" s="691">
        <f t="shared" si="125"/>
        <v>13.336499999999999</v>
      </c>
      <c r="I228" s="692">
        <f t="shared" si="105"/>
        <v>13.049980843099476</v>
      </c>
      <c r="J228" s="693">
        <f t="shared" si="106"/>
        <v>1.4940926702396256</v>
      </c>
      <c r="K228" s="693">
        <f t="shared" si="107"/>
        <v>1.0000259659814645</v>
      </c>
      <c r="L228" s="694">
        <f t="shared" si="108"/>
        <v>7.2063055190409774E-3</v>
      </c>
      <c r="M228" s="693">
        <f t="shared" si="109"/>
        <v>1.0001448467594085</v>
      </c>
      <c r="N228" s="694">
        <f t="shared" si="110"/>
        <v>-1.7019358257551472E-2</v>
      </c>
      <c r="O228" s="692">
        <f t="shared" si="111"/>
        <v>24133.161837711981</v>
      </c>
      <c r="P228" s="695">
        <f t="shared" si="112"/>
        <v>1.5707548900363397</v>
      </c>
      <c r="Q228" s="704">
        <f t="shared" si="134"/>
        <v>10.105085862701468</v>
      </c>
      <c r="R228" s="705">
        <f t="shared" si="135"/>
        <v>1.4716740203410035</v>
      </c>
      <c r="S228" s="692">
        <f t="shared" si="113"/>
        <v>1.0022444314923618</v>
      </c>
      <c r="T228" s="695">
        <f t="shared" si="114"/>
        <v>6.6936411955768327E-2</v>
      </c>
      <c r="U228" s="696">
        <f t="shared" si="126"/>
        <v>0.9904570770379344</v>
      </c>
      <c r="V228" s="697">
        <f t="shared" si="127"/>
        <v>-0.16683133101729145</v>
      </c>
      <c r="W228" s="698">
        <f t="shared" si="115"/>
        <v>6.889198963675276</v>
      </c>
      <c r="X228" s="699">
        <f t="shared" si="116"/>
        <v>-105.23827155515397</v>
      </c>
      <c r="Y228" s="702">
        <f t="shared" si="117"/>
        <v>74.761728444846028</v>
      </c>
      <c r="AA228" s="174">
        <f t="shared" si="118"/>
        <v>1000000000</v>
      </c>
      <c r="AB228" s="174">
        <f t="shared" si="119"/>
        <v>177862232.25</v>
      </c>
      <c r="AD228" s="701">
        <f t="shared" si="120"/>
        <v>27.627492284265283</v>
      </c>
      <c r="AE228" s="702">
        <f t="shared" si="121"/>
        <v>-9.5120895757121193</v>
      </c>
      <c r="AG228" s="701">
        <f t="shared" si="122"/>
        <v>4.8162232564584198</v>
      </c>
      <c r="AH228" s="702">
        <f t="shared" si="123"/>
        <v>-76.608719641915386</v>
      </c>
      <c r="AJ228" s="174">
        <f t="shared" si="124"/>
        <v>0</v>
      </c>
      <c r="AK228" s="174">
        <f t="shared" si="136"/>
        <v>0</v>
      </c>
      <c r="AM228" s="174" t="str">
        <f t="shared" si="128"/>
        <v>0.02852344072582+0.237135604203166i</v>
      </c>
      <c r="AN228" s="174" t="str">
        <f t="shared" si="129"/>
        <v>0.239416287867i</v>
      </c>
      <c r="AO228" s="174" t="str">
        <f t="shared" si="130"/>
        <v>0.990473982851572-0.1191374278665i</v>
      </c>
      <c r="AP228" s="174" t="str">
        <f t="shared" si="131"/>
        <v>0.16191275987903-0.0395226007005277i</v>
      </c>
      <c r="AQ228" s="174" t="str">
        <f t="shared" si="132"/>
        <v>0.83808724012097+0.0395226007005277i</v>
      </c>
      <c r="AR228" s="174" t="str">
        <f t="shared" si="133"/>
        <v>0.99172445725888-0.0467678397341222i</v>
      </c>
    </row>
    <row r="229" spans="7:44" x14ac:dyDescent="0.2">
      <c r="G229" s="703">
        <v>13413.25</v>
      </c>
      <c r="H229" s="691">
        <f t="shared" si="125"/>
        <v>13.41325</v>
      </c>
      <c r="I229" s="692">
        <f t="shared" si="105"/>
        <v>13.124642225235561</v>
      </c>
      <c r="J229" s="693">
        <f t="shared" si="106"/>
        <v>1.4945298602453907</v>
      </c>
      <c r="K229" s="693">
        <f t="shared" si="107"/>
        <v>1.0000262656998693</v>
      </c>
      <c r="L229" s="694">
        <f t="shared" si="108"/>
        <v>7.2477755175494839E-3</v>
      </c>
      <c r="M229" s="693">
        <f t="shared" si="109"/>
        <v>1.0001465185864431</v>
      </c>
      <c r="N229" s="694">
        <f t="shared" si="110"/>
        <v>-1.7117283600657614E-2</v>
      </c>
      <c r="O229" s="692">
        <f t="shared" si="111"/>
        <v>24272.04536546463</v>
      </c>
      <c r="P229" s="695">
        <f t="shared" si="112"/>
        <v>1.5707551271355673</v>
      </c>
      <c r="Q229" s="704">
        <f t="shared" si="134"/>
        <v>10.162671561548764</v>
      </c>
      <c r="R229" s="705">
        <f t="shared" si="135"/>
        <v>1.4722375173598317</v>
      </c>
      <c r="S229" s="692">
        <f t="shared" si="113"/>
        <v>1.0022703093647589</v>
      </c>
      <c r="T229" s="695">
        <f t="shared" si="114"/>
        <v>6.7320463691652455E-2</v>
      </c>
      <c r="U229" s="696">
        <f t="shared" si="126"/>
        <v>0.99035292320603485</v>
      </c>
      <c r="V229" s="697">
        <f t="shared" si="127"/>
        <v>-0.16778269979179372</v>
      </c>
      <c r="W229" s="698">
        <f t="shared" si="115"/>
        <v>6.8380410465190042</v>
      </c>
      <c r="X229" s="699">
        <f t="shared" si="116"/>
        <v>-105.31079689334722</v>
      </c>
      <c r="Y229" s="702">
        <f t="shared" si="117"/>
        <v>74.689203106652784</v>
      </c>
      <c r="AA229" s="174">
        <f t="shared" si="118"/>
        <v>1000000000</v>
      </c>
      <c r="AB229" s="174">
        <f t="shared" si="119"/>
        <v>179915275.5625</v>
      </c>
      <c r="AD229" s="701">
        <f t="shared" si="120"/>
        <v>27.626782664232799</v>
      </c>
      <c r="AE229" s="702">
        <f t="shared" si="121"/>
        <v>-9.50182170311923</v>
      </c>
      <c r="AG229" s="701">
        <f t="shared" si="122"/>
        <v>4.7676018254954036</v>
      </c>
      <c r="AH229" s="702">
        <f t="shared" si="123"/>
        <v>-76.582494021497951</v>
      </c>
      <c r="AJ229" s="174">
        <f t="shared" si="124"/>
        <v>0</v>
      </c>
      <c r="AK229" s="174">
        <f t="shared" si="136"/>
        <v>0</v>
      </c>
      <c r="AM229" s="174" t="str">
        <f t="shared" si="128"/>
        <v>0.028851091197562+0.238473891509814i</v>
      </c>
      <c r="AN229" s="174" t="str">
        <f t="shared" si="129"/>
        <v>0.2407941006435i</v>
      </c>
      <c r="AO229" s="174" t="str">
        <f t="shared" si="130"/>
        <v>0.99036434394578-0.119816437032552i</v>
      </c>
      <c r="AP229" s="174" t="str">
        <f t="shared" si="131"/>
        <v>0.161858151467073-0.039745648584969i</v>
      </c>
      <c r="AQ229" s="174" t="str">
        <f t="shared" si="132"/>
        <v>0.838141848532927+0.039745648584969i</v>
      </c>
      <c r="AR229" s="174" t="str">
        <f t="shared" si="133"/>
        <v>0.991635226146962-0.0470244807509633i</v>
      </c>
    </row>
    <row r="230" spans="7:44" x14ac:dyDescent="0.2">
      <c r="G230" s="703">
        <v>13490</v>
      </c>
      <c r="H230" s="691">
        <f t="shared" si="125"/>
        <v>13.49</v>
      </c>
      <c r="I230" s="692">
        <f t="shared" si="105"/>
        <v>13.199306087571815</v>
      </c>
      <c r="J230" s="693">
        <f t="shared" si="106"/>
        <v>1.494962104270803</v>
      </c>
      <c r="K230" s="693">
        <f t="shared" si="107"/>
        <v>1.000026567138079</v>
      </c>
      <c r="L230" s="694">
        <f t="shared" si="108"/>
        <v>7.2892454911286896E-3</v>
      </c>
      <c r="M230" s="693">
        <f t="shared" si="109"/>
        <v>1.0001482000042232</v>
      </c>
      <c r="N230" s="694">
        <f t="shared" si="110"/>
        <v>-1.7215208615444764E-2</v>
      </c>
      <c r="O230" s="692">
        <f t="shared" si="111"/>
        <v>24410.928893218628</v>
      </c>
      <c r="P230" s="695">
        <f t="shared" si="112"/>
        <v>1.5707553615368905</v>
      </c>
      <c r="Q230" s="704">
        <f t="shared" si="134"/>
        <v>10.220260450973109</v>
      </c>
      <c r="R230" s="705">
        <f t="shared" si="135"/>
        <v>1.4727946641937306</v>
      </c>
      <c r="S230" s="692">
        <f t="shared" si="113"/>
        <v>1.0022963350601064</v>
      </c>
      <c r="T230" s="695">
        <f t="shared" si="114"/>
        <v>6.7704495539549797E-2</v>
      </c>
      <c r="U230" s="696">
        <f t="shared" si="126"/>
        <v>0.99024820303446759</v>
      </c>
      <c r="V230" s="697">
        <f t="shared" si="127"/>
        <v>-0.16873392058251532</v>
      </c>
      <c r="W230" s="698">
        <f t="shared" si="115"/>
        <v>6.7871645496935535</v>
      </c>
      <c r="X230" s="699">
        <f t="shared" si="116"/>
        <v>-105.38339289623113</v>
      </c>
      <c r="Y230" s="702">
        <f t="shared" si="117"/>
        <v>74.616607103768871</v>
      </c>
      <c r="AA230" s="174">
        <f t="shared" si="118"/>
        <v>1000000000</v>
      </c>
      <c r="AB230" s="174">
        <f t="shared" si="119"/>
        <v>181980100</v>
      </c>
      <c r="AD230" s="701">
        <f t="shared" si="120"/>
        <v>27.626079976616897</v>
      </c>
      <c r="AE230" s="702">
        <f t="shared" si="121"/>
        <v>-9.4919163752460882</v>
      </c>
      <c r="AG230" s="701">
        <f t="shared" si="122"/>
        <v>4.7192650097963815</v>
      </c>
      <c r="AH230" s="702">
        <f t="shared" si="123"/>
        <v>-76.555993478743545</v>
      </c>
      <c r="AJ230" s="174">
        <f t="shared" si="124"/>
        <v>0</v>
      </c>
      <c r="AK230" s="174">
        <f t="shared" si="136"/>
        <v>0</v>
      </c>
      <c r="AM230" s="174" t="str">
        <f t="shared" si="128"/>
        <v>0.029180585267071+0.239811726105319i</v>
      </c>
      <c r="AN230" s="174" t="str">
        <f t="shared" si="129"/>
        <v>0.24217191342i</v>
      </c>
      <c r="AO230" s="174" t="str">
        <f t="shared" si="130"/>
        <v>0.99025408321985-0.120495332654299i</v>
      </c>
      <c r="AP230" s="174" t="str">
        <f t="shared" si="131"/>
        <v>0.161803235788821-0.0399686210175532i</v>
      </c>
      <c r="AQ230" s="174" t="str">
        <f t="shared" si="132"/>
        <v>0.838196764211179+0.0399686210175532i</v>
      </c>
      <c r="AR230" s="174" t="str">
        <f t="shared" si="133"/>
        <v>0.991545520869986-0.0472809116396447i</v>
      </c>
    </row>
    <row r="231" spans="7:44" x14ac:dyDescent="0.2">
      <c r="G231" s="703">
        <v>13568.5</v>
      </c>
      <c r="H231" s="691">
        <f t="shared" si="125"/>
        <v>13.5685</v>
      </c>
      <c r="I231" s="692">
        <f t="shared" si="105"/>
        <v>13.275674905305925</v>
      </c>
      <c r="J231" s="693">
        <f t="shared" si="106"/>
        <v>1.4953991744102306</v>
      </c>
      <c r="K231" s="693">
        <f t="shared" si="107"/>
        <v>1.0000268772285437</v>
      </c>
      <c r="L231" s="694">
        <f t="shared" si="108"/>
        <v>7.3316610082009761E-3</v>
      </c>
      <c r="M231" s="693">
        <f t="shared" si="109"/>
        <v>1.0001499296817304</v>
      </c>
      <c r="N231" s="694">
        <f t="shared" si="110"/>
        <v>-1.7315366106569346E-2</v>
      </c>
      <c r="O231" s="692">
        <f t="shared" si="111"/>
        <v>24552.97914636253</v>
      </c>
      <c r="P231" s="695">
        <f t="shared" si="112"/>
        <v>1.5707555985397095</v>
      </c>
      <c r="Q231" s="704">
        <f t="shared" si="134"/>
        <v>10.279165686745943</v>
      </c>
      <c r="R231" s="705">
        <f t="shared" si="135"/>
        <v>1.4733580565673461</v>
      </c>
      <c r="S231" s="692">
        <f t="shared" si="113"/>
        <v>1.0023231070804259</v>
      </c>
      <c r="T231" s="695">
        <f t="shared" si="114"/>
        <v>6.8097263124132695E-2</v>
      </c>
      <c r="U231" s="696">
        <f t="shared" si="126"/>
        <v>0.9901405097935746</v>
      </c>
      <c r="V231" s="697">
        <f t="shared" si="127"/>
        <v>-0.16970667654611507</v>
      </c>
      <c r="W231" s="698">
        <f t="shared" si="115"/>
        <v>6.735415685288566</v>
      </c>
      <c r="X231" s="699">
        <f t="shared" si="116"/>
        <v>-105.4577158522502</v>
      </c>
      <c r="Y231" s="702">
        <f t="shared" si="117"/>
        <v>74.542284147749797</v>
      </c>
      <c r="AA231" s="174">
        <f t="shared" si="118"/>
        <v>1000000000</v>
      </c>
      <c r="AB231" s="174">
        <f t="shared" si="119"/>
        <v>184104192.25</v>
      </c>
      <c r="AD231" s="701">
        <f t="shared" si="120"/>
        <v>27.625368246854258</v>
      </c>
      <c r="AE231" s="702">
        <f t="shared" si="121"/>
        <v>-9.4821538742043163</v>
      </c>
      <c r="AG231" s="701">
        <f t="shared" si="122"/>
        <v>4.6701172246540104</v>
      </c>
      <c r="AH231" s="702">
        <f t="shared" si="123"/>
        <v>-76.528609313256155</v>
      </c>
      <c r="AJ231" s="174">
        <f t="shared" si="124"/>
        <v>0</v>
      </c>
      <c r="AK231" s="174">
        <f t="shared" si="136"/>
        <v>0</v>
      </c>
      <c r="AM231" s="174" t="str">
        <f t="shared" si="128"/>
        <v>0.029519498710332+0.241179594113088i</v>
      </c>
      <c r="AN231" s="174" t="str">
        <f t="shared" si="129"/>
        <v>0.243581142123i</v>
      </c>
      <c r="AO231" s="174" t="str">
        <f t="shared" si="130"/>
        <v>0.99014066528722-0.121189589855136i</v>
      </c>
      <c r="AP231" s="174" t="str">
        <f t="shared" si="131"/>
        <v>0.161746750214945-0.040196599018848i</v>
      </c>
      <c r="AQ231" s="174" t="str">
        <f t="shared" si="132"/>
        <v>0.838253249785055+0.040196599018848i</v>
      </c>
      <c r="AR231" s="174" t="str">
        <f t="shared" si="133"/>
        <v>0.991453280343551-0.0475429710127701i</v>
      </c>
    </row>
    <row r="232" spans="7:44" x14ac:dyDescent="0.2">
      <c r="G232" s="703">
        <v>13647</v>
      </c>
      <c r="H232" s="691">
        <f t="shared" si="125"/>
        <v>13.647</v>
      </c>
      <c r="I232" s="692">
        <f t="shared" si="105"/>
        <v>13.352046230085374</v>
      </c>
      <c r="J232" s="693">
        <f t="shared" si="106"/>
        <v>1.4958312447048097</v>
      </c>
      <c r="K232" s="693">
        <f t="shared" si="107"/>
        <v>1.0000271891181316</v>
      </c>
      <c r="L232" s="694">
        <f t="shared" si="108"/>
        <v>7.3740764988923747E-3</v>
      </c>
      <c r="M232" s="693">
        <f t="shared" si="109"/>
        <v>1.0001516693922299</v>
      </c>
      <c r="N232" s="694">
        <f t="shared" si="110"/>
        <v>-1.7415523250261418E-2</v>
      </c>
      <c r="O232" s="692">
        <f t="shared" si="111"/>
        <v>24695.029399507788</v>
      </c>
      <c r="P232" s="695">
        <f t="shared" si="112"/>
        <v>1.5707558328159628</v>
      </c>
      <c r="Q232" s="704">
        <f t="shared" si="134"/>
        <v>10.338074148056842</v>
      </c>
      <c r="R232" s="705">
        <f t="shared" si="135"/>
        <v>1.4739150284660842</v>
      </c>
      <c r="S232" s="692">
        <f t="shared" si="113"/>
        <v>1.0023500337172244</v>
      </c>
      <c r="T232" s="695">
        <f t="shared" si="114"/>
        <v>6.8490009667071236E-2</v>
      </c>
      <c r="U232" s="696">
        <f t="shared" si="126"/>
        <v>0.99003222519881018</v>
      </c>
      <c r="V232" s="697">
        <f t="shared" si="127"/>
        <v>-0.17067927604314501</v>
      </c>
      <c r="W232" s="698">
        <f t="shared" si="115"/>
        <v>6.6839543066315503</v>
      </c>
      <c r="X232" s="699">
        <f t="shared" si="116"/>
        <v>-105.53210985928719</v>
      </c>
      <c r="Y232" s="702">
        <f t="shared" si="117"/>
        <v>74.467890140712811</v>
      </c>
      <c r="AA232" s="174">
        <f t="shared" si="118"/>
        <v>1000000000</v>
      </c>
      <c r="AB232" s="174">
        <f t="shared" si="119"/>
        <v>186240609</v>
      </c>
      <c r="AD232" s="701">
        <f t="shared" si="120"/>
        <v>27.624663386410564</v>
      </c>
      <c r="AE232" s="702">
        <f t="shared" si="121"/>
        <v>-9.4727578774577808</v>
      </c>
      <c r="AG232" s="701">
        <f t="shared" si="122"/>
        <v>4.6212606377425196</v>
      </c>
      <c r="AH232" s="702">
        <f t="shared" si="123"/>
        <v>-76.500947624239572</v>
      </c>
      <c r="AJ232" s="174">
        <f t="shared" si="124"/>
        <v>0</v>
      </c>
      <c r="AK232" s="174">
        <f t="shared" si="136"/>
        <v>0</v>
      </c>
      <c r="AM232" s="174" t="str">
        <f t="shared" si="128"/>
        <v>0.029860339455285+0.242546983156221i</v>
      </c>
      <c r="AN232" s="174" t="str">
        <f t="shared" si="129"/>
        <v>0.244990370826i</v>
      </c>
      <c r="AO232" s="174" t="str">
        <f t="shared" si="130"/>
        <v>0.990026597120773-0.121883726917956i</v>
      </c>
      <c r="AP232" s="174" t="str">
        <f t="shared" si="131"/>
        <v>0.161689943424119-0.0404244971927035i</v>
      </c>
      <c r="AQ232" s="174" t="str">
        <f t="shared" si="132"/>
        <v>0.838310056575881+0.0404244971927035i</v>
      </c>
      <c r="AR232" s="174" t="str">
        <f t="shared" si="133"/>
        <v>0.991360545112081-0.0478048083265632i</v>
      </c>
    </row>
    <row r="233" spans="7:44" x14ac:dyDescent="0.2">
      <c r="G233" s="703">
        <v>13725.5</v>
      </c>
      <c r="H233" s="691">
        <f t="shared" si="125"/>
        <v>13.7255</v>
      </c>
      <c r="I233" s="692">
        <f t="shared" si="105"/>
        <v>13.428420019135284</v>
      </c>
      <c r="J233" s="693">
        <f t="shared" si="106"/>
        <v>1.4962584003012878</v>
      </c>
      <c r="K233" s="693">
        <f t="shared" si="107"/>
        <v>1.0000275028068413</v>
      </c>
      <c r="L233" s="694">
        <f t="shared" si="108"/>
        <v>7.4164919630502939E-3</v>
      </c>
      <c r="M233" s="693">
        <f t="shared" si="109"/>
        <v>1.0001534191356694</v>
      </c>
      <c r="N233" s="694">
        <f t="shared" si="110"/>
        <v>-1.751568004451336E-2</v>
      </c>
      <c r="O233" s="692">
        <f t="shared" si="111"/>
        <v>24837.079652654393</v>
      </c>
      <c r="P233" s="695">
        <f t="shared" si="112"/>
        <v>1.5707560644124323</v>
      </c>
      <c r="Q233" s="704">
        <f t="shared" si="134"/>
        <v>10.396985780078907</v>
      </c>
      <c r="R233" s="705">
        <f t="shared" si="135"/>
        <v>1.4744656886809218</v>
      </c>
      <c r="S233" s="692">
        <f t="shared" si="113"/>
        <v>1.0023771149580416</v>
      </c>
      <c r="T233" s="695">
        <f t="shared" si="114"/>
        <v>6.888273504890384E-2</v>
      </c>
      <c r="U233" s="696">
        <f t="shared" si="126"/>
        <v>0.98992334981392693</v>
      </c>
      <c r="V233" s="697">
        <f t="shared" si="127"/>
        <v>-0.17165171823725603</v>
      </c>
      <c r="W233" s="698">
        <f t="shared" si="115"/>
        <v>6.632777008276955</v>
      </c>
      <c r="X233" s="699">
        <f t="shared" si="116"/>
        <v>-105.60657351043771</v>
      </c>
      <c r="Y233" s="702">
        <f t="shared" si="117"/>
        <v>74.393426489562287</v>
      </c>
      <c r="AA233" s="174">
        <f t="shared" si="118"/>
        <v>1000000000</v>
      </c>
      <c r="AB233" s="174">
        <f t="shared" si="119"/>
        <v>188389350.25</v>
      </c>
      <c r="AD233" s="701">
        <f t="shared" si="120"/>
        <v>27.623965209828029</v>
      </c>
      <c r="AE233" s="702">
        <f t="shared" si="121"/>
        <v>-9.463722147578423</v>
      </c>
      <c r="AG233" s="701">
        <f t="shared" si="122"/>
        <v>4.5726920226308811</v>
      </c>
      <c r="AH233" s="702">
        <f t="shared" si="123"/>
        <v>-76.473013338056106</v>
      </c>
      <c r="AJ233" s="174">
        <f t="shared" si="124"/>
        <v>0</v>
      </c>
      <c r="AK233" s="174">
        <f t="shared" si="136"/>
        <v>0</v>
      </c>
      <c r="AM233" s="174" t="str">
        <f t="shared" si="128"/>
        <v>0.030203106825045+0.243913890519186i</v>
      </c>
      <c r="AN233" s="174" t="str">
        <f t="shared" si="129"/>
        <v>0.246399599529i</v>
      </c>
      <c r="AO233" s="174" t="str">
        <f t="shared" si="130"/>
        <v>0.989911878856274-0.122577743156966i</v>
      </c>
      <c r="AP233" s="174" t="str">
        <f t="shared" si="131"/>
        <v>0.161632815529159-0.040652315086531i</v>
      </c>
      <c r="AQ233" s="174" t="str">
        <f t="shared" si="132"/>
        <v>0.838367184470841+0.040652315086531i</v>
      </c>
      <c r="AR233" s="174" t="str">
        <f t="shared" si="133"/>
        <v>0.991267315852683-0.0480664224524221i</v>
      </c>
    </row>
    <row r="234" spans="7:44" x14ac:dyDescent="0.2">
      <c r="G234" s="703">
        <v>13804</v>
      </c>
      <c r="H234" s="691">
        <f t="shared" si="125"/>
        <v>13.804</v>
      </c>
      <c r="I234" s="692">
        <f t="shared" si="105"/>
        <v>13.504796230647019</v>
      </c>
      <c r="J234" s="693">
        <f t="shared" si="106"/>
        <v>1.4966807244274949</v>
      </c>
      <c r="K234" s="693">
        <f t="shared" si="107"/>
        <v>1.0000278182946707</v>
      </c>
      <c r="L234" s="694">
        <f t="shared" si="108"/>
        <v>7.4589074005221388E-3</v>
      </c>
      <c r="M234" s="693">
        <f t="shared" si="109"/>
        <v>1.000155178911996</v>
      </c>
      <c r="N234" s="694">
        <f t="shared" si="110"/>
        <v>-1.7615836487317595E-2</v>
      </c>
      <c r="O234" s="692">
        <f t="shared" si="111"/>
        <v>24979.129905802311</v>
      </c>
      <c r="P234" s="695">
        <f t="shared" si="112"/>
        <v>1.570756293374836</v>
      </c>
      <c r="Q234" s="704">
        <f t="shared" si="134"/>
        <v>10.455900529217967</v>
      </c>
      <c r="R234" s="705">
        <f t="shared" si="135"/>
        <v>1.4750101435663729</v>
      </c>
      <c r="S234" s="692">
        <f t="shared" si="113"/>
        <v>1.0024043507903473</v>
      </c>
      <c r="T234" s="695">
        <f t="shared" si="114"/>
        <v>6.927543915020791E-2</v>
      </c>
      <c r="U234" s="696">
        <f t="shared" si="126"/>
        <v>0.98981388420542415</v>
      </c>
      <c r="V234" s="697">
        <f t="shared" si="127"/>
        <v>-0.17262400229325828</v>
      </c>
      <c r="W234" s="698">
        <f t="shared" si="115"/>
        <v>6.5818804439176501</v>
      </c>
      <c r="X234" s="699">
        <f t="shared" si="116"/>
        <v>-105.68110542845825</v>
      </c>
      <c r="Y234" s="702">
        <f t="shared" si="117"/>
        <v>74.318894571541747</v>
      </c>
      <c r="AA234" s="174">
        <f t="shared" si="118"/>
        <v>1000000000</v>
      </c>
      <c r="AB234" s="174">
        <f t="shared" si="119"/>
        <v>190550416</v>
      </c>
      <c r="AD234" s="701">
        <f t="shared" si="120"/>
        <v>27.623273536865959</v>
      </c>
      <c r="AE234" s="702">
        <f t="shared" si="121"/>
        <v>-9.4550405866784732</v>
      </c>
      <c r="AG234" s="701">
        <f t="shared" si="122"/>
        <v>4.524408206776906</v>
      </c>
      <c r="AH234" s="702">
        <f t="shared" si="123"/>
        <v>-76.444811271055698</v>
      </c>
      <c r="AJ234" s="174">
        <f t="shared" si="124"/>
        <v>0</v>
      </c>
      <c r="AK234" s="174">
        <f t="shared" si="136"/>
        <v>0</v>
      </c>
      <c r="AM234" s="174" t="str">
        <f t="shared" si="128"/>
        <v>0.030547800138904+0.245280313487407i</v>
      </c>
      <c r="AN234" s="174" t="str">
        <f t="shared" si="129"/>
        <v>0.247808828232i</v>
      </c>
      <c r="AO234" s="174" t="str">
        <f t="shared" si="130"/>
        <v>0.98979651063026-0.123271637886544i</v>
      </c>
      <c r="AP234" s="174" t="str">
        <f t="shared" si="131"/>
        <v>0.161575366643516-0.0408800522479012i</v>
      </c>
      <c r="AQ234" s="174" t="str">
        <f t="shared" si="132"/>
        <v>0.838424633356484+0.0408800522479012i</v>
      </c>
      <c r="AR234" s="174" t="str">
        <f t="shared" si="133"/>
        <v>0.991173593245645-0.0483278122643062i</v>
      </c>
    </row>
    <row r="235" spans="7:44" x14ac:dyDescent="0.2">
      <c r="G235" s="703">
        <v>13884.25</v>
      </c>
      <c r="H235" s="691">
        <f t="shared" si="125"/>
        <v>13.88425</v>
      </c>
      <c r="I235" s="692">
        <f t="shared" si="105"/>
        <v>13.582877558070305</v>
      </c>
      <c r="J235" s="693">
        <f t="shared" si="106"/>
        <v>1.4971075539079153</v>
      </c>
      <c r="K235" s="693">
        <f t="shared" si="107"/>
        <v>1.0000281426753954</v>
      </c>
      <c r="L235" s="694">
        <f t="shared" si="108"/>
        <v>7.5022683773274057E-3</v>
      </c>
      <c r="M235" s="693">
        <f t="shared" si="109"/>
        <v>1.0001569882898249</v>
      </c>
      <c r="N235" s="694">
        <f t="shared" si="110"/>
        <v>-1.7718225351685456E-2</v>
      </c>
      <c r="O235" s="692">
        <f t="shared" si="111"/>
        <v>25124.346884340219</v>
      </c>
      <c r="P235" s="695">
        <f t="shared" si="112"/>
        <v>1.5707565247652213</v>
      </c>
      <c r="Q235" s="704">
        <f t="shared" si="134"/>
        <v>10.516131832054107</v>
      </c>
      <c r="R235" s="705">
        <f t="shared" si="135"/>
        <v>1.4755604298807687</v>
      </c>
      <c r="S235" s="692">
        <f t="shared" si="113"/>
        <v>1.00243235357713</v>
      </c>
      <c r="T235" s="695">
        <f t="shared" si="114"/>
        <v>6.9676875679792569E-2</v>
      </c>
      <c r="U235" s="696">
        <f t="shared" si="126"/>
        <v>0.98970136876655113</v>
      </c>
      <c r="V235" s="697">
        <f t="shared" si="127"/>
        <v>-0.17361779713751652</v>
      </c>
      <c r="W235" s="698">
        <f t="shared" si="115"/>
        <v>6.5301360098827912</v>
      </c>
      <c r="X235" s="699">
        <f t="shared" si="116"/>
        <v>-105.75736804869538</v>
      </c>
      <c r="Y235" s="702">
        <f t="shared" si="117"/>
        <v>74.242631951304617</v>
      </c>
      <c r="AA235" s="174">
        <f t="shared" si="118"/>
        <v>1000000000</v>
      </c>
      <c r="AB235" s="174">
        <f t="shared" si="119"/>
        <v>192772398.0625</v>
      </c>
      <c r="AD235" s="701">
        <f t="shared" si="120"/>
        <v>27.622572984739698</v>
      </c>
      <c r="AE235" s="702">
        <f t="shared" si="121"/>
        <v>-9.4465253799101276</v>
      </c>
      <c r="AG235" s="701">
        <f t="shared" si="122"/>
        <v>4.4753391450859654</v>
      </c>
      <c r="AH235" s="702">
        <f t="shared" si="123"/>
        <v>-76.415708597375342</v>
      </c>
      <c r="AJ235" s="174">
        <f t="shared" si="124"/>
        <v>0</v>
      </c>
      <c r="AK235" s="174">
        <f t="shared" si="136"/>
        <v>0</v>
      </c>
      <c r="AM235" s="174" t="str">
        <f t="shared" si="128"/>
        <v>0.030902167810998+0.246676694575263i</v>
      </c>
      <c r="AN235" s="174" t="str">
        <f t="shared" si="129"/>
        <v>0.2492494728615i</v>
      </c>
      <c r="AO235" s="174" t="str">
        <f t="shared" si="130"/>
        <v>0.989677898786704-0.123980875290233i</v>
      </c>
      <c r="AP235" s="174" t="str">
        <f t="shared" si="131"/>
        <v>0.161516305364834-0.0411127824292105i</v>
      </c>
      <c r="AQ235" s="174" t="str">
        <f t="shared" si="132"/>
        <v>0.838483694635166+0.0411127824292105i</v>
      </c>
      <c r="AR235" s="174" t="str">
        <f t="shared" si="133"/>
        <v>0.991077272025354-0.0485947961970124i</v>
      </c>
    </row>
    <row r="236" spans="7:44" x14ac:dyDescent="0.2">
      <c r="G236" s="703">
        <v>13964.5</v>
      </c>
      <c r="H236" s="691">
        <f t="shared" si="125"/>
        <v>13.964499999999999</v>
      </c>
      <c r="I236" s="692">
        <f t="shared" si="105"/>
        <v>13.660961331780591</v>
      </c>
      <c r="J236" s="693">
        <f t="shared" si="106"/>
        <v>1.4975295040924108</v>
      </c>
      <c r="K236" s="693">
        <f t="shared" si="107"/>
        <v>1.0000284689363461</v>
      </c>
      <c r="L236" s="694">
        <f t="shared" si="108"/>
        <v>7.5456293259210175E-3</v>
      </c>
      <c r="M236" s="693">
        <f t="shared" si="109"/>
        <v>1.0001588081527413</v>
      </c>
      <c r="N236" s="694">
        <f t="shared" si="110"/>
        <v>-1.7820613844518478E-2</v>
      </c>
      <c r="O236" s="692">
        <f t="shared" si="111"/>
        <v>25269.563862879451</v>
      </c>
      <c r="P236" s="695">
        <f t="shared" si="112"/>
        <v>1.5707567534961373</v>
      </c>
      <c r="Q236" s="704">
        <f t="shared" si="134"/>
        <v>10.576366283062301</v>
      </c>
      <c r="R236" s="705">
        <f t="shared" si="135"/>
        <v>1.4761044483844155</v>
      </c>
      <c r="S236" s="692">
        <f t="shared" si="113"/>
        <v>1.0024605178981365</v>
      </c>
      <c r="T236" s="695">
        <f t="shared" si="114"/>
        <v>7.0078289717189615E-2</v>
      </c>
      <c r="U236" s="696">
        <f t="shared" si="126"/>
        <v>0.98958823770106497</v>
      </c>
      <c r="V236" s="697">
        <f t="shared" si="127"/>
        <v>-0.17461142495286616</v>
      </c>
      <c r="W236" s="698">
        <f t="shared" si="115"/>
        <v>6.4786780771616215</v>
      </c>
      <c r="X236" s="699">
        <f t="shared" si="116"/>
        <v>-105.83369919416555</v>
      </c>
      <c r="Y236" s="702">
        <f t="shared" si="117"/>
        <v>74.166300805834453</v>
      </c>
      <c r="AA236" s="174">
        <f t="shared" si="118"/>
        <v>1000000000</v>
      </c>
      <c r="AB236" s="174">
        <f t="shared" si="119"/>
        <v>195007260.25</v>
      </c>
      <c r="AD236" s="701">
        <f t="shared" si="120"/>
        <v>27.6218788644446</v>
      </c>
      <c r="AE236" s="702">
        <f t="shared" si="121"/>
        <v>-9.4383678511611198</v>
      </c>
      <c r="AG236" s="701">
        <f t="shared" si="122"/>
        <v>4.426561184446939</v>
      </c>
      <c r="AH236" s="702">
        <f t="shared" si="123"/>
        <v>-76.386335911011741</v>
      </c>
      <c r="AJ236" s="174">
        <f t="shared" si="124"/>
        <v>0</v>
      </c>
      <c r="AK236" s="174">
        <f t="shared" si="136"/>
        <v>0</v>
      </c>
      <c r="AM236" s="174" t="str">
        <f t="shared" si="128"/>
        <v>0.031258546803575+0.248072563696348i</v>
      </c>
      <c r="AN236" s="174" t="str">
        <f t="shared" si="129"/>
        <v>0.250690117491i</v>
      </c>
      <c r="AO236" s="174" t="str">
        <f t="shared" si="130"/>
        <v>0.989558607970472-0.124689984257944i</v>
      </c>
      <c r="AP236" s="174" t="str">
        <f t="shared" si="131"/>
        <v>0.161456908866071-0.0413454272827247i</v>
      </c>
      <c r="AQ236" s="174" t="str">
        <f t="shared" si="132"/>
        <v>0.838543091133929+0.0413454272827247i</v>
      </c>
      <c r="AR236" s="174" t="str">
        <f t="shared" si="133"/>
        <v>0.990980436663748-0.0488615433313967i</v>
      </c>
    </row>
    <row r="237" spans="7:44" x14ac:dyDescent="0.2">
      <c r="G237" s="703">
        <v>14044.75</v>
      </c>
      <c r="H237" s="691">
        <f t="shared" si="125"/>
        <v>14.044750000000001</v>
      </c>
      <c r="I237" s="692">
        <f t="shared" si="105"/>
        <v>13.739047510068582</v>
      </c>
      <c r="J237" s="693">
        <f t="shared" si="106"/>
        <v>1.4979466580241929</v>
      </c>
      <c r="K237" s="693">
        <f t="shared" si="107"/>
        <v>1.0000287970775208</v>
      </c>
      <c r="L237" s="694">
        <f t="shared" si="108"/>
        <v>7.588990246139949E-3</v>
      </c>
      <c r="M237" s="693">
        <f t="shared" si="109"/>
        <v>1.0001606385006876</v>
      </c>
      <c r="N237" s="694">
        <f t="shared" si="110"/>
        <v>-1.7923001963671935E-2</v>
      </c>
      <c r="O237" s="692">
        <f t="shared" si="111"/>
        <v>25414.78084141999</v>
      </c>
      <c r="P237" s="695">
        <f t="shared" si="112"/>
        <v>1.570756979613172</v>
      </c>
      <c r="Q237" s="704">
        <f t="shared" si="134"/>
        <v>10.636603828758821</v>
      </c>
      <c r="R237" s="705">
        <f t="shared" si="135"/>
        <v>1.476642305240718</v>
      </c>
      <c r="S237" s="692">
        <f t="shared" si="113"/>
        <v>1.0024888437397521</v>
      </c>
      <c r="T237" s="695">
        <f t="shared" si="114"/>
        <v>7.0479681134937952E-2</v>
      </c>
      <c r="U237" s="696">
        <f t="shared" si="126"/>
        <v>0.98947449162305756</v>
      </c>
      <c r="V237" s="697">
        <f t="shared" si="127"/>
        <v>-0.17560488485074841</v>
      </c>
      <c r="W237" s="698">
        <f t="shared" si="115"/>
        <v>6.4275032535399372</v>
      </c>
      <c r="X237" s="699">
        <f t="shared" si="116"/>
        <v>-105.91009748446403</v>
      </c>
      <c r="Y237" s="702">
        <f t="shared" si="117"/>
        <v>74.089902515535968</v>
      </c>
      <c r="AA237" s="174">
        <f t="shared" si="118"/>
        <v>1000000000</v>
      </c>
      <c r="AB237" s="174">
        <f t="shared" si="119"/>
        <v>197255002.5625</v>
      </c>
      <c r="AD237" s="701">
        <f t="shared" si="120"/>
        <v>27.621190999210476</v>
      </c>
      <c r="AE237" s="702">
        <f t="shared" si="121"/>
        <v>-9.4305619130254001</v>
      </c>
      <c r="AG237" s="701">
        <f t="shared" si="122"/>
        <v>4.378071102392366</v>
      </c>
      <c r="AH237" s="702">
        <f t="shared" si="123"/>
        <v>-76.356698020787562</v>
      </c>
      <c r="AJ237" s="174">
        <f t="shared" si="124"/>
        <v>0</v>
      </c>
      <c r="AK237" s="174">
        <f t="shared" si="136"/>
        <v>0</v>
      </c>
      <c r="AM237" s="174" t="str">
        <f t="shared" si="128"/>
        <v>0.031616936376984+0.249467917953595i</v>
      </c>
      <c r="AN237" s="174" t="str">
        <f t="shared" si="129"/>
        <v>0.2521307621205i</v>
      </c>
      <c r="AO237" s="174" t="str">
        <f t="shared" si="130"/>
        <v>0.98943863832993-0.12539896405768i</v>
      </c>
      <c r="AP237" s="174" t="str">
        <f t="shared" si="131"/>
        <v>0.161397177270503-0.0415779863255992i</v>
      </c>
      <c r="AQ237" s="174" t="str">
        <f t="shared" si="132"/>
        <v>0.838602822729497+0.0415779863255992i</v>
      </c>
      <c r="AR237" s="174" t="str">
        <f t="shared" si="133"/>
        <v>0.99088308789788-0.0491280524727912i</v>
      </c>
    </row>
    <row r="238" spans="7:44" x14ac:dyDescent="0.2">
      <c r="G238" s="703">
        <v>14125</v>
      </c>
      <c r="H238" s="691">
        <f t="shared" si="125"/>
        <v>14.125</v>
      </c>
      <c r="I238" s="692">
        <f t="shared" si="105"/>
        <v>13.81713605216658</v>
      </c>
      <c r="J238" s="693">
        <f t="shared" si="106"/>
        <v>1.4983590968759377</v>
      </c>
      <c r="K238" s="693">
        <f t="shared" si="107"/>
        <v>1.0000291270989179</v>
      </c>
      <c r="L238" s="694">
        <f t="shared" si="108"/>
        <v>7.6323511378211771E-3</v>
      </c>
      <c r="M238" s="693">
        <f t="shared" si="109"/>
        <v>1.0001624793336064</v>
      </c>
      <c r="N238" s="694">
        <f t="shared" si="110"/>
        <v>-1.8025389707001158E-2</v>
      </c>
      <c r="O238" s="692">
        <f t="shared" si="111"/>
        <v>25559.997819961816</v>
      </c>
      <c r="P238" s="695">
        <f t="shared" si="112"/>
        <v>1.5707572031608767</v>
      </c>
      <c r="Q238" s="704">
        <f t="shared" si="134"/>
        <v>10.696844416861959</v>
      </c>
      <c r="R238" s="705">
        <f t="shared" si="135"/>
        <v>1.4771741042360369</v>
      </c>
      <c r="S238" s="692">
        <f t="shared" si="113"/>
        <v>1.002517331088286</v>
      </c>
      <c r="T238" s="695">
        <f t="shared" si="114"/>
        <v>7.0881049805620031E-2</v>
      </c>
      <c r="U238" s="696">
        <f t="shared" si="126"/>
        <v>0.98936013114960264</v>
      </c>
      <c r="V238" s="697">
        <f t="shared" si="127"/>
        <v>-0.17659817594389057</v>
      </c>
      <c r="W238" s="698">
        <f t="shared" si="115"/>
        <v>6.3766082056315518</v>
      </c>
      <c r="X238" s="699">
        <f t="shared" si="116"/>
        <v>-105.98656156822375</v>
      </c>
      <c r="Y238" s="702">
        <f t="shared" si="117"/>
        <v>74.013438431776251</v>
      </c>
      <c r="AA238" s="174">
        <f t="shared" si="118"/>
        <v>1000000000</v>
      </c>
      <c r="AB238" s="174">
        <f t="shared" si="119"/>
        <v>199515625</v>
      </c>
      <c r="AD238" s="701">
        <f t="shared" si="120"/>
        <v>27.620509217238258</v>
      </c>
      <c r="AE238" s="702">
        <f t="shared" si="121"/>
        <v>-9.4231016142346711</v>
      </c>
      <c r="AG238" s="701">
        <f t="shared" si="122"/>
        <v>4.3298657302762553</v>
      </c>
      <c r="AH238" s="702">
        <f t="shared" si="123"/>
        <v>-76.326799628277982</v>
      </c>
      <c r="AJ238" s="174">
        <f t="shared" si="124"/>
        <v>0</v>
      </c>
      <c r="AK238" s="174">
        <f t="shared" si="136"/>
        <v>0</v>
      </c>
      <c r="AM238" s="174" t="str">
        <f t="shared" si="128"/>
        <v>0.031977335787404+0.250862754451008i</v>
      </c>
      <c r="AN238" s="174" t="str">
        <f t="shared" si="129"/>
        <v>0.25357140675i</v>
      </c>
      <c r="AO238" s="174" t="str">
        <f t="shared" si="130"/>
        <v>0.989317990014298-0.126107813957632i</v>
      </c>
      <c r="AP238" s="174" t="str">
        <f t="shared" si="131"/>
        <v>0.161337110702099-0.041810459075168i</v>
      </c>
      <c r="AQ238" s="174" t="str">
        <f t="shared" si="132"/>
        <v>0.838662889297901+0.041810459075168i</v>
      </c>
      <c r="AR238" s="174" t="str">
        <f t="shared" si="133"/>
        <v>0.99078522646823-0.0493943224293741i</v>
      </c>
    </row>
    <row r="239" spans="7:44" x14ac:dyDescent="0.2">
      <c r="G239" s="703">
        <v>14207.25</v>
      </c>
      <c r="H239" s="691">
        <f t="shared" si="125"/>
        <v>14.20725</v>
      </c>
      <c r="I239" s="692">
        <f t="shared" si="105"/>
        <v>13.897173137373304</v>
      </c>
      <c r="J239" s="693">
        <f t="shared" si="106"/>
        <v>1.4987770047866376</v>
      </c>
      <c r="K239" s="693">
        <f t="shared" si="107"/>
        <v>1.0000294672962402</v>
      </c>
      <c r="L239" s="694">
        <f t="shared" si="108"/>
        <v>7.6767926449939801E-3</v>
      </c>
      <c r="M239" s="693">
        <f t="shared" si="109"/>
        <v>1.0001643769241109</v>
      </c>
      <c r="N239" s="694">
        <f t="shared" si="110"/>
        <v>-1.8130328777555875E-2</v>
      </c>
      <c r="O239" s="692">
        <f t="shared" si="111"/>
        <v>25708.833913234968</v>
      </c>
      <c r="P239" s="695">
        <f t="shared" si="112"/>
        <v>1.5707574296592417</v>
      </c>
      <c r="Q239" s="704">
        <f t="shared" si="134"/>
        <v>10.758589431646358</v>
      </c>
      <c r="R239" s="705">
        <f t="shared" si="135"/>
        <v>1.4777129767447896</v>
      </c>
      <c r="S239" s="692">
        <f t="shared" si="113"/>
        <v>1.0025466959822034</v>
      </c>
      <c r="T239" s="695">
        <f t="shared" si="114"/>
        <v>7.1292397696066018E-2</v>
      </c>
      <c r="U239" s="696">
        <f t="shared" si="126"/>
        <v>0.98924228366534772</v>
      </c>
      <c r="V239" s="697">
        <f t="shared" si="127"/>
        <v>-0.17761604586060029</v>
      </c>
      <c r="W239" s="698">
        <f t="shared" si="115"/>
        <v>6.32473163955326</v>
      </c>
      <c r="X239" s="699">
        <f t="shared" si="116"/>
        <v>-106.0649981881824</v>
      </c>
      <c r="Y239" s="702">
        <f t="shared" si="117"/>
        <v>73.9350018118176</v>
      </c>
      <c r="AA239" s="174">
        <f t="shared" si="118"/>
        <v>1000000000</v>
      </c>
      <c r="AB239" s="174">
        <f t="shared" si="119"/>
        <v>201845952.5625</v>
      </c>
      <c r="AD239" s="701">
        <f t="shared" si="120"/>
        <v>27.619816581679789</v>
      </c>
      <c r="AE239" s="702">
        <f t="shared" si="121"/>
        <v>-9.41580796921372</v>
      </c>
      <c r="AG239" s="701">
        <f t="shared" si="122"/>
        <v>4.2807511598985366</v>
      </c>
      <c r="AH239" s="702">
        <f t="shared" si="123"/>
        <v>-76.295890592482721</v>
      </c>
      <c r="AJ239" s="174">
        <f t="shared" si="124"/>
        <v>0</v>
      </c>
      <c r="AK239" s="174">
        <f t="shared" si="136"/>
        <v>0</v>
      </c>
      <c r="AM239" s="174" t="str">
        <f t="shared" si="128"/>
        <v>0.032348801927202+0.252291812923604i</v>
      </c>
      <c r="AN239" s="174" t="str">
        <f t="shared" si="129"/>
        <v>0.2550479552955i</v>
      </c>
      <c r="AO239" s="174" t="str">
        <f t="shared" si="130"/>
        <v>0.989193630787188-0.126834194336992i</v>
      </c>
      <c r="AP239" s="174" t="str">
        <f t="shared" si="131"/>
        <v>0.1612751996788-0.0420486354872673i</v>
      </c>
      <c r="AQ239" s="174" t="str">
        <f t="shared" si="132"/>
        <v>0.8387248003212+0.0420486354872673i</v>
      </c>
      <c r="AR239" s="174" t="str">
        <f t="shared" si="133"/>
        <v>0.990684394914821-0.0496669789527438i</v>
      </c>
    </row>
    <row r="240" spans="7:44" x14ac:dyDescent="0.2">
      <c r="G240" s="703">
        <v>14289.5</v>
      </c>
      <c r="H240" s="691">
        <f t="shared" si="125"/>
        <v>14.2895</v>
      </c>
      <c r="I240" s="692">
        <f t="shared" si="105"/>
        <v>13.977212621883297</v>
      </c>
      <c r="J240" s="693">
        <f t="shared" si="106"/>
        <v>1.4991901265307075</v>
      </c>
      <c r="K240" s="693">
        <f t="shared" si="107"/>
        <v>1.000029809468667</v>
      </c>
      <c r="L240" s="694">
        <f t="shared" si="108"/>
        <v>7.721234121842147E-3</v>
      </c>
      <c r="M240" s="693">
        <f t="shared" si="109"/>
        <v>1.0001662855285922</v>
      </c>
      <c r="N240" s="694">
        <f t="shared" si="110"/>
        <v>-1.8235267448758436E-2</v>
      </c>
      <c r="O240" s="692">
        <f t="shared" si="111"/>
        <v>25857.670006509426</v>
      </c>
      <c r="P240" s="695">
        <f t="shared" si="112"/>
        <v>1.5707576535501688</v>
      </c>
      <c r="Q240" s="704">
        <f t="shared" si="134"/>
        <v>10.820337534893117</v>
      </c>
      <c r="R240" s="705">
        <f t="shared" si="135"/>
        <v>1.4782456990708477</v>
      </c>
      <c r="S240" s="692">
        <f t="shared" si="113"/>
        <v>1.0025762305041728</v>
      </c>
      <c r="T240" s="695">
        <f t="shared" si="114"/>
        <v>7.1703721420617095E-2</v>
      </c>
      <c r="U240" s="696">
        <f t="shared" si="126"/>
        <v>0.98912379210205204</v>
      </c>
      <c r="V240" s="697">
        <f t="shared" si="127"/>
        <v>-0.17863373657059042</v>
      </c>
      <c r="W240" s="698">
        <f t="shared" si="115"/>
        <v>6.2731420613886666</v>
      </c>
      <c r="X240" s="699">
        <f t="shared" si="116"/>
        <v>-106.14350113757344</v>
      </c>
      <c r="Y240" s="702">
        <f t="shared" si="117"/>
        <v>73.856498862426562</v>
      </c>
      <c r="AA240" s="174">
        <f t="shared" si="118"/>
        <v>1000000000</v>
      </c>
      <c r="AB240" s="174">
        <f t="shared" si="119"/>
        <v>204189810.25</v>
      </c>
      <c r="AD240" s="701">
        <f t="shared" si="120"/>
        <v>27.619129986243696</v>
      </c>
      <c r="AE240" s="702">
        <f t="shared" si="121"/>
        <v>-9.4088651697058427</v>
      </c>
      <c r="AG240" s="701">
        <f t="shared" si="122"/>
        <v>4.2319290956727622</v>
      </c>
      <c r="AH240" s="702">
        <f t="shared" si="123"/>
        <v>-76.264717576184168</v>
      </c>
      <c r="AJ240" s="174">
        <f t="shared" si="124"/>
        <v>0</v>
      </c>
      <c r="AK240" s="174">
        <f t="shared" si="136"/>
        <v>0</v>
      </c>
      <c r="AM240" s="174" t="str">
        <f t="shared" si="128"/>
        <v>0.032722377735508+0.253720321350797i</v>
      </c>
      <c r="AN240" s="174" t="str">
        <f t="shared" si="129"/>
        <v>0.256524503841i</v>
      </c>
      <c r="AO240" s="174" t="str">
        <f t="shared" si="130"/>
        <v>0.989068558955517-0.127560436705065i</v>
      </c>
      <c r="AP240" s="174" t="str">
        <f t="shared" si="131"/>
        <v>0.161212937044082-0.0422867202251328i</v>
      </c>
      <c r="AQ240" s="174" t="str">
        <f t="shared" si="132"/>
        <v>0.838787062955918+0.0422867202251328i</v>
      </c>
      <c r="AR240" s="174" t="str">
        <f t="shared" si="133"/>
        <v>0.990583026411938-0.0499393816948371i</v>
      </c>
    </row>
    <row r="241" spans="7:44" x14ac:dyDescent="0.2">
      <c r="G241" s="703">
        <v>14371.75</v>
      </c>
      <c r="H241" s="691">
        <f t="shared" si="125"/>
        <v>14.37175</v>
      </c>
      <c r="I241" s="692">
        <f t="shared" si="105"/>
        <v>14.057254464712949</v>
      </c>
      <c r="J241" s="693">
        <f t="shared" si="106"/>
        <v>1.499598543723045</v>
      </c>
      <c r="K241" s="693">
        <f t="shared" si="107"/>
        <v>1.0000301536161962</v>
      </c>
      <c r="L241" s="694">
        <f t="shared" si="108"/>
        <v>7.7656755681901612E-3</v>
      </c>
      <c r="M241" s="693">
        <f t="shared" si="109"/>
        <v>1.0001682051469873</v>
      </c>
      <c r="N241" s="694">
        <f t="shared" si="110"/>
        <v>-1.8340205718299932E-2</v>
      </c>
      <c r="O241" s="692">
        <f t="shared" si="111"/>
        <v>26006.506099785158</v>
      </c>
      <c r="P241" s="695">
        <f t="shared" si="112"/>
        <v>1.5707578748784259</v>
      </c>
      <c r="Q241" s="704">
        <f t="shared" si="134"/>
        <v>10.882088674027761</v>
      </c>
      <c r="R241" s="705">
        <f t="shared" si="135"/>
        <v>1.4787723756081093</v>
      </c>
      <c r="S241" s="692">
        <f t="shared" si="113"/>
        <v>1.0026059346392038</v>
      </c>
      <c r="T241" s="695">
        <f t="shared" si="114"/>
        <v>7.2115020842233604E-2</v>
      </c>
      <c r="U241" s="696">
        <f t="shared" si="126"/>
        <v>0.9890046571337352</v>
      </c>
      <c r="V241" s="697">
        <f t="shared" si="127"/>
        <v>-0.17965124712279826</v>
      </c>
      <c r="W241" s="698">
        <f t="shared" si="115"/>
        <v>6.2218360658703711</v>
      </c>
      <c r="X241" s="699">
        <f t="shared" si="116"/>
        <v>-106.22206905135539</v>
      </c>
      <c r="Y241" s="702">
        <f t="shared" si="117"/>
        <v>73.77793094864461</v>
      </c>
      <c r="AA241" s="174">
        <f t="shared" si="118"/>
        <v>1000000000</v>
      </c>
      <c r="AB241" s="174">
        <f t="shared" si="119"/>
        <v>206547198.0625</v>
      </c>
      <c r="AD241" s="701">
        <f t="shared" si="120"/>
        <v>27.618449261149681</v>
      </c>
      <c r="AE241" s="702">
        <f t="shared" si="121"/>
        <v>-9.402267229094468</v>
      </c>
      <c r="AG241" s="701">
        <f t="shared" si="122"/>
        <v>4.1833962943972551</v>
      </c>
      <c r="AH241" s="702">
        <f t="shared" si="123"/>
        <v>-76.233285309941166</v>
      </c>
      <c r="AJ241" s="174">
        <f t="shared" si="124"/>
        <v>0</v>
      </c>
      <c r="AK241" s="174">
        <f t="shared" si="136"/>
        <v>0</v>
      </c>
      <c r="AM241" s="174" t="str">
        <f t="shared" si="128"/>
        <v>0.033098062397855+0.255148276618161i</v>
      </c>
      <c r="AN241" s="174" t="str">
        <f t="shared" si="129"/>
        <v>0.2580010523865i</v>
      </c>
      <c r="AO241" s="174" t="str">
        <f t="shared" si="130"/>
        <v>0.988942774682696-0.128286540274542i</v>
      </c>
      <c r="AP241" s="174" t="str">
        <f t="shared" si="131"/>
        <v>0.161150322933691-0.0425247127696935i</v>
      </c>
      <c r="AQ241" s="174" t="str">
        <f t="shared" si="132"/>
        <v>0.838849677066309+0.0425247127696935i</v>
      </c>
      <c r="AR241" s="174" t="str">
        <f t="shared" si="133"/>
        <v>0.990481121767937-0.0502115293818678i</v>
      </c>
    </row>
    <row r="242" spans="7:44" x14ac:dyDescent="0.2">
      <c r="G242" s="703">
        <v>14454</v>
      </c>
      <c r="H242" s="691">
        <f t="shared" si="125"/>
        <v>14.454000000000001</v>
      </c>
      <c r="I242" s="692">
        <f t="shared" si="105"/>
        <v>14.137298625805618</v>
      </c>
      <c r="J242" s="693">
        <f t="shared" si="106"/>
        <v>1.5000023361365225</v>
      </c>
      <c r="K242" s="693">
        <f t="shared" si="107"/>
        <v>1.0000304997388256</v>
      </c>
      <c r="L242" s="694">
        <f t="shared" si="108"/>
        <v>7.8101169838625068E-3</v>
      </c>
      <c r="M242" s="693">
        <f t="shared" si="109"/>
        <v>1.0001701357792327</v>
      </c>
      <c r="N242" s="694">
        <f t="shared" si="110"/>
        <v>-1.8445143583871518E-2</v>
      </c>
      <c r="O242" s="692">
        <f t="shared" si="111"/>
        <v>26155.342193062155</v>
      </c>
      <c r="P242" s="695">
        <f t="shared" si="112"/>
        <v>1.5707580936877608</v>
      </c>
      <c r="Q242" s="704">
        <f t="shared" si="134"/>
        <v>10.943842797659874</v>
      </c>
      <c r="R242" s="705">
        <f t="shared" si="135"/>
        <v>1.4792931084077603</v>
      </c>
      <c r="S242" s="692">
        <f t="shared" si="113"/>
        <v>1.0026358083722211</v>
      </c>
      <c r="T242" s="695">
        <f t="shared" si="114"/>
        <v>7.2526295823925044E-2</v>
      </c>
      <c r="U242" s="696">
        <f t="shared" si="126"/>
        <v>0.98888487943762737</v>
      </c>
      <c r="V242" s="697">
        <f t="shared" si="127"/>
        <v>-0.18066857656759192</v>
      </c>
      <c r="W242" s="698">
        <f t="shared" si="115"/>
        <v>6.1708103068557776</v>
      </c>
      <c r="X242" s="699">
        <f t="shared" si="116"/>
        <v>-106.30070059320033</v>
      </c>
      <c r="Y242" s="702">
        <f t="shared" si="117"/>
        <v>73.699299406799668</v>
      </c>
      <c r="AA242" s="174">
        <f t="shared" si="118"/>
        <v>1000000000</v>
      </c>
      <c r="AB242" s="174">
        <f t="shared" si="119"/>
        <v>208918116</v>
      </c>
      <c r="AD242" s="701">
        <f t="shared" si="120"/>
        <v>27.617774241402557</v>
      </c>
      <c r="AE242" s="702">
        <f t="shared" si="121"/>
        <v>-9.3960082949349211</v>
      </c>
      <c r="AG242" s="701">
        <f t="shared" si="122"/>
        <v>4.1351495671719736</v>
      </c>
      <c r="AH242" s="702">
        <f t="shared" si="123"/>
        <v>-76.20159841869031</v>
      </c>
      <c r="AJ242" s="174">
        <f t="shared" si="124"/>
        <v>0</v>
      </c>
      <c r="AK242" s="174">
        <f t="shared" si="136"/>
        <v>0</v>
      </c>
      <c r="AM242" s="174" t="str">
        <f t="shared" si="128"/>
        <v>0.033475855095175+0.256575675612473i</v>
      </c>
      <c r="AN242" s="174" t="str">
        <f t="shared" si="129"/>
        <v>0.259477600932i</v>
      </c>
      <c r="AO242" s="174" t="str">
        <f t="shared" si="130"/>
        <v>0.98881627813305-0.129012504258307i</v>
      </c>
      <c r="AP242" s="174" t="str">
        <f t="shared" si="131"/>
        <v>0.161087357484137-0.0427626126020788i</v>
      </c>
      <c r="AQ242" s="174" t="str">
        <f t="shared" si="132"/>
        <v>0.838912642515863+0.0427626126020788i</v>
      </c>
      <c r="AR242" s="174" t="str">
        <f t="shared" si="133"/>
        <v>0.990378681794891-0.0504834207432409i</v>
      </c>
    </row>
    <row r="243" spans="7:44" x14ac:dyDescent="0.2">
      <c r="G243" s="703">
        <v>14622.5</v>
      </c>
      <c r="H243" s="691">
        <f t="shared" si="125"/>
        <v>14.6225</v>
      </c>
      <c r="I243" s="692">
        <f t="shared" si="105"/>
        <v>14.301286748489812</v>
      </c>
      <c r="J243" s="693">
        <f t="shared" si="106"/>
        <v>1.5008154429151483</v>
      </c>
      <c r="K243" s="693">
        <f t="shared" si="107"/>
        <v>1.000031214984558</v>
      </c>
      <c r="L243" s="694">
        <f t="shared" si="108"/>
        <v>7.9011610033274358E-3</v>
      </c>
      <c r="M243" s="693">
        <f t="shared" si="109"/>
        <v>1.0001741253280296</v>
      </c>
      <c r="N243" s="694">
        <f t="shared" si="110"/>
        <v>-1.8660121405026046E-2</v>
      </c>
      <c r="O243" s="692">
        <f t="shared" si="111"/>
        <v>26460.252609080268</v>
      </c>
      <c r="P243" s="695">
        <f t="shared" si="112"/>
        <v>1.5707585342607506</v>
      </c>
      <c r="Q243" s="704">
        <f t="shared" si="134"/>
        <v>11.070363394369322</v>
      </c>
      <c r="R243" s="705">
        <f t="shared" si="135"/>
        <v>1.4803417555447704</v>
      </c>
      <c r="S243" s="692">
        <f t="shared" si="113"/>
        <v>1.0026975382145327</v>
      </c>
      <c r="T243" s="695">
        <f t="shared" si="114"/>
        <v>7.3368770105069578E-2</v>
      </c>
      <c r="U243" s="696">
        <f t="shared" si="126"/>
        <v>0.9886374947749389</v>
      </c>
      <c r="V243" s="697">
        <f t="shared" si="127"/>
        <v>-0.18275214089549913</v>
      </c>
      <c r="W243" s="698">
        <f t="shared" si="115"/>
        <v>6.0671386092644131</v>
      </c>
      <c r="X243" s="699">
        <f t="shared" si="116"/>
        <v>-106.46198091468389</v>
      </c>
      <c r="Y243" s="702">
        <f t="shared" si="117"/>
        <v>73.538019085316108</v>
      </c>
      <c r="AA243" s="174">
        <f t="shared" si="118"/>
        <v>1000000000</v>
      </c>
      <c r="AB243" s="174">
        <f t="shared" si="119"/>
        <v>213817506.25</v>
      </c>
      <c r="AD243" s="701">
        <f t="shared" si="120"/>
        <v>27.616408519734406</v>
      </c>
      <c r="AE243" s="702">
        <f t="shared" si="121"/>
        <v>-9.3842207034030842</v>
      </c>
      <c r="AG243" s="701">
        <f t="shared" si="122"/>
        <v>4.0371899509511673</v>
      </c>
      <c r="AH243" s="702">
        <f t="shared" si="123"/>
        <v>-76.135907446766723</v>
      </c>
      <c r="AJ243" s="174">
        <f t="shared" si="124"/>
        <v>0</v>
      </c>
      <c r="AK243" s="174">
        <f t="shared" si="136"/>
        <v>0</v>
      </c>
      <c r="AM243" s="174" t="str">
        <f t="shared" si="128"/>
        <v>0.034256392804527+0.259498140958807i</v>
      </c>
      <c r="AN243" s="174" t="str">
        <f t="shared" si="129"/>
        <v>0.262502505855i</v>
      </c>
      <c r="AO243" s="174" t="str">
        <f t="shared" si="130"/>
        <v>0.988554909651596-0.13049929825603i</v>
      </c>
      <c r="AP243" s="174" t="str">
        <f t="shared" si="131"/>
        <v>0.160957267865912-0.0432496901598012i</v>
      </c>
      <c r="AQ243" s="174" t="str">
        <f t="shared" si="132"/>
        <v>0.839042732134088+0.0432496901598012i</v>
      </c>
      <c r="AR243" s="174" t="str">
        <f t="shared" si="133"/>
        <v>0.990167151701878-0.0510396203642645i</v>
      </c>
    </row>
    <row r="244" spans="7:44" x14ac:dyDescent="0.2">
      <c r="G244" s="703">
        <v>14706.75</v>
      </c>
      <c r="H244" s="691">
        <f t="shared" si="125"/>
        <v>14.70675</v>
      </c>
      <c r="I244" s="692">
        <f t="shared" si="105"/>
        <v>14.383284294889357</v>
      </c>
      <c r="J244" s="693">
        <f t="shared" si="106"/>
        <v>1.5012150433175218</v>
      </c>
      <c r="K244" s="693">
        <f t="shared" si="107"/>
        <v>1.000031575715898</v>
      </c>
      <c r="L244" s="694">
        <f t="shared" si="108"/>
        <v>7.9466829640336429E-3</v>
      </c>
      <c r="M244" s="693">
        <f t="shared" si="109"/>
        <v>1.0001761374361409</v>
      </c>
      <c r="N244" s="694">
        <f t="shared" si="110"/>
        <v>-1.8767609669984402E-2</v>
      </c>
      <c r="O244" s="692">
        <f t="shared" si="111"/>
        <v>26612.707817091217</v>
      </c>
      <c r="P244" s="695">
        <f t="shared" si="112"/>
        <v>1.5707587507614051</v>
      </c>
      <c r="Q244" s="704">
        <f t="shared" si="134"/>
        <v>11.133628180023742</v>
      </c>
      <c r="R244" s="705">
        <f t="shared" si="135"/>
        <v>1.4808571413487879</v>
      </c>
      <c r="S244" s="692">
        <f t="shared" si="113"/>
        <v>1.0027286699900653</v>
      </c>
      <c r="T244" s="695">
        <f t="shared" si="114"/>
        <v>7.3789968197954595E-2</v>
      </c>
      <c r="U244" s="696">
        <f t="shared" si="126"/>
        <v>0.98851279380749546</v>
      </c>
      <c r="V244" s="697">
        <f t="shared" si="127"/>
        <v>-0.18379363399187687</v>
      </c>
      <c r="W244" s="698">
        <f t="shared" si="115"/>
        <v>6.0157300103321063</v>
      </c>
      <c r="X244" s="699">
        <f t="shared" si="116"/>
        <v>-106.5427157440879</v>
      </c>
      <c r="Y244" s="702">
        <f t="shared" si="117"/>
        <v>73.4572842559121</v>
      </c>
      <c r="AA244" s="174">
        <f t="shared" si="118"/>
        <v>1000000000</v>
      </c>
      <c r="AB244" s="174">
        <f t="shared" si="119"/>
        <v>216288495.5625</v>
      </c>
      <c r="AD244" s="701">
        <f t="shared" si="120"/>
        <v>27.615733971826138</v>
      </c>
      <c r="AE244" s="702">
        <f t="shared" si="121"/>
        <v>-9.3788365496408108</v>
      </c>
      <c r="AG244" s="701">
        <f t="shared" si="122"/>
        <v>3.9886472130481692</v>
      </c>
      <c r="AH244" s="702">
        <f t="shared" si="123"/>
        <v>-76.10268011216769</v>
      </c>
      <c r="AJ244" s="174">
        <f t="shared" si="124"/>
        <v>0</v>
      </c>
      <c r="AK244" s="174">
        <f t="shared" si="136"/>
        <v>0</v>
      </c>
      <c r="AM244" s="174" t="str">
        <f t="shared" si="128"/>
        <v>0.034649975831993+0.260958484895258i</v>
      </c>
      <c r="AN244" s="174" t="str">
        <f t="shared" si="129"/>
        <v>0.2640149583165i</v>
      </c>
      <c r="AO244" s="174" t="str">
        <f t="shared" si="130"/>
        <v>0.988423105112181-0.131242472218013i</v>
      </c>
      <c r="AP244" s="174" t="str">
        <f t="shared" si="131"/>
        <v>0.160891670694668-0.0434930808158763i</v>
      </c>
      <c r="AQ244" s="174" t="str">
        <f t="shared" si="132"/>
        <v>0.839108329305332+0.0434930808158763i</v>
      </c>
      <c r="AR244" s="174" t="str">
        <f t="shared" si="133"/>
        <v>0.990060547625563-0.051317311372821i</v>
      </c>
    </row>
    <row r="245" spans="7:44" x14ac:dyDescent="0.2">
      <c r="G245" s="703">
        <v>14791</v>
      </c>
      <c r="H245" s="691">
        <f t="shared" si="125"/>
        <v>14.791</v>
      </c>
      <c r="I245" s="692">
        <f t="shared" si="105"/>
        <v>14.465284111980083</v>
      </c>
      <c r="J245" s="693">
        <f t="shared" si="106"/>
        <v>1.501610113327311</v>
      </c>
      <c r="K245" s="693">
        <f t="shared" si="107"/>
        <v>1.0000319385195506</v>
      </c>
      <c r="L245" s="694">
        <f t="shared" si="108"/>
        <v>7.9922048918041697E-3</v>
      </c>
      <c r="M245" s="693">
        <f t="shared" si="109"/>
        <v>1.0001781610999674</v>
      </c>
      <c r="N245" s="694">
        <f t="shared" si="110"/>
        <v>-1.8875097501221905E-2</v>
      </c>
      <c r="O245" s="692">
        <f t="shared" si="111"/>
        <v>26765.1630251034</v>
      </c>
      <c r="P245" s="695">
        <f t="shared" si="112"/>
        <v>1.5707589647956703</v>
      </c>
      <c r="Q245" s="704">
        <f t="shared" si="134"/>
        <v>11.196895889600961</v>
      </c>
      <c r="R245" s="705">
        <f t="shared" si="135"/>
        <v>1.4813667029441935</v>
      </c>
      <c r="S245" s="692">
        <f t="shared" si="113"/>
        <v>1.0027599796464548</v>
      </c>
      <c r="T245" s="695">
        <f t="shared" si="114"/>
        <v>7.4211140063014269E-2</v>
      </c>
      <c r="U245" s="696">
        <f t="shared" si="126"/>
        <v>0.98838742140395452</v>
      </c>
      <c r="V245" s="697">
        <f t="shared" si="127"/>
        <v>-0.18483493302365236</v>
      </c>
      <c r="W245" s="698">
        <f t="shared" si="115"/>
        <v>5.9646017544869423</v>
      </c>
      <c r="X245" s="699">
        <f t="shared" si="116"/>
        <v>-106.62351191758641</v>
      </c>
      <c r="Y245" s="702">
        <f t="shared" si="117"/>
        <v>73.376488082413587</v>
      </c>
      <c r="AA245" s="174">
        <f t="shared" si="118"/>
        <v>1000000000</v>
      </c>
      <c r="AB245" s="174">
        <f t="shared" si="119"/>
        <v>218773681</v>
      </c>
      <c r="AD245" s="701">
        <f t="shared" si="120"/>
        <v>27.615064753475597</v>
      </c>
      <c r="AE245" s="702">
        <f t="shared" si="121"/>
        <v>-9.3737844543939879</v>
      </c>
      <c r="AG245" s="701">
        <f t="shared" si="122"/>
        <v>3.9403915662029991</v>
      </c>
      <c r="AH245" s="702">
        <f t="shared" si="123"/>
        <v>-76.069204301313135</v>
      </c>
      <c r="AJ245" s="174">
        <f t="shared" si="124"/>
        <v>0</v>
      </c>
      <c r="AK245" s="174">
        <f t="shared" si="136"/>
        <v>0</v>
      </c>
      <c r="AM245" s="174" t="str">
        <f t="shared" si="128"/>
        <v>0.035045767109235+0.26241823188604i</v>
      </c>
      <c r="AN245" s="174" t="str">
        <f t="shared" si="129"/>
        <v>0.265527410778i</v>
      </c>
      <c r="AO245" s="174" t="str">
        <f t="shared" si="130"/>
        <v>0.988290553947519-0.13198549636194i</v>
      </c>
      <c r="AP245" s="174" t="str">
        <f t="shared" si="131"/>
        <v>0.160825705481794-0.0437363719810067i</v>
      </c>
      <c r="AQ245" s="174" t="str">
        <f t="shared" si="132"/>
        <v>0.839174294518206+0.0437363719810067i</v>
      </c>
      <c r="AR245" s="174" t="str">
        <f t="shared" si="133"/>
        <v>0.989953385379828-0.0515947280435789i</v>
      </c>
    </row>
    <row r="246" spans="7:44" x14ac:dyDescent="0.2">
      <c r="G246" s="703">
        <v>14877.25</v>
      </c>
      <c r="H246" s="691">
        <f t="shared" si="125"/>
        <v>14.87725</v>
      </c>
      <c r="I246" s="692">
        <f t="shared" si="105"/>
        <v>14.549232824366653</v>
      </c>
      <c r="J246" s="693">
        <f t="shared" si="106"/>
        <v>1.5020099487145733</v>
      </c>
      <c r="K246" s="693">
        <f t="shared" si="107"/>
        <v>1.000032312082439</v>
      </c>
      <c r="L246" s="694">
        <f t="shared" si="108"/>
        <v>8.0388074244949152E-3</v>
      </c>
      <c r="M246" s="693">
        <f t="shared" si="109"/>
        <v>1.0001802447736694</v>
      </c>
      <c r="N246" s="694">
        <f t="shared" si="110"/>
        <v>-1.8985136520492468E-2</v>
      </c>
      <c r="O246" s="692">
        <f t="shared" si="111"/>
        <v>26921.237347847098</v>
      </c>
      <c r="P246" s="695">
        <f t="shared" si="112"/>
        <v>1.5707591813997088</v>
      </c>
      <c r="Q246" s="704">
        <f t="shared" si="134"/>
        <v>11.261668480673581</v>
      </c>
      <c r="R246" s="705">
        <f t="shared" si="135"/>
        <v>1.4818824299318134</v>
      </c>
      <c r="S246" s="692">
        <f t="shared" si="113"/>
        <v>1.0027922168063996</v>
      </c>
      <c r="T246" s="695">
        <f t="shared" si="114"/>
        <v>7.4642282750660066E-2</v>
      </c>
      <c r="U246" s="696">
        <f t="shared" si="126"/>
        <v>0.98825837804517402</v>
      </c>
      <c r="V246" s="697">
        <f t="shared" si="127"/>
        <v>-0.18590074923340894</v>
      </c>
      <c r="W246" s="698">
        <f t="shared" si="115"/>
        <v>5.9125467363297819</v>
      </c>
      <c r="X246" s="699">
        <f t="shared" si="116"/>
        <v>-106.70628829847062</v>
      </c>
      <c r="Y246" s="702">
        <f t="shared" si="117"/>
        <v>73.293711701529375</v>
      </c>
      <c r="AA246" s="174">
        <f t="shared" si="118"/>
        <v>1000000000</v>
      </c>
      <c r="AB246" s="174">
        <f t="shared" si="119"/>
        <v>221332567.5625</v>
      </c>
      <c r="AD246" s="701">
        <f t="shared" si="120"/>
        <v>27.614385009016193</v>
      </c>
      <c r="AE246" s="702">
        <f t="shared" si="121"/>
        <v>-9.3689505414841072</v>
      </c>
      <c r="AG246" s="701">
        <f t="shared" si="122"/>
        <v>3.8912844912382609</v>
      </c>
      <c r="AH246" s="702">
        <f t="shared" si="123"/>
        <v>-76.034681053856275</v>
      </c>
      <c r="AJ246" s="174">
        <f t="shared" si="124"/>
        <v>0</v>
      </c>
      <c r="AK246" s="174">
        <f t="shared" si="136"/>
        <v>0</v>
      </c>
      <c r="AM246" s="174" t="str">
        <f t="shared" si="128"/>
        <v>0.0354532405838101+0.263912009767888i</v>
      </c>
      <c r="AN246" s="174" t="str">
        <f t="shared" si="129"/>
        <v>0.2670757671555i</v>
      </c>
      <c r="AO246" s="174" t="str">
        <f t="shared" si="130"/>
        <v>0.988154082935686-0.13274600298412i</v>
      </c>
      <c r="AP246" s="174" t="str">
        <f t="shared" si="131"/>
        <v>0.160757793236032-0.0439853349613147i</v>
      </c>
      <c r="AQ246" s="174" t="str">
        <f t="shared" si="132"/>
        <v>0.839242206763968+0.0439853349613147i</v>
      </c>
      <c r="AR246" s="174" t="str">
        <f t="shared" si="133"/>
        <v>0.989843101953303-0.0518784446821891i</v>
      </c>
    </row>
    <row r="247" spans="7:44" x14ac:dyDescent="0.2">
      <c r="G247" s="703">
        <v>14963.5</v>
      </c>
      <c r="H247" s="691">
        <f t="shared" si="125"/>
        <v>14.9635</v>
      </c>
      <c r="I247" s="692">
        <f t="shared" si="105"/>
        <v>14.633183836027174</v>
      </c>
      <c r="J247" s="693">
        <f t="shared" si="106"/>
        <v>1.5024051964293608</v>
      </c>
      <c r="K247" s="693">
        <f t="shared" si="107"/>
        <v>1.0000326878171919</v>
      </c>
      <c r="L247" s="694">
        <f t="shared" si="108"/>
        <v>8.0854099222676355E-3</v>
      </c>
      <c r="M247" s="693">
        <f t="shared" si="109"/>
        <v>1.000182340558089</v>
      </c>
      <c r="N247" s="694">
        <f t="shared" si="110"/>
        <v>-1.9095175079943402E-2</v>
      </c>
      <c r="O247" s="692">
        <f t="shared" si="111"/>
        <v>27077.311670592047</v>
      </c>
      <c r="P247" s="695">
        <f t="shared" si="112"/>
        <v>1.5707593955067247</v>
      </c>
      <c r="Q247" s="704">
        <f t="shared" si="134"/>
        <v>11.326444032801778</v>
      </c>
      <c r="R247" s="705">
        <f t="shared" si="135"/>
        <v>1.4823922582031837</v>
      </c>
      <c r="S247" s="692">
        <f t="shared" si="113"/>
        <v>1.0028246403573855</v>
      </c>
      <c r="T247" s="695">
        <f t="shared" si="114"/>
        <v>7.5073397638834929E-2</v>
      </c>
      <c r="U247" s="696">
        <f t="shared" si="126"/>
        <v>0.98812863257832872</v>
      </c>
      <c r="V247" s="697">
        <f t="shared" si="127"/>
        <v>-0.18696635990944749</v>
      </c>
      <c r="W247" s="698">
        <f t="shared" si="115"/>
        <v>5.8607786026347082</v>
      </c>
      <c r="X247" s="699">
        <f t="shared" si="116"/>
        <v>-106.78912626020904</v>
      </c>
      <c r="Y247" s="702">
        <f t="shared" si="117"/>
        <v>73.210873739790955</v>
      </c>
      <c r="AA247" s="174">
        <f t="shared" si="118"/>
        <v>1000000000</v>
      </c>
      <c r="AB247" s="174">
        <f t="shared" si="119"/>
        <v>223906332.25</v>
      </c>
      <c r="AD247" s="701">
        <f t="shared" si="120"/>
        <v>27.613710528824011</v>
      </c>
      <c r="AE247" s="702">
        <f t="shared" si="121"/>
        <v>-9.3644528642590483</v>
      </c>
      <c r="AG247" s="701">
        <f t="shared" si="122"/>
        <v>3.8424716760562463</v>
      </c>
      <c r="AH247" s="702">
        <f t="shared" si="123"/>
        <v>-75.99990670399805</v>
      </c>
      <c r="AJ247" s="174">
        <f t="shared" si="124"/>
        <v>0</v>
      </c>
      <c r="AK247" s="174">
        <f t="shared" si="136"/>
        <v>0</v>
      </c>
      <c r="AM247" s="174" t="str">
        <f t="shared" si="128"/>
        <v>0.03586302646953+0.265405154945239i</v>
      </c>
      <c r="AN247" s="174" t="str">
        <f t="shared" si="129"/>
        <v>0.268624123533i</v>
      </c>
      <c r="AO247" s="174" t="str">
        <f t="shared" si="130"/>
        <v>0.988016829816234-0.133506350799221i</v>
      </c>
      <c r="AP247" s="174" t="str">
        <f t="shared" si="131"/>
        <v>0.160689495588412-0.0442341924908732i</v>
      </c>
      <c r="AQ247" s="174" t="str">
        <f t="shared" si="132"/>
        <v>0.839310504411588+0.0442341924908732i</v>
      </c>
      <c r="AR247" s="174" t="str">
        <f t="shared" si="133"/>
        <v>0.989732235440265-0.0521618709485586i</v>
      </c>
    </row>
    <row r="248" spans="7:44" x14ac:dyDescent="0.2">
      <c r="G248" s="703">
        <v>15049.75</v>
      </c>
      <c r="H248" s="691">
        <f t="shared" si="125"/>
        <v>15.04975</v>
      </c>
      <c r="I248" s="692">
        <f t="shared" si="105"/>
        <v>14.717137107614374</v>
      </c>
      <c r="J248" s="693">
        <f t="shared" si="106"/>
        <v>1.5027959348576501</v>
      </c>
      <c r="K248" s="693">
        <f t="shared" si="107"/>
        <v>1.0000330657238068</v>
      </c>
      <c r="L248" s="694">
        <f t="shared" si="108"/>
        <v>8.1320123849199458E-3</v>
      </c>
      <c r="M248" s="693">
        <f t="shared" si="109"/>
        <v>1.0001844484531501</v>
      </c>
      <c r="N248" s="694">
        <f t="shared" si="110"/>
        <v>-1.9205213176912803E-2</v>
      </c>
      <c r="O248" s="692">
        <f t="shared" si="111"/>
        <v>27233.385993338219</v>
      </c>
      <c r="P248" s="695">
        <f t="shared" si="112"/>
        <v>1.5707596071596492</v>
      </c>
      <c r="Q248" s="704">
        <f t="shared" si="134"/>
        <v>11.39122249547192</v>
      </c>
      <c r="R248" s="705">
        <f t="shared" si="135"/>
        <v>1.4828962881236689</v>
      </c>
      <c r="S248" s="692">
        <f t="shared" si="113"/>
        <v>1.0028572502813338</v>
      </c>
      <c r="T248" s="695">
        <f t="shared" si="114"/>
        <v>7.5504484569988983E-2</v>
      </c>
      <c r="U248" s="696">
        <f t="shared" si="126"/>
        <v>0.98799818581072762</v>
      </c>
      <c r="V248" s="697">
        <f t="shared" si="127"/>
        <v>-0.18803176396884749</v>
      </c>
      <c r="W248" s="698">
        <f t="shared" si="115"/>
        <v>5.8092939403783941</v>
      </c>
      <c r="X248" s="699">
        <f t="shared" si="116"/>
        <v>-106.87202447472072</v>
      </c>
      <c r="Y248" s="702">
        <f t="shared" si="117"/>
        <v>73.127975525279282</v>
      </c>
      <c r="AA248" s="174">
        <f t="shared" si="118"/>
        <v>1000000000</v>
      </c>
      <c r="AB248" s="174">
        <f t="shared" si="119"/>
        <v>226494975.0625</v>
      </c>
      <c r="AD248" s="701">
        <f t="shared" si="120"/>
        <v>27.613041157196122</v>
      </c>
      <c r="AE248" s="702">
        <f t="shared" si="121"/>
        <v>-9.3602856656398412</v>
      </c>
      <c r="AG248" s="701">
        <f t="shared" si="122"/>
        <v>3.7939498540820167</v>
      </c>
      <c r="AH248" s="702">
        <f t="shared" si="123"/>
        <v>-75.964885804829962</v>
      </c>
      <c r="AJ248" s="174">
        <f t="shared" si="124"/>
        <v>0</v>
      </c>
      <c r="AK248" s="174">
        <f t="shared" si="136"/>
        <v>0</v>
      </c>
      <c r="AM248" s="174" t="str">
        <f t="shared" si="128"/>
        <v>0.036275123783973+0.266897663838415i</v>
      </c>
      <c r="AN248" s="174" t="str">
        <f t="shared" si="129"/>
        <v>0.2701724799105i</v>
      </c>
      <c r="AO248" s="174" t="str">
        <f t="shared" si="130"/>
        <v>0.987878794786316-0.134266538901334i</v>
      </c>
      <c r="AP248" s="174" t="str">
        <f t="shared" si="131"/>
        <v>0.160620812702671-0.0444829439730692i</v>
      </c>
      <c r="AQ248" s="174" t="str">
        <f t="shared" si="132"/>
        <v>0.839379187297329+0.0444829439730692i</v>
      </c>
      <c r="AR248" s="174" t="str">
        <f t="shared" si="133"/>
        <v>0.989620786807389-0.0524450054043862i</v>
      </c>
    </row>
    <row r="249" spans="7:44" x14ac:dyDescent="0.2">
      <c r="G249" s="703">
        <v>15136</v>
      </c>
      <c r="H249" s="691">
        <f t="shared" si="125"/>
        <v>15.135999999999999</v>
      </c>
      <c r="I249" s="692">
        <f t="shared" si="105"/>
        <v>14.801092600672664</v>
      </c>
      <c r="J249" s="693">
        <f t="shared" si="106"/>
        <v>1.5031822406124977</v>
      </c>
      <c r="K249" s="693">
        <f t="shared" si="107"/>
        <v>1.0000334458022817</v>
      </c>
      <c r="L249" s="694">
        <f t="shared" si="108"/>
        <v>8.1786148122494663E-3</v>
      </c>
      <c r="M249" s="693">
        <f t="shared" si="109"/>
        <v>1.0001865684587765</v>
      </c>
      <c r="N249" s="694">
        <f t="shared" si="110"/>
        <v>-1.9315250808738839E-2</v>
      </c>
      <c r="O249" s="692">
        <f t="shared" si="111"/>
        <v>27389.460316085599</v>
      </c>
      <c r="P249" s="695">
        <f t="shared" si="112"/>
        <v>1.5707598164004353</v>
      </c>
      <c r="Q249" s="704">
        <f t="shared" si="134"/>
        <v>11.456003819310657</v>
      </c>
      <c r="R249" s="705">
        <f t="shared" si="135"/>
        <v>1.4833946178003905</v>
      </c>
      <c r="S249" s="692">
        <f t="shared" si="113"/>
        <v>1.0028900465600639</v>
      </c>
      <c r="T249" s="695">
        <f t="shared" si="114"/>
        <v>7.5935543386634358E-2</v>
      </c>
      <c r="U249" s="696">
        <f t="shared" si="126"/>
        <v>0.98786703855349567</v>
      </c>
      <c r="V249" s="697">
        <f t="shared" si="127"/>
        <v>-0.18909696033047993</v>
      </c>
      <c r="W249" s="698">
        <f t="shared" si="115"/>
        <v>5.7580893958376578</v>
      </c>
      <c r="X249" s="699">
        <f t="shared" si="116"/>
        <v>-106.95498164178166</v>
      </c>
      <c r="Y249" s="702">
        <f t="shared" si="117"/>
        <v>73.045018358218343</v>
      </c>
      <c r="AA249" s="174">
        <f t="shared" si="118"/>
        <v>1000000000</v>
      </c>
      <c r="AB249" s="174">
        <f t="shared" si="119"/>
        <v>229098496</v>
      </c>
      <c r="AD249" s="701">
        <f t="shared" si="120"/>
        <v>27.612376742829756</v>
      </c>
      <c r="AE249" s="702">
        <f t="shared" si="121"/>
        <v>-9.3564433178828121</v>
      </c>
      <c r="AG249" s="701">
        <f t="shared" si="122"/>
        <v>3.7457158135948934</v>
      </c>
      <c r="AH249" s="702">
        <f t="shared" si="123"/>
        <v>-75.929622807760026</v>
      </c>
      <c r="AJ249" s="174">
        <f t="shared" si="124"/>
        <v>0</v>
      </c>
      <c r="AK249" s="174">
        <f t="shared" si="136"/>
        <v>0</v>
      </c>
      <c r="AM249" s="174" t="str">
        <f t="shared" si="128"/>
        <v>0.036689531539173+0.268389532869266i</v>
      </c>
      <c r="AN249" s="174" t="str">
        <f t="shared" si="129"/>
        <v>0.271720836288i</v>
      </c>
      <c r="AO249" s="174" t="str">
        <f t="shared" si="130"/>
        <v>0.987739978044219-0.135026566384793i</v>
      </c>
      <c r="AP249" s="174" t="str">
        <f t="shared" si="131"/>
        <v>0.160551744743471-0.0447315888115443i</v>
      </c>
      <c r="AQ249" s="174" t="str">
        <f t="shared" si="132"/>
        <v>0.839448255256529+0.0447315888115443i</v>
      </c>
      <c r="AR249" s="174" t="str">
        <f t="shared" si="133"/>
        <v>0.989508757025704-0.0527278466153579i</v>
      </c>
    </row>
    <row r="250" spans="7:44" x14ac:dyDescent="0.2">
      <c r="G250" s="703">
        <v>15224</v>
      </c>
      <c r="H250" s="691">
        <f t="shared" si="125"/>
        <v>15.224</v>
      </c>
      <c r="I250" s="692">
        <f t="shared" si="105"/>
        <v>14.886753789057693</v>
      </c>
      <c r="J250" s="693">
        <f t="shared" si="106"/>
        <v>1.503571893659547</v>
      </c>
      <c r="K250" s="693">
        <f t="shared" si="107"/>
        <v>1.000033835830898</v>
      </c>
      <c r="L250" s="694">
        <f t="shared" si="108"/>
        <v>8.2261627594604324E-3</v>
      </c>
      <c r="M250" s="693">
        <f t="shared" si="109"/>
        <v>1.0001887439605699</v>
      </c>
      <c r="N250" s="694">
        <f t="shared" si="110"/>
        <v>-1.9427520606009611E-2</v>
      </c>
      <c r="O250" s="692">
        <f t="shared" si="111"/>
        <v>27548.701364223278</v>
      </c>
      <c r="P250" s="695">
        <f t="shared" si="112"/>
        <v>1.5707600274431777</v>
      </c>
      <c r="Q250" s="704">
        <f t="shared" si="134"/>
        <v>11.522102445583462</v>
      </c>
      <c r="R250" s="705">
        <f t="shared" si="135"/>
        <v>1.4838972831191877</v>
      </c>
      <c r="S250" s="692">
        <f t="shared" si="113"/>
        <v>1.0029237003163749</v>
      </c>
      <c r="T250" s="695">
        <f t="shared" si="114"/>
        <v>7.6375319184896262E-2</v>
      </c>
      <c r="U250" s="696">
        <f t="shared" si="126"/>
        <v>0.98773250922993261</v>
      </c>
      <c r="V250" s="697">
        <f t="shared" si="127"/>
        <v>-0.19018355419025662</v>
      </c>
      <c r="W250" s="698">
        <f t="shared" si="115"/>
        <v>5.7061311997574453</v>
      </c>
      <c r="X250" s="699">
        <f t="shared" si="116"/>
        <v>-107.03968143576571</v>
      </c>
      <c r="Y250" s="702">
        <f t="shared" si="117"/>
        <v>72.960318564234285</v>
      </c>
      <c r="AA250" s="174">
        <f t="shared" si="118"/>
        <v>1000000000</v>
      </c>
      <c r="AB250" s="174">
        <f t="shared" si="119"/>
        <v>231770176</v>
      </c>
      <c r="AD250" s="701">
        <f t="shared" si="120"/>
        <v>27.611703804187968</v>
      </c>
      <c r="AE250" s="702">
        <f t="shared" si="121"/>
        <v>-9.3528521056348612</v>
      </c>
      <c r="AG250" s="701">
        <f t="shared" si="122"/>
        <v>3.6967964341213011</v>
      </c>
      <c r="AH250" s="702">
        <f t="shared" si="123"/>
        <v>-75.893399329429641</v>
      </c>
      <c r="AJ250" s="174">
        <f t="shared" si="124"/>
        <v>0</v>
      </c>
      <c r="AK250" s="174">
        <f t="shared" si="136"/>
        <v>0</v>
      </c>
      <c r="AM250" s="174" t="str">
        <f t="shared" si="128"/>
        <v>0.037114727770866+0.269911008527305i</v>
      </c>
      <c r="AN250" s="174" t="str">
        <f t="shared" si="129"/>
        <v>0.273300608592i</v>
      </c>
      <c r="AO250" s="174" t="str">
        <f t="shared" si="130"/>
        <v>0.987597539273119-0.135801848236178i</v>
      </c>
      <c r="AP250" s="174" t="str">
        <f t="shared" si="131"/>
        <v>0.160480878704856-0.0449851680878842i</v>
      </c>
      <c r="AQ250" s="174" t="str">
        <f t="shared" si="132"/>
        <v>0.839519121295144+0.0449851680878842i</v>
      </c>
      <c r="AR250" s="174" t="str">
        <f t="shared" si="133"/>
        <v>0.989393856232479-0.0530161229193618i</v>
      </c>
    </row>
    <row r="251" spans="7:44" x14ac:dyDescent="0.2">
      <c r="G251" s="703">
        <v>15312</v>
      </c>
      <c r="H251" s="691">
        <f t="shared" si="125"/>
        <v>15.311999999999999</v>
      </c>
      <c r="I251" s="692">
        <f t="shared" si="105"/>
        <v>14.972417211827898</v>
      </c>
      <c r="J251" s="693">
        <f t="shared" si="106"/>
        <v>1.5039570880304087</v>
      </c>
      <c r="K251" s="693">
        <f t="shared" si="107"/>
        <v>1.000034228120396</v>
      </c>
      <c r="L251" s="694">
        <f t="shared" si="108"/>
        <v>8.2737106694750519E-3</v>
      </c>
      <c r="M251" s="693">
        <f t="shared" si="109"/>
        <v>1.0001909320691951</v>
      </c>
      <c r="N251" s="694">
        <f t="shared" si="110"/>
        <v>-1.9539789913472248E-2</v>
      </c>
      <c r="O251" s="692">
        <f t="shared" si="111"/>
        <v>27707.942412362168</v>
      </c>
      <c r="P251" s="695">
        <f t="shared" si="112"/>
        <v>1.5707602360601414</v>
      </c>
      <c r="Q251" s="704">
        <f t="shared" si="134"/>
        <v>11.588203949961315</v>
      </c>
      <c r="R251" s="705">
        <f t="shared" si="135"/>
        <v>1.4843942139491368</v>
      </c>
      <c r="S251" s="692">
        <f t="shared" si="113"/>
        <v>1.0029575480278514</v>
      </c>
      <c r="T251" s="695">
        <f t="shared" si="114"/>
        <v>7.6815065385181805E-2</v>
      </c>
      <c r="U251" s="696">
        <f t="shared" si="126"/>
        <v>0.98759725242059604</v>
      </c>
      <c r="V251" s="697">
        <f t="shared" si="127"/>
        <v>-0.19126992957048872</v>
      </c>
      <c r="W251" s="698">
        <f t="shared" si="115"/>
        <v>5.6544577333389334</v>
      </c>
      <c r="X251" s="699">
        <f t="shared" si="116"/>
        <v>-107.12443994971613</v>
      </c>
      <c r="Y251" s="702">
        <f t="shared" si="117"/>
        <v>72.875560050283866</v>
      </c>
      <c r="AA251" s="174">
        <f t="shared" si="118"/>
        <v>1000000000</v>
      </c>
      <c r="AB251" s="174">
        <f t="shared" si="119"/>
        <v>234457344</v>
      </c>
      <c r="AD251" s="701">
        <f t="shared" si="120"/>
        <v>27.611035721173558</v>
      </c>
      <c r="AE251" s="702">
        <f t="shared" si="121"/>
        <v>-9.3495876205699471</v>
      </c>
      <c r="AG251" s="701">
        <f t="shared" si="122"/>
        <v>3.6481700473654319</v>
      </c>
      <c r="AH251" s="702">
        <f t="shared" si="123"/>
        <v>-75.856932879794286</v>
      </c>
      <c r="AJ251" s="174">
        <f t="shared" si="124"/>
        <v>0</v>
      </c>
      <c r="AK251" s="174">
        <f t="shared" si="136"/>
        <v>0</v>
      </c>
      <c r="AM251" s="174" t="str">
        <f t="shared" si="128"/>
        <v>0.037542327056088+0.271431810573834i</v>
      </c>
      <c r="AN251" s="174" t="str">
        <f t="shared" si="129"/>
        <v>0.274880380896i</v>
      </c>
      <c r="AO251" s="174" t="str">
        <f t="shared" si="130"/>
        <v>0.98745428716693-0.136576960981046i</v>
      </c>
      <c r="AP251" s="174" t="str">
        <f t="shared" si="131"/>
        <v>0.160409612157319-0.045238635095639i</v>
      </c>
      <c r="AQ251" s="174" t="str">
        <f t="shared" si="132"/>
        <v>0.839590387842681+0.045238635095639i</v>
      </c>
      <c r="AR251" s="174" t="str">
        <f t="shared" si="133"/>
        <v>0.989278352524266-0.053304090954226i</v>
      </c>
    </row>
    <row r="252" spans="7:44" x14ac:dyDescent="0.2">
      <c r="G252" s="703">
        <v>15400</v>
      </c>
      <c r="H252" s="691">
        <f t="shared" si="125"/>
        <v>15.4</v>
      </c>
      <c r="I252" s="692">
        <f t="shared" si="105"/>
        <v>15.058082830849921</v>
      </c>
      <c r="J252" s="693">
        <f t="shared" si="106"/>
        <v>1.5043378997061816</v>
      </c>
      <c r="K252" s="693">
        <f t="shared" si="107"/>
        <v>1.0000346226707737</v>
      </c>
      <c r="L252" s="694">
        <f t="shared" si="108"/>
        <v>8.3212585420783733E-3</v>
      </c>
      <c r="M252" s="693">
        <f t="shared" si="109"/>
        <v>1.0001931327845688</v>
      </c>
      <c r="N252" s="694">
        <f t="shared" si="110"/>
        <v>-1.9652058728299792E-2</v>
      </c>
      <c r="O252" s="692">
        <f t="shared" si="111"/>
        <v>27867.183460502256</v>
      </c>
      <c r="P252" s="695">
        <f t="shared" si="112"/>
        <v>1.5707604422929113</v>
      </c>
      <c r="Q252" s="704">
        <f t="shared" si="134"/>
        <v>11.654308283471664</v>
      </c>
      <c r="R252" s="705">
        <f t="shared" si="135"/>
        <v>1.4848855076223828</v>
      </c>
      <c r="S252" s="692">
        <f t="shared" si="113"/>
        <v>1.0029915896748576</v>
      </c>
      <c r="T252" s="695">
        <f t="shared" si="114"/>
        <v>7.725478182042278E-2</v>
      </c>
      <c r="U252" s="696">
        <f t="shared" si="126"/>
        <v>0.98746126899915232</v>
      </c>
      <c r="V252" s="697">
        <f t="shared" si="127"/>
        <v>-0.19235608532874296</v>
      </c>
      <c r="W252" s="698">
        <f t="shared" si="115"/>
        <v>5.6030656167200341</v>
      </c>
      <c r="X252" s="699">
        <f t="shared" si="116"/>
        <v>-107.20925588751214</v>
      </c>
      <c r="Y252" s="702">
        <f t="shared" si="117"/>
        <v>72.790744112487857</v>
      </c>
      <c r="AA252" s="174">
        <f t="shared" si="118"/>
        <v>1000000000</v>
      </c>
      <c r="AB252" s="174">
        <f t="shared" si="119"/>
        <v>237160000</v>
      </c>
      <c r="AD252" s="701">
        <f t="shared" si="120"/>
        <v>27.610372346314279</v>
      </c>
      <c r="AE252" s="702">
        <f t="shared" si="121"/>
        <v>-9.3466442787772728</v>
      </c>
      <c r="AG252" s="701">
        <f t="shared" si="122"/>
        <v>3.5998334109137269</v>
      </c>
      <c r="AH252" s="702">
        <f t="shared" si="123"/>
        <v>-75.820227877557187</v>
      </c>
      <c r="AJ252" s="174">
        <f t="shared" si="124"/>
        <v>0</v>
      </c>
      <c r="AK252" s="174">
        <f t="shared" si="136"/>
        <v>0</v>
      </c>
      <c r="AM252" s="174" t="str">
        <f t="shared" si="128"/>
        <v>0.037972328327688+0.272951935213419i</v>
      </c>
      <c r="AN252" s="174" t="str">
        <f t="shared" si="129"/>
        <v>0.2764601532i</v>
      </c>
      <c r="AO252" s="174" t="str">
        <f t="shared" si="130"/>
        <v>0.987310221939857-0.13735190365831i</v>
      </c>
      <c r="AP252" s="174" t="str">
        <f t="shared" si="131"/>
        <v>0.160337945278719-0.0454919892022365i</v>
      </c>
      <c r="AQ252" s="174" t="str">
        <f t="shared" si="132"/>
        <v>0.839662054721281+0.0454919892022365i</v>
      </c>
      <c r="AR252" s="174" t="str">
        <f t="shared" si="133"/>
        <v>0.989162246946281-0.0535917492094808i</v>
      </c>
    </row>
    <row r="253" spans="7:44" x14ac:dyDescent="0.2">
      <c r="G253" s="703">
        <v>15488</v>
      </c>
      <c r="H253" s="691">
        <f t="shared" si="125"/>
        <v>15.488</v>
      </c>
      <c r="I253" s="692">
        <f t="shared" si="105"/>
        <v>15.143750608852297</v>
      </c>
      <c r="J253" s="693">
        <f t="shared" si="106"/>
        <v>1.5047144029538229</v>
      </c>
      <c r="K253" s="693">
        <f t="shared" si="107"/>
        <v>1.0000350194820278</v>
      </c>
      <c r="L253" s="694">
        <f t="shared" si="108"/>
        <v>8.3688063770554523E-3</v>
      </c>
      <c r="M253" s="693">
        <f t="shared" si="109"/>
        <v>1.000195346106608</v>
      </c>
      <c r="N253" s="694">
        <f t="shared" si="110"/>
        <v>-1.976432704766538E-2</v>
      </c>
      <c r="O253" s="692">
        <f t="shared" si="111"/>
        <v>28026.424508643508</v>
      </c>
      <c r="P253" s="695">
        <f t="shared" si="112"/>
        <v>1.5707606461821269</v>
      </c>
      <c r="Q253" s="704">
        <f t="shared" si="134"/>
        <v>11.720415398244727</v>
      </c>
      <c r="R253" s="705">
        <f t="shared" si="135"/>
        <v>1.4853712592861519</v>
      </c>
      <c r="S253" s="692">
        <f t="shared" si="113"/>
        <v>1.0030258252376469</v>
      </c>
      <c r="T253" s="695">
        <f t="shared" si="114"/>
        <v>7.7694468323619675E-2</v>
      </c>
      <c r="U253" s="696">
        <f t="shared" si="126"/>
        <v>0.98732455984331313</v>
      </c>
      <c r="V253" s="697">
        <f t="shared" si="127"/>
        <v>-0.19344202032458041</v>
      </c>
      <c r="W253" s="698">
        <f t="shared" si="115"/>
        <v>5.5519515285739498</v>
      </c>
      <c r="X253" s="699">
        <f t="shared" si="116"/>
        <v>-107.29412798007064</v>
      </c>
      <c r="Y253" s="702">
        <f t="shared" si="117"/>
        <v>72.705872019929359</v>
      </c>
      <c r="AA253" s="174">
        <f t="shared" si="118"/>
        <v>1000000000</v>
      </c>
      <c r="AB253" s="174">
        <f t="shared" si="119"/>
        <v>239878144</v>
      </c>
      <c r="AD253" s="701">
        <f t="shared" si="120"/>
        <v>27.609713536296326</v>
      </c>
      <c r="AE253" s="702">
        <f t="shared" si="121"/>
        <v>-9.3440166214824245</v>
      </c>
      <c r="AG253" s="701">
        <f t="shared" si="122"/>
        <v>3.5517833366809946</v>
      </c>
      <c r="AH253" s="702">
        <f t="shared" si="123"/>
        <v>-75.783288643094266</v>
      </c>
      <c r="AJ253" s="174">
        <f t="shared" si="124"/>
        <v>0</v>
      </c>
      <c r="AK253" s="174">
        <f t="shared" si="136"/>
        <v>0</v>
      </c>
      <c r="AM253" s="174" t="str">
        <f t="shared" si="128"/>
        <v>0.038404730512521+0.274471378652314i</v>
      </c>
      <c r="AN253" s="174" t="str">
        <f t="shared" si="129"/>
        <v>0.278039925504i</v>
      </c>
      <c r="AO253" s="174" t="str">
        <f t="shared" si="130"/>
        <v>0.987165343807306-0.138126675307171i</v>
      </c>
      <c r="AP253" s="174" t="str">
        <f t="shared" si="131"/>
        <v>0.160265878247913-0.0457452297753857i</v>
      </c>
      <c r="AQ253" s="174" t="str">
        <f t="shared" si="132"/>
        <v>0.839734121752087+0.0457452297753857i</v>
      </c>
      <c r="AR253" s="174" t="str">
        <f t="shared" si="133"/>
        <v>0.989045540548365-0.0538790961790437i</v>
      </c>
    </row>
    <row r="254" spans="7:44" x14ac:dyDescent="0.2">
      <c r="G254" s="703">
        <v>15578.25</v>
      </c>
      <c r="H254" s="691">
        <f t="shared" si="125"/>
        <v>15.578250000000001</v>
      </c>
      <c r="I254" s="692">
        <f t="shared" si="105"/>
        <v>15.23161096050641</v>
      </c>
      <c r="J254" s="693">
        <f t="shared" si="106"/>
        <v>1.5050961336712712</v>
      </c>
      <c r="K254" s="693">
        <f t="shared" si="107"/>
        <v>1.000035428787347</v>
      </c>
      <c r="L254" s="694">
        <f t="shared" si="108"/>
        <v>8.4175698844155267E-3</v>
      </c>
      <c r="M254" s="693">
        <f t="shared" si="109"/>
        <v>1.0001976291134604</v>
      </c>
      <c r="N254" s="694">
        <f t="shared" si="110"/>
        <v>-1.987946534624575E-2</v>
      </c>
      <c r="O254" s="692">
        <f t="shared" si="111"/>
        <v>28189.737060857751</v>
      </c>
      <c r="P254" s="695">
        <f t="shared" si="112"/>
        <v>1.5707608528918215</v>
      </c>
      <c r="Q254" s="704">
        <f t="shared" si="134"/>
        <v>11.788215591572159</v>
      </c>
      <c r="R254" s="705">
        <f t="shared" si="135"/>
        <v>1.4858637717978995</v>
      </c>
      <c r="S254" s="692">
        <f t="shared" si="113"/>
        <v>1.0030611375370093</v>
      </c>
      <c r="T254" s="695">
        <f t="shared" si="114"/>
        <v>7.8145365546618994E-2</v>
      </c>
      <c r="U254" s="696">
        <f t="shared" si="126"/>
        <v>0.98718360240145564</v>
      </c>
      <c r="V254" s="697">
        <f t="shared" si="127"/>
        <v>-0.19455549020996904</v>
      </c>
      <c r="W254" s="698">
        <f t="shared" si="115"/>
        <v>5.4998159095950117</v>
      </c>
      <c r="X254" s="699">
        <f t="shared" si="116"/>
        <v>-107.38122712282573</v>
      </c>
      <c r="Y254" s="702">
        <f t="shared" si="117"/>
        <v>72.618772877174266</v>
      </c>
      <c r="AA254" s="174">
        <f t="shared" si="118"/>
        <v>1000000000</v>
      </c>
      <c r="AB254" s="174">
        <f t="shared" si="119"/>
        <v>242681873.0625</v>
      </c>
      <c r="AD254" s="701">
        <f t="shared" si="120"/>
        <v>27.609042477220083</v>
      </c>
      <c r="AE254" s="702">
        <f t="shared" si="121"/>
        <v>-9.3416440846643045</v>
      </c>
      <c r="AG254" s="701">
        <f t="shared" si="122"/>
        <v>3.5027990719913165</v>
      </c>
      <c r="AH254" s="702">
        <f t="shared" si="123"/>
        <v>-75.745166072426287</v>
      </c>
      <c r="AJ254" s="174">
        <f t="shared" si="124"/>
        <v>0</v>
      </c>
      <c r="AK254" s="174">
        <f t="shared" si="136"/>
        <v>0</v>
      </c>
      <c r="AM254" s="174" t="str">
        <f t="shared" si="128"/>
        <v>0.038850681083052+0.276028959976098i</v>
      </c>
      <c r="AN254" s="174" t="str">
        <f t="shared" si="129"/>
        <v>0.2796600897135i</v>
      </c>
      <c r="AO254" s="174" t="str">
        <f t="shared" si="130"/>
        <v>0.987015917283292-0.13892107780861i</v>
      </c>
      <c r="AP254" s="174" t="str">
        <f t="shared" si="131"/>
        <v>0.160191553152825-0.046004826662683i</v>
      </c>
      <c r="AQ254" s="174" t="str">
        <f t="shared" si="132"/>
        <v>0.839808446847175+0.046004826662683i</v>
      </c>
      <c r="AR254" s="174" t="str">
        <f t="shared" si="133"/>
        <v>0.988925227225521-0.0541734651891916i</v>
      </c>
    </row>
    <row r="255" spans="7:44" x14ac:dyDescent="0.2">
      <c r="G255" s="703">
        <v>15668.5</v>
      </c>
      <c r="H255" s="691">
        <f t="shared" si="125"/>
        <v>15.6685</v>
      </c>
      <c r="I255" s="692">
        <f t="shared" si="105"/>
        <v>15.31947350622654</v>
      </c>
      <c r="J255" s="693">
        <f t="shared" si="106"/>
        <v>1.5054734857244747</v>
      </c>
      <c r="K255" s="693">
        <f t="shared" si="107"/>
        <v>1.0000358404706282</v>
      </c>
      <c r="L255" s="694">
        <f t="shared" si="108"/>
        <v>8.4663333517427525E-3</v>
      </c>
      <c r="M255" s="693">
        <f t="shared" si="109"/>
        <v>1.0001999253796998</v>
      </c>
      <c r="N255" s="694">
        <f t="shared" si="110"/>
        <v>-1.9994603117681801E-2</v>
      </c>
      <c r="O255" s="692">
        <f t="shared" si="111"/>
        <v>28353.049613073188</v>
      </c>
      <c r="P255" s="695">
        <f t="shared" si="112"/>
        <v>1.5707610572202353</v>
      </c>
      <c r="Q255" s="704">
        <f t="shared" si="134"/>
        <v>11.856018611645553</v>
      </c>
      <c r="R255" s="705">
        <f t="shared" si="135"/>
        <v>1.4863506511973246</v>
      </c>
      <c r="S255" s="692">
        <f t="shared" si="113"/>
        <v>1.00309665375265</v>
      </c>
      <c r="T255" s="695">
        <f t="shared" si="114"/>
        <v>7.859623093182605E-2</v>
      </c>
      <c r="U255" s="696">
        <f t="shared" si="126"/>
        <v>0.98704188352234912</v>
      </c>
      <c r="V255" s="697">
        <f t="shared" si="127"/>
        <v>-0.19566872547640085</v>
      </c>
      <c r="W255" s="698">
        <f t="shared" si="115"/>
        <v>5.4479658253504155</v>
      </c>
      <c r="X255" s="699">
        <f t="shared" si="116"/>
        <v>-107.46838270896745</v>
      </c>
      <c r="Y255" s="702">
        <f t="shared" si="117"/>
        <v>72.531617291032546</v>
      </c>
      <c r="AA255" s="174">
        <f t="shared" si="118"/>
        <v>1000000000</v>
      </c>
      <c r="AB255" s="174">
        <f t="shared" si="119"/>
        <v>245501892.25</v>
      </c>
      <c r="AD255" s="701">
        <f t="shared" si="120"/>
        <v>27.608375926895476</v>
      </c>
      <c r="AE255" s="702">
        <f t="shared" si="121"/>
        <v>-9.3395923407996921</v>
      </c>
      <c r="AG255" s="701">
        <f t="shared" si="122"/>
        <v>3.4541095886333109</v>
      </c>
      <c r="AH255" s="702">
        <f t="shared" si="123"/>
        <v>-75.706806037543501</v>
      </c>
      <c r="AJ255" s="174">
        <f t="shared" si="124"/>
        <v>0</v>
      </c>
      <c r="AK255" s="174">
        <f t="shared" si="136"/>
        <v>0</v>
      </c>
      <c r="AM255" s="174" t="str">
        <f t="shared" si="128"/>
        <v>0.039299154604698+0.277585816742772i</v>
      </c>
      <c r="AN255" s="174" t="str">
        <f t="shared" si="129"/>
        <v>0.281280253923i</v>
      </c>
      <c r="AO255" s="174" t="str">
        <f t="shared" si="130"/>
        <v>0.986865636216187-0.139715298378023i</v>
      </c>
      <c r="AP255" s="174" t="str">
        <f t="shared" si="131"/>
        <v>0.160116807565884-0.046264302790462i</v>
      </c>
      <c r="AQ255" s="174" t="str">
        <f t="shared" si="132"/>
        <v>0.839883192434116+0.046264302790462i</v>
      </c>
      <c r="AR255" s="174" t="str">
        <f t="shared" si="133"/>
        <v>0.988804284217727-0.0544675035977024i</v>
      </c>
    </row>
    <row r="256" spans="7:44" x14ac:dyDescent="0.2">
      <c r="G256" s="703">
        <v>15758.75</v>
      </c>
      <c r="H256" s="691">
        <f t="shared" si="125"/>
        <v>15.758749999999999</v>
      </c>
      <c r="I256" s="692">
        <f t="shared" si="105"/>
        <v>15.407338208476762</v>
      </c>
      <c r="J256" s="693">
        <f t="shared" si="106"/>
        <v>1.5058465339167502</v>
      </c>
      <c r="K256" s="693">
        <f t="shared" si="107"/>
        <v>1.0000362545318682</v>
      </c>
      <c r="L256" s="694">
        <f t="shared" si="108"/>
        <v>8.5150967788052701E-3</v>
      </c>
      <c r="M256" s="693">
        <f t="shared" si="109"/>
        <v>1.0002022349052351</v>
      </c>
      <c r="N256" s="694">
        <f t="shared" si="110"/>
        <v>-2.0109740358924467E-2</v>
      </c>
      <c r="O256" s="692">
        <f t="shared" si="111"/>
        <v>28516.362165289793</v>
      </c>
      <c r="P256" s="695">
        <f t="shared" si="112"/>
        <v>1.5707612592082807</v>
      </c>
      <c r="Q256" s="704">
        <f t="shared" si="134"/>
        <v>11.92382441024332</v>
      </c>
      <c r="R256" s="705">
        <f t="shared" si="135"/>
        <v>1.4868319933510596</v>
      </c>
      <c r="S256" s="692">
        <f t="shared" si="113"/>
        <v>1.0031323738629097</v>
      </c>
      <c r="T256" s="695">
        <f t="shared" si="114"/>
        <v>7.904706429932884E-2</v>
      </c>
      <c r="U256" s="696">
        <f t="shared" si="126"/>
        <v>0.98689940416597965</v>
      </c>
      <c r="V256" s="697">
        <f t="shared" si="127"/>
        <v>-0.19678172490026966</v>
      </c>
      <c r="W256" s="698">
        <f t="shared" si="115"/>
        <v>5.3963978762988818</v>
      </c>
      <c r="X256" s="699">
        <f t="shared" si="116"/>
        <v>-107.55559345342367</v>
      </c>
      <c r="Y256" s="702">
        <f t="shared" si="117"/>
        <v>72.444406546576332</v>
      </c>
      <c r="AA256" s="174">
        <f t="shared" si="118"/>
        <v>1000000000</v>
      </c>
      <c r="AB256" s="174">
        <f t="shared" si="119"/>
        <v>248338201.5625</v>
      </c>
      <c r="AD256" s="701">
        <f t="shared" si="120"/>
        <v>27.607713743462568</v>
      </c>
      <c r="AE256" s="702">
        <f t="shared" si="121"/>
        <v>-9.3378558891710473</v>
      </c>
      <c r="AG256" s="701">
        <f t="shared" si="122"/>
        <v>3.4057116179019937</v>
      </c>
      <c r="AH256" s="702">
        <f t="shared" si="123"/>
        <v>-75.668212894306308</v>
      </c>
      <c r="AJ256" s="174">
        <f t="shared" si="124"/>
        <v>0</v>
      </c>
      <c r="AK256" s="174">
        <f t="shared" si="136"/>
        <v>0</v>
      </c>
      <c r="AM256" s="174" t="str">
        <f t="shared" si="128"/>
        <v>0.0397501499002469+0.279141944865693i</v>
      </c>
      <c r="AN256" s="174" t="str">
        <f t="shared" si="129"/>
        <v>0.2829004181325i</v>
      </c>
      <c r="AO256" s="174" t="str">
        <f t="shared" si="130"/>
        <v>0.986714500842319-0.140509335979947i</v>
      </c>
      <c r="AP256" s="174" t="str">
        <f t="shared" si="131"/>
        <v>0.160041641683292-0.0465236574776155i</v>
      </c>
      <c r="AQ256" s="174" t="str">
        <f t="shared" si="132"/>
        <v>0.839958358316708+0.0465236574776155i</v>
      </c>
      <c r="AR256" s="174" t="str">
        <f t="shared" si="133"/>
        <v>0.988682712672451-0.0547612097944855i</v>
      </c>
    </row>
    <row r="257" spans="7:44" x14ac:dyDescent="0.2">
      <c r="G257" s="703">
        <v>15849</v>
      </c>
      <c r="H257" s="691">
        <f t="shared" si="125"/>
        <v>15.849</v>
      </c>
      <c r="I257" s="692">
        <f t="shared" si="105"/>
        <v>15.495205030571624</v>
      </c>
      <c r="J257" s="693">
        <f t="shared" si="106"/>
        <v>1.5062153513595558</v>
      </c>
      <c r="K257" s="693">
        <f t="shared" si="107"/>
        <v>1.0000366709710644</v>
      </c>
      <c r="L257" s="694">
        <f t="shared" si="108"/>
        <v>8.5638601653712284E-3</v>
      </c>
      <c r="M257" s="693">
        <f t="shared" si="109"/>
        <v>1.0002045576899743</v>
      </c>
      <c r="N257" s="694">
        <f t="shared" si="110"/>
        <v>-2.0224877066924791E-2</v>
      </c>
      <c r="O257" s="692">
        <f t="shared" si="111"/>
        <v>28679.674717507547</v>
      </c>
      <c r="P257" s="695">
        <f t="shared" si="112"/>
        <v>1.5707614588959384</v>
      </c>
      <c r="Q257" s="704">
        <f t="shared" si="134"/>
        <v>11.991632940232583</v>
      </c>
      <c r="R257" s="705">
        <f t="shared" si="135"/>
        <v>1.4873078919677654</v>
      </c>
      <c r="S257" s="692">
        <f t="shared" si="113"/>
        <v>1.0031682978460077</v>
      </c>
      <c r="T257" s="695">
        <f t="shared" si="114"/>
        <v>7.9497865469292966E-2</v>
      </c>
      <c r="U257" s="696">
        <f t="shared" si="126"/>
        <v>0.98675616529677201</v>
      </c>
      <c r="V257" s="697">
        <f t="shared" si="127"/>
        <v>-0.19789448726020883</v>
      </c>
      <c r="W257" s="698">
        <f t="shared" si="115"/>
        <v>5.3451087218899174</v>
      </c>
      <c r="X257" s="699">
        <f t="shared" si="116"/>
        <v>-107.64285809790812</v>
      </c>
      <c r="Y257" s="702">
        <f t="shared" si="117"/>
        <v>72.357141902091882</v>
      </c>
      <c r="AA257" s="174">
        <f t="shared" si="118"/>
        <v>1000000000</v>
      </c>
      <c r="AB257" s="174">
        <f t="shared" si="119"/>
        <v>251190801</v>
      </c>
      <c r="AD257" s="701">
        <f t="shared" si="120"/>
        <v>27.607055789073303</v>
      </c>
      <c r="AE257" s="702">
        <f t="shared" si="121"/>
        <v>-9.3364293526545836</v>
      </c>
      <c r="AG257" s="701">
        <f t="shared" si="122"/>
        <v>3.3576019460177058</v>
      </c>
      <c r="AH257" s="702">
        <f t="shared" si="123"/>
        <v>-75.629390901510433</v>
      </c>
      <c r="AJ257" s="174">
        <f t="shared" si="124"/>
        <v>0</v>
      </c>
      <c r="AK257" s="174">
        <f t="shared" si="136"/>
        <v>0</v>
      </c>
      <c r="AM257" s="174" t="str">
        <f t="shared" si="128"/>
        <v>0.040203665785868+0.280697340260134i</v>
      </c>
      <c r="AN257" s="174" t="str">
        <f t="shared" si="129"/>
        <v>0.284520582342i</v>
      </c>
      <c r="AO257" s="174" t="str">
        <f t="shared" si="130"/>
        <v>0.986562511399367-0.141303189579242i</v>
      </c>
      <c r="AP257" s="174" t="str">
        <f t="shared" si="131"/>
        <v>0.159966055702355-0.0467828900433557i</v>
      </c>
      <c r="AQ257" s="174" t="str">
        <f t="shared" si="132"/>
        <v>0.840033944297645+0.0467828900433557i</v>
      </c>
      <c r="AR257" s="174" t="str">
        <f t="shared" si="133"/>
        <v>0.988560513742184-0.0550545821743807i</v>
      </c>
    </row>
    <row r="258" spans="7:44" x14ac:dyDescent="0.2">
      <c r="G258" s="703">
        <v>15941.25</v>
      </c>
      <c r="H258" s="691">
        <f t="shared" si="125"/>
        <v>15.94125</v>
      </c>
      <c r="I258" s="692">
        <f t="shared" si="105"/>
        <v>15.585021193361834</v>
      </c>
      <c r="J258" s="693">
        <f t="shared" si="106"/>
        <v>1.5065880440160482</v>
      </c>
      <c r="K258" s="693">
        <f t="shared" si="107"/>
        <v>1.0000370990964125</v>
      </c>
      <c r="L258" s="694">
        <f t="shared" si="108"/>
        <v>8.6137041389083152E-3</v>
      </c>
      <c r="M258" s="693">
        <f t="shared" si="109"/>
        <v>1.0002069456522802</v>
      </c>
      <c r="N258" s="694">
        <f t="shared" si="110"/>
        <v>-2.0342564726646528E-2</v>
      </c>
      <c r="O258" s="692">
        <f t="shared" si="111"/>
        <v>28846.606384457064</v>
      </c>
      <c r="P258" s="695">
        <f t="shared" si="112"/>
        <v>1.5707616606720649</v>
      </c>
      <c r="Q258" s="704">
        <f t="shared" si="134"/>
        <v>12.060946927219897</v>
      </c>
      <c r="R258" s="705">
        <f t="shared" si="135"/>
        <v>1.4877888063581397</v>
      </c>
      <c r="S258" s="692">
        <f t="shared" si="113"/>
        <v>1.0032052286054869</v>
      </c>
      <c r="T258" s="695">
        <f t="shared" si="114"/>
        <v>7.9958623230014486E-2</v>
      </c>
      <c r="U258" s="696">
        <f t="shared" si="126"/>
        <v>0.98660896822136956</v>
      </c>
      <c r="V258" s="697">
        <f t="shared" si="127"/>
        <v>-0.19903166290220045</v>
      </c>
      <c r="W258" s="698">
        <f t="shared" si="115"/>
        <v>5.2929676786468169</v>
      </c>
      <c r="X258" s="699">
        <f t="shared" si="116"/>
        <v>-107.73211100713098</v>
      </c>
      <c r="Y258" s="702">
        <f t="shared" si="117"/>
        <v>72.267888992869018</v>
      </c>
      <c r="AA258" s="174">
        <f t="shared" si="118"/>
        <v>1000000000</v>
      </c>
      <c r="AB258" s="174">
        <f t="shared" si="119"/>
        <v>254123451.5625</v>
      </c>
      <c r="AD258" s="701">
        <f t="shared" si="120"/>
        <v>27.606387485178942</v>
      </c>
      <c r="AE258" s="702">
        <f t="shared" si="121"/>
        <v>-9.3352860237654092</v>
      </c>
      <c r="AG258" s="701">
        <f t="shared" si="122"/>
        <v>3.308720795083389</v>
      </c>
      <c r="AH258" s="702">
        <f t="shared" si="123"/>
        <v>-75.589476409771152</v>
      </c>
      <c r="AJ258" s="174">
        <f t="shared" si="124"/>
        <v>0</v>
      </c>
      <c r="AK258" s="174">
        <f t="shared" si="136"/>
        <v>0</v>
      </c>
      <c r="AM258" s="174" t="str">
        <f t="shared" si="128"/>
        <v>0.0406698356415049+0.282286442734862i</v>
      </c>
      <c r="AN258" s="174" t="str">
        <f t="shared" si="129"/>
        <v>0.2861766504675i</v>
      </c>
      <c r="AO258" s="174" t="str">
        <f t="shared" si="130"/>
        <v>0.986406271349242-0.142114444260447i</v>
      </c>
      <c r="AP258" s="174" t="str">
        <f t="shared" si="131"/>
        <v>0.159888360726416-0.0470477404558103i</v>
      </c>
      <c r="AQ258" s="174" t="str">
        <f t="shared" si="132"/>
        <v>0.840111639273584+0.0470477404558103i</v>
      </c>
      <c r="AR258" s="174" t="str">
        <f t="shared" si="133"/>
        <v>0.988434959613546-0.055354109220005i</v>
      </c>
    </row>
    <row r="259" spans="7:44" x14ac:dyDescent="0.2">
      <c r="G259" s="703">
        <v>16033.5</v>
      </c>
      <c r="H259" s="691">
        <f t="shared" si="125"/>
        <v>16.0335</v>
      </c>
      <c r="I259" s="692">
        <f t="shared" si="105"/>
        <v>15.674839496100525</v>
      </c>
      <c r="J259" s="693">
        <f t="shared" si="106"/>
        <v>1.5069564655953651</v>
      </c>
      <c r="K259" s="693">
        <f t="shared" si="107"/>
        <v>1.0000375297062722</v>
      </c>
      <c r="L259" s="694">
        <f t="shared" si="108"/>
        <v>8.6635480696442349E-3</v>
      </c>
      <c r="M259" s="693">
        <f t="shared" si="109"/>
        <v>1.0002093474677713</v>
      </c>
      <c r="N259" s="694">
        <f t="shared" si="110"/>
        <v>-2.046025182278851E-2</v>
      </c>
      <c r="O259" s="692">
        <f t="shared" si="111"/>
        <v>29013.538051407737</v>
      </c>
      <c r="P259" s="695">
        <f t="shared" si="112"/>
        <v>1.5707618601263218</v>
      </c>
      <c r="Q259" s="704">
        <f t="shared" si="134"/>
        <v>12.130263671767894</v>
      </c>
      <c r="R259" s="705">
        <f t="shared" si="135"/>
        <v>1.4882642246174655</v>
      </c>
      <c r="S259" s="692">
        <f t="shared" si="113"/>
        <v>1.0032423723274364</v>
      </c>
      <c r="T259" s="695">
        <f t="shared" si="114"/>
        <v>8.0419346970647176E-2</v>
      </c>
      <c r="U259" s="696">
        <f t="shared" si="126"/>
        <v>0.98646097964916779</v>
      </c>
      <c r="V259" s="697">
        <f t="shared" si="127"/>
        <v>-0.20016858828355802</v>
      </c>
      <c r="W259" s="698">
        <f t="shared" si="115"/>
        <v>5.2411110484500796</v>
      </c>
      <c r="X259" s="699">
        <f t="shared" si="116"/>
        <v>-107.82141765581312</v>
      </c>
      <c r="Y259" s="702">
        <f t="shared" si="117"/>
        <v>72.178582344186879</v>
      </c>
      <c r="AA259" s="174">
        <f t="shared" si="118"/>
        <v>1000000000</v>
      </c>
      <c r="AB259" s="174">
        <f t="shared" si="119"/>
        <v>257073122.25</v>
      </c>
      <c r="AD259" s="701">
        <f t="shared" si="120"/>
        <v>27.60572332085097</v>
      </c>
      <c r="AE259" s="702">
        <f t="shared" si="121"/>
        <v>-9.3344555177484914</v>
      </c>
      <c r="AG259" s="701">
        <f t="shared" si="122"/>
        <v>3.2601342427244582</v>
      </c>
      <c r="AH259" s="702">
        <f t="shared" si="123"/>
        <v>-75.549331512375176</v>
      </c>
      <c r="AJ259" s="174">
        <f t="shared" si="124"/>
        <v>0</v>
      </c>
      <c r="AK259" s="174">
        <f t="shared" si="136"/>
        <v>0</v>
      </c>
      <c r="AM259" s="174" t="str">
        <f t="shared" si="128"/>
        <v>0.041138636518646+0.283874771021799i</v>
      </c>
      <c r="AN259" s="174" t="str">
        <f t="shared" si="129"/>
        <v>0.287832718593i</v>
      </c>
      <c r="AO259" s="174" t="str">
        <f t="shared" si="130"/>
        <v>0.986249139463545-0.142925504507417i</v>
      </c>
      <c r="AP259" s="174" t="str">
        <f t="shared" si="131"/>
        <v>0.159810227246892-0.0473124618369665i</v>
      </c>
      <c r="AQ259" s="174" t="str">
        <f t="shared" si="132"/>
        <v>0.840189772753108+0.0473124618369665i</v>
      </c>
      <c r="AR259" s="174" t="str">
        <f t="shared" si="133"/>
        <v>0.988308752436167-0.0556532841140837i</v>
      </c>
    </row>
    <row r="260" spans="7:44" x14ac:dyDescent="0.2">
      <c r="G260" s="703">
        <v>16125.75</v>
      </c>
      <c r="H260" s="691">
        <f t="shared" si="125"/>
        <v>16.12575</v>
      </c>
      <c r="I260" s="692">
        <f t="shared" si="105"/>
        <v>15.764659902210971</v>
      </c>
      <c r="J260" s="693">
        <f t="shared" si="106"/>
        <v>1.5073206890010347</v>
      </c>
      <c r="K260" s="693">
        <f t="shared" si="107"/>
        <v>1.0000379628006406</v>
      </c>
      <c r="L260" s="694">
        <f t="shared" si="108"/>
        <v>8.7133919573313765E-3</v>
      </c>
      <c r="M260" s="693">
        <f t="shared" si="109"/>
        <v>1.0002117631363481</v>
      </c>
      <c r="N260" s="694">
        <f t="shared" si="110"/>
        <v>-2.0577938352094809E-2</v>
      </c>
      <c r="O260" s="692">
        <f t="shared" si="111"/>
        <v>29180.469718359549</v>
      </c>
      <c r="P260" s="695">
        <f t="shared" si="112"/>
        <v>1.5707620572985572</v>
      </c>
      <c r="Q260" s="704">
        <f t="shared" si="134"/>
        <v>12.199583126872064</v>
      </c>
      <c r="R260" s="705">
        <f t="shared" si="135"/>
        <v>1.4887342402179533</v>
      </c>
      <c r="S260" s="692">
        <f t="shared" si="113"/>
        <v>1.0032797289882034</v>
      </c>
      <c r="T260" s="695">
        <f t="shared" si="114"/>
        <v>8.0880036499388186E-2</v>
      </c>
      <c r="U260" s="696">
        <f t="shared" si="126"/>
        <v>0.9863122006243471</v>
      </c>
      <c r="V260" s="697">
        <f t="shared" si="127"/>
        <v>-0.20130526210721189</v>
      </c>
      <c r="W260" s="698">
        <f t="shared" si="115"/>
        <v>5.1895354461014787</v>
      </c>
      <c r="X260" s="699">
        <f t="shared" si="116"/>
        <v>-107.91077678226053</v>
      </c>
      <c r="Y260" s="702">
        <f t="shared" si="117"/>
        <v>72.089223217739473</v>
      </c>
      <c r="AA260" s="174">
        <f t="shared" si="118"/>
        <v>1000000000</v>
      </c>
      <c r="AB260" s="174">
        <f t="shared" si="119"/>
        <v>260039813.0625</v>
      </c>
      <c r="AD260" s="701">
        <f t="shared" si="120"/>
        <v>27.605063161010534</v>
      </c>
      <c r="AE260" s="702">
        <f t="shared" si="121"/>
        <v>-9.3339324703343021</v>
      </c>
      <c r="AG260" s="701">
        <f t="shared" si="122"/>
        <v>3.2118390268199843</v>
      </c>
      <c r="AH260" s="702">
        <f t="shared" si="123"/>
        <v>-75.508960460531227</v>
      </c>
      <c r="AJ260" s="174">
        <f t="shared" si="124"/>
        <v>0</v>
      </c>
      <c r="AK260" s="174">
        <f t="shared" si="136"/>
        <v>0</v>
      </c>
      <c r="AM260" s="174" t="str">
        <f t="shared" si="128"/>
        <v>0.041610067131577+0.285462320764858i</v>
      </c>
      <c r="AN260" s="174" t="str">
        <f t="shared" si="129"/>
        <v>0.2894887867185i</v>
      </c>
      <c r="AO260" s="174" t="str">
        <f t="shared" si="130"/>
        <v>0.986091116000437-0.143736369215706i</v>
      </c>
      <c r="AP260" s="174" t="str">
        <f t="shared" si="131"/>
        <v>0.159731655478071-0.0475770534608097i</v>
      </c>
      <c r="AQ260" s="174" t="str">
        <f t="shared" si="132"/>
        <v>0.840268344521929+0.0475770534608097i</v>
      </c>
      <c r="AR260" s="174" t="str">
        <f t="shared" si="133"/>
        <v>0.988181893456968-0.0559521051584484i</v>
      </c>
    </row>
    <row r="261" spans="7:44" x14ac:dyDescent="0.2">
      <c r="G261" s="703">
        <v>16218</v>
      </c>
      <c r="H261" s="691">
        <f t="shared" si="125"/>
        <v>16.218</v>
      </c>
      <c r="I261" s="692">
        <f t="shared" si="105"/>
        <v>15.854482375944471</v>
      </c>
      <c r="J261" s="693">
        <f t="shared" si="106"/>
        <v>1.5076807854889787</v>
      </c>
      <c r="K261" s="693">
        <f t="shared" si="107"/>
        <v>1.0000383983795142</v>
      </c>
      <c r="L261" s="694">
        <f t="shared" si="108"/>
        <v>8.7632358017221273E-3</v>
      </c>
      <c r="M261" s="693">
        <f t="shared" si="109"/>
        <v>1.0002141926579098</v>
      </c>
      <c r="N261" s="694">
        <f t="shared" si="110"/>
        <v>-2.0695624311309606E-2</v>
      </c>
      <c r="O261" s="692">
        <f t="shared" si="111"/>
        <v>29347.401385312485</v>
      </c>
      <c r="P261" s="695">
        <f t="shared" si="112"/>
        <v>1.570762252227712</v>
      </c>
      <c r="Q261" s="704">
        <f t="shared" si="134"/>
        <v>12.268905246588389</v>
      </c>
      <c r="R261" s="705">
        <f t="shared" si="135"/>
        <v>1.4891989445289291</v>
      </c>
      <c r="S261" s="692">
        <f t="shared" si="113"/>
        <v>1.0033172985640024</v>
      </c>
      <c r="T261" s="695">
        <f t="shared" si="114"/>
        <v>8.1340691624521178E-2</v>
      </c>
      <c r="U261" s="696">
        <f t="shared" si="126"/>
        <v>0.98616263219582145</v>
      </c>
      <c r="V261" s="697">
        <f t="shared" si="127"/>
        <v>-0.20244168307856777</v>
      </c>
      <c r="W261" s="698">
        <f t="shared" si="115"/>
        <v>5.1382375450659179</v>
      </c>
      <c r="X261" s="699">
        <f t="shared" si="116"/>
        <v>-108.0001871509595</v>
      </c>
      <c r="Y261" s="702">
        <f t="shared" si="117"/>
        <v>71.999812849040495</v>
      </c>
      <c r="AA261" s="174">
        <f t="shared" si="118"/>
        <v>1000000000</v>
      </c>
      <c r="AB261" s="174">
        <f t="shared" si="119"/>
        <v>263023524</v>
      </c>
      <c r="AD261" s="701">
        <f t="shared" si="120"/>
        <v>27.6044068743977</v>
      </c>
      <c r="AE261" s="702">
        <f t="shared" si="121"/>
        <v>-9.3337116376926659</v>
      </c>
      <c r="AG261" s="701">
        <f t="shared" si="122"/>
        <v>3.1638319400361112</v>
      </c>
      <c r="AH261" s="702">
        <f t="shared" si="123"/>
        <v>-75.468367410905316</v>
      </c>
      <c r="AJ261" s="174">
        <f t="shared" si="124"/>
        <v>0</v>
      </c>
      <c r="AK261" s="174">
        <f t="shared" si="136"/>
        <v>0</v>
      </c>
      <c r="AM261" s="174" t="str">
        <f t="shared" si="128"/>
        <v>0.042084126187369+0.287049087610086i</v>
      </c>
      <c r="AN261" s="174" t="str">
        <f t="shared" si="129"/>
        <v>0.291144854844i</v>
      </c>
      <c r="AO261" s="174" t="str">
        <f t="shared" si="130"/>
        <v>0.985932201219532-0.144547037281213i</v>
      </c>
      <c r="AP261" s="174" t="str">
        <f t="shared" si="131"/>
        <v>0.159652645635438-0.047841514601681i</v>
      </c>
      <c r="AQ261" s="174" t="str">
        <f t="shared" si="132"/>
        <v>0.840347354364562+0.047841514601681i</v>
      </c>
      <c r="AR261" s="174" t="str">
        <f t="shared" si="133"/>
        <v>0.988054383928233-0.0562505706603923i</v>
      </c>
    </row>
    <row r="262" spans="7:44" x14ac:dyDescent="0.2">
      <c r="G262" s="703">
        <v>16312.5</v>
      </c>
      <c r="H262" s="691">
        <f t="shared" si="125"/>
        <v>16.3125</v>
      </c>
      <c r="I262" s="692">
        <f t="shared" si="105"/>
        <v>15.946497749080711</v>
      </c>
      <c r="J262" s="693">
        <f t="shared" si="106"/>
        <v>1.5080454584888527</v>
      </c>
      <c r="K262" s="693">
        <f t="shared" si="107"/>
        <v>1.0000388471584005</v>
      </c>
      <c r="L262" s="694">
        <f t="shared" si="108"/>
        <v>8.8142953044824945E-3</v>
      </c>
      <c r="M262" s="693">
        <f t="shared" si="109"/>
        <v>1.0002166957999115</v>
      </c>
      <c r="N262" s="694">
        <f t="shared" si="110"/>
        <v>-2.0816180065252207E-2</v>
      </c>
      <c r="O262" s="692">
        <f t="shared" si="111"/>
        <v>29518.404556338588</v>
      </c>
      <c r="P262" s="695">
        <f t="shared" si="112"/>
        <v>1.5707624496252046</v>
      </c>
      <c r="Q262" s="704">
        <f t="shared" si="134"/>
        <v>12.339920865661018</v>
      </c>
      <c r="R262" s="705">
        <f t="shared" si="135"/>
        <v>1.4896695692665549</v>
      </c>
      <c r="S262" s="692">
        <f t="shared" si="113"/>
        <v>1.0033560052138528</v>
      </c>
      <c r="T262" s="695">
        <f t="shared" si="114"/>
        <v>8.181254636768942E-2</v>
      </c>
      <c r="U262" s="696">
        <f t="shared" si="126"/>
        <v>0.98600859833915</v>
      </c>
      <c r="V262" s="697">
        <f t="shared" si="127"/>
        <v>-0.20360555810576583</v>
      </c>
      <c r="W262" s="698">
        <f t="shared" si="115"/>
        <v>5.0859730024326719</v>
      </c>
      <c r="X262" s="699">
        <f t="shared" si="116"/>
        <v>-108.09183012785279</v>
      </c>
      <c r="Y262" s="702">
        <f t="shared" si="117"/>
        <v>71.908169872147212</v>
      </c>
      <c r="AA262" s="174">
        <f t="shared" si="118"/>
        <v>1000000000</v>
      </c>
      <c r="AB262" s="174">
        <f t="shared" si="119"/>
        <v>266097656.25</v>
      </c>
      <c r="AD262" s="701">
        <f t="shared" si="120"/>
        <v>27.603738463550613</v>
      </c>
      <c r="AE262" s="702">
        <f t="shared" si="121"/>
        <v>-9.3337934218623211</v>
      </c>
      <c r="AG262" s="701">
        <f t="shared" si="122"/>
        <v>3.1149494084923246</v>
      </c>
      <c r="AH262" s="702">
        <f t="shared" si="123"/>
        <v>-75.426558349598295</v>
      </c>
      <c r="AJ262" s="174">
        <f t="shared" si="124"/>
        <v>0</v>
      </c>
      <c r="AK262" s="174">
        <f t="shared" si="136"/>
        <v>0</v>
      </c>
      <c r="AM262" s="174" t="str">
        <f t="shared" si="128"/>
        <v>0.042572471687276+0.288673739763401i</v>
      </c>
      <c r="AN262" s="174" t="str">
        <f t="shared" si="129"/>
        <v>0.292841314875i</v>
      </c>
      <c r="AO262" s="174" t="str">
        <f t="shared" si="130"/>
        <v>0.985768486549181-0.1453772726893i</v>
      </c>
      <c r="AP262" s="174" t="str">
        <f t="shared" si="131"/>
        <v>0.159571254718787-0.0481122899605668i</v>
      </c>
      <c r="AQ262" s="174" t="str">
        <f t="shared" si="132"/>
        <v>0.840428745281213+0.0481122899605668i</v>
      </c>
      <c r="AR262" s="174" t="str">
        <f t="shared" si="133"/>
        <v>0.987923091182014-0.05655594538926i</v>
      </c>
    </row>
    <row r="263" spans="7:44" x14ac:dyDescent="0.2">
      <c r="G263" s="703">
        <v>16407</v>
      </c>
      <c r="H263" s="691">
        <f t="shared" si="125"/>
        <v>16.407</v>
      </c>
      <c r="I263" s="692">
        <f t="shared" si="105"/>
        <v>16.038515218550891</v>
      </c>
      <c r="J263" s="693">
        <f t="shared" si="106"/>
        <v>1.5084059470732245</v>
      </c>
      <c r="K263" s="693">
        <f t="shared" si="107"/>
        <v>1.0000392985444582</v>
      </c>
      <c r="L263" s="694">
        <f t="shared" si="108"/>
        <v>8.8653547612826938E-3</v>
      </c>
      <c r="M263" s="693">
        <f t="shared" si="109"/>
        <v>1.0002192134786794</v>
      </c>
      <c r="N263" s="694">
        <f t="shared" si="110"/>
        <v>-2.0936735214038632E-2</v>
      </c>
      <c r="O263" s="692">
        <f t="shared" si="111"/>
        <v>29689.407727365822</v>
      </c>
      <c r="P263" s="695">
        <f t="shared" si="112"/>
        <v>1.5707626447487819</v>
      </c>
      <c r="Q263" s="704">
        <f t="shared" si="134"/>
        <v>12.410939186595138</v>
      </c>
      <c r="R263" s="705">
        <f t="shared" si="135"/>
        <v>1.4901348080547698</v>
      </c>
      <c r="S263" s="692">
        <f t="shared" si="113"/>
        <v>1.0033949352405422</v>
      </c>
      <c r="T263" s="695">
        <f t="shared" si="114"/>
        <v>8.2284364601567545E-2</v>
      </c>
      <c r="U263" s="696">
        <f t="shared" si="126"/>
        <v>0.98585373834515266</v>
      </c>
      <c r="V263" s="697">
        <f t="shared" si="127"/>
        <v>-0.2047691650538761</v>
      </c>
      <c r="W263" s="698">
        <f t="shared" si="115"/>
        <v>5.0339929889362445</v>
      </c>
      <c r="X263" s="699">
        <f t="shared" si="116"/>
        <v>-108.1835243336142</v>
      </c>
      <c r="Y263" s="702">
        <f t="shared" si="117"/>
        <v>71.816475666385799</v>
      </c>
      <c r="AA263" s="174">
        <f t="shared" si="118"/>
        <v>1000000000</v>
      </c>
      <c r="AB263" s="174">
        <f t="shared" si="119"/>
        <v>269189649</v>
      </c>
      <c r="AD263" s="701">
        <f t="shared" si="120"/>
        <v>27.603073850067823</v>
      </c>
      <c r="AE263" s="702">
        <f t="shared" si="121"/>
        <v>-9.3341815760882767</v>
      </c>
      <c r="AG263" s="701">
        <f t="shared" si="122"/>
        <v>3.0663625900737697</v>
      </c>
      <c r="AH263" s="702">
        <f t="shared" si="123"/>
        <v>-75.384524866703757</v>
      </c>
      <c r="AJ263" s="174">
        <f t="shared" si="124"/>
        <v>0</v>
      </c>
      <c r="AK263" s="174">
        <f t="shared" si="136"/>
        <v>0</v>
      </c>
      <c r="AM263" s="174" t="str">
        <f t="shared" si="128"/>
        <v>0.04306357264058+0.290297561120637i</v>
      </c>
      <c r="AN263" s="174" t="str">
        <f t="shared" si="129"/>
        <v>0.294537774906i</v>
      </c>
      <c r="AO263" s="174" t="str">
        <f t="shared" si="130"/>
        <v>0.985603837108105-0.14620729940098i</v>
      </c>
      <c r="AP263" s="174" t="str">
        <f t="shared" si="131"/>
        <v>0.159489404559903-0.0483829268534395i</v>
      </c>
      <c r="AQ263" s="174" t="str">
        <f t="shared" si="132"/>
        <v>0.840510595440097+0.0483829268534395i</v>
      </c>
      <c r="AR263" s="174" t="str">
        <f t="shared" si="133"/>
        <v>0.987791118442574-0.0568609434424321i</v>
      </c>
    </row>
    <row r="264" spans="7:44" x14ac:dyDescent="0.2">
      <c r="G264" s="703">
        <v>16501.5</v>
      </c>
      <c r="H264" s="691">
        <f t="shared" si="125"/>
        <v>16.5015</v>
      </c>
      <c r="I264" s="692">
        <f t="shared" si="105"/>
        <v>16.130534748479075</v>
      </c>
      <c r="J264" s="693">
        <f t="shared" si="106"/>
        <v>1.5087623227598379</v>
      </c>
      <c r="K264" s="693">
        <f t="shared" si="107"/>
        <v>1.0000397525376843</v>
      </c>
      <c r="L264" s="694">
        <f t="shared" si="108"/>
        <v>8.9164141718565543E-3</v>
      </c>
      <c r="M264" s="693">
        <f t="shared" si="109"/>
        <v>1.000221745694104</v>
      </c>
      <c r="N264" s="694">
        <f t="shared" si="110"/>
        <v>-2.1057289754169272E-2</v>
      </c>
      <c r="O264" s="692">
        <f t="shared" si="111"/>
        <v>29860.410898394181</v>
      </c>
      <c r="P264" s="695">
        <f t="shared" si="112"/>
        <v>1.5707628376375107</v>
      </c>
      <c r="Q264" s="704">
        <f t="shared" si="134"/>
        <v>12.481960163272593</v>
      </c>
      <c r="R264" s="705">
        <f t="shared" si="135"/>
        <v>1.4905947526268102</v>
      </c>
      <c r="S264" s="692">
        <f t="shared" si="113"/>
        <v>1.003434088618071</v>
      </c>
      <c r="T264" s="695">
        <f t="shared" si="114"/>
        <v>8.2756146120351953E-2</v>
      </c>
      <c r="U264" s="696">
        <f t="shared" si="126"/>
        <v>0.98569805335676175</v>
      </c>
      <c r="V264" s="697">
        <f t="shared" si="127"/>
        <v>-0.20593250253943926</v>
      </c>
      <c r="W264" s="698">
        <f t="shared" si="115"/>
        <v>4.9822941114332613</v>
      </c>
      <c r="X264" s="699">
        <f t="shared" si="116"/>
        <v>-108.27526852097633</v>
      </c>
      <c r="Y264" s="702">
        <f t="shared" si="117"/>
        <v>71.724731479023674</v>
      </c>
      <c r="AA264" s="174">
        <f t="shared" si="118"/>
        <v>1000000000</v>
      </c>
      <c r="AB264" s="174">
        <f t="shared" si="119"/>
        <v>272299502.25</v>
      </c>
      <c r="AD264" s="701">
        <f t="shared" si="120"/>
        <v>27.602412904491658</v>
      </c>
      <c r="AE264" s="702">
        <f t="shared" si="121"/>
        <v>-9.3348708348898839</v>
      </c>
      <c r="AG264" s="701">
        <f t="shared" si="122"/>
        <v>3.018068207945579</v>
      </c>
      <c r="AH264" s="702">
        <f t="shared" si="123"/>
        <v>-75.342271138967689</v>
      </c>
      <c r="AJ264" s="174">
        <f t="shared" si="124"/>
        <v>0</v>
      </c>
      <c r="AK264" s="174">
        <f t="shared" si="136"/>
        <v>0</v>
      </c>
      <c r="AM264" s="174" t="str">
        <f t="shared" si="128"/>
        <v>0.043557427633905+0.291920547008475i</v>
      </c>
      <c r="AN264" s="174" t="str">
        <f t="shared" si="129"/>
        <v>0.296234234937i</v>
      </c>
      <c r="AO264" s="174" t="str">
        <f t="shared" si="130"/>
        <v>0.985438253180148-0.147037116230568i</v>
      </c>
      <c r="AP264" s="174" t="str">
        <f t="shared" si="131"/>
        <v>0.159407095394349-0.0486534245014125i</v>
      </c>
      <c r="AQ264" s="174" t="str">
        <f t="shared" si="132"/>
        <v>0.840592904605651+0.0486534245014125i</v>
      </c>
      <c r="AR264" s="174" t="str">
        <f t="shared" si="133"/>
        <v>0.987658467073419-0.057165563018261i</v>
      </c>
    </row>
    <row r="265" spans="7:44" x14ac:dyDescent="0.2">
      <c r="G265" s="703">
        <v>16596</v>
      </c>
      <c r="H265" s="691">
        <f t="shared" si="125"/>
        <v>16.596</v>
      </c>
      <c r="I265" s="692">
        <f t="shared" si="105"/>
        <v>16.222556303802531</v>
      </c>
      <c r="J265" s="693">
        <f t="shared" si="106"/>
        <v>1.5091146554479482</v>
      </c>
      <c r="K265" s="693">
        <f t="shared" si="107"/>
        <v>1.0000402091380749</v>
      </c>
      <c r="L265" s="694">
        <f t="shared" si="108"/>
        <v>8.967473535937914E-3</v>
      </c>
      <c r="M265" s="693">
        <f t="shared" si="109"/>
        <v>1.0002242924460749</v>
      </c>
      <c r="N265" s="694">
        <f t="shared" si="110"/>
        <v>-2.1177843682144631E-2</v>
      </c>
      <c r="O265" s="692">
        <f t="shared" si="111"/>
        <v>30031.414069423634</v>
      </c>
      <c r="P265" s="695">
        <f t="shared" si="112"/>
        <v>1.5707630283295673</v>
      </c>
      <c r="Q265" s="704">
        <f t="shared" si="134"/>
        <v>12.55298375061721</v>
      </c>
      <c r="R265" s="705">
        <f t="shared" si="135"/>
        <v>1.4910494926489175</v>
      </c>
      <c r="S265" s="692">
        <f t="shared" si="113"/>
        <v>1.0034734653202957</v>
      </c>
      <c r="T265" s="695">
        <f t="shared" si="114"/>
        <v>8.3227890718336431E-2</v>
      </c>
      <c r="U265" s="696">
        <f t="shared" si="126"/>
        <v>0.98554154452205267</v>
      </c>
      <c r="V265" s="697">
        <f t="shared" si="127"/>
        <v>-0.20709556918176728</v>
      </c>
      <c r="W265" s="698">
        <f t="shared" si="115"/>
        <v>4.9308730356317909</v>
      </c>
      <c r="X265" s="699">
        <f t="shared" si="116"/>
        <v>-108.36706146848269</v>
      </c>
      <c r="Y265" s="702">
        <f t="shared" si="117"/>
        <v>71.632938531517311</v>
      </c>
      <c r="AA265" s="174">
        <f t="shared" si="118"/>
        <v>1000000000</v>
      </c>
      <c r="AB265" s="174">
        <f t="shared" si="119"/>
        <v>275427216</v>
      </c>
      <c r="AD265" s="701">
        <f t="shared" si="120"/>
        <v>27.601755501031331</v>
      </c>
      <c r="AE265" s="702">
        <f t="shared" si="121"/>
        <v>-9.335856051171211</v>
      </c>
      <c r="AG265" s="701">
        <f t="shared" si="122"/>
        <v>2.9700630403949897</v>
      </c>
      <c r="AH265" s="702">
        <f t="shared" si="123"/>
        <v>-75.299801250244755</v>
      </c>
      <c r="AJ265" s="174">
        <f t="shared" si="124"/>
        <v>0</v>
      </c>
      <c r="AK265" s="174">
        <f t="shared" si="136"/>
        <v>0</v>
      </c>
      <c r="AM265" s="174" t="str">
        <f t="shared" si="128"/>
        <v>0.044054035245947+0.293542692756i</v>
      </c>
      <c r="AN265" s="174" t="str">
        <f t="shared" si="129"/>
        <v>0.297930694968i</v>
      </c>
      <c r="AO265" s="174" t="str">
        <f t="shared" si="130"/>
        <v>0.98527173505076-0.147866721992773i</v>
      </c>
      <c r="AP265" s="174" t="str">
        <f t="shared" si="131"/>
        <v>0.159324327459009-0.048923782126i</v>
      </c>
      <c r="AQ265" s="174" t="str">
        <f t="shared" si="132"/>
        <v>0.840675672540991+0.048923782126i</v>
      </c>
      <c r="AR265" s="174" t="str">
        <f t="shared" si="133"/>
        <v>0.987525138443843-0.0574698023212023i</v>
      </c>
    </row>
    <row r="266" spans="7:44" x14ac:dyDescent="0.2">
      <c r="G266" s="703">
        <v>16692.5</v>
      </c>
      <c r="H266" s="691">
        <f t="shared" si="125"/>
        <v>16.692499999999999</v>
      </c>
      <c r="I266" s="692">
        <f t="shared" si="105"/>
        <v>16.316527459804174</v>
      </c>
      <c r="J266" s="693">
        <f t="shared" si="106"/>
        <v>1.5094703436590038</v>
      </c>
      <c r="K266" s="693">
        <f t="shared" si="107"/>
        <v>1.000040678092478</v>
      </c>
      <c r="L266" s="694">
        <f t="shared" si="108"/>
        <v>9.019613473225831E-3</v>
      </c>
      <c r="M266" s="693">
        <f t="shared" si="109"/>
        <v>1.0002269080987223</v>
      </c>
      <c r="N266" s="694">
        <f t="shared" si="110"/>
        <v>-2.130094838064045E-2</v>
      </c>
      <c r="O266" s="692">
        <f t="shared" si="111"/>
        <v>30206.036355184984</v>
      </c>
      <c r="P266" s="695">
        <f t="shared" si="112"/>
        <v>1.5707632208293067</v>
      </c>
      <c r="Q266" s="704">
        <f t="shared" si="134"/>
        <v>12.625513131010241</v>
      </c>
      <c r="R266" s="705">
        <f t="shared" si="135"/>
        <v>1.4915085769459075</v>
      </c>
      <c r="S266" s="692">
        <f t="shared" si="113"/>
        <v>1.003513905828942</v>
      </c>
      <c r="T266" s="695">
        <f t="shared" si="114"/>
        <v>8.3709581014141249E-2</v>
      </c>
      <c r="U266" s="696">
        <f t="shared" si="126"/>
        <v>0.98538087434485899</v>
      </c>
      <c r="V266" s="697">
        <f t="shared" si="127"/>
        <v>-0.20828297005709093</v>
      </c>
      <c r="W266" s="698">
        <f t="shared" si="115"/>
        <v>4.8786469610162166</v>
      </c>
      <c r="X266" s="699">
        <f t="shared" si="116"/>
        <v>-108.46084619970983</v>
      </c>
      <c r="Y266" s="702">
        <f t="shared" si="117"/>
        <v>71.539153800290165</v>
      </c>
      <c r="AA266" s="174">
        <f t="shared" si="118"/>
        <v>1000000000</v>
      </c>
      <c r="AB266" s="174">
        <f t="shared" si="119"/>
        <v>278639556.25</v>
      </c>
      <c r="AD266" s="701">
        <f t="shared" si="120"/>
        <v>27.601087712601124</v>
      </c>
      <c r="AE266" s="702">
        <f t="shared" si="121"/>
        <v>-9.3371623089191029</v>
      </c>
      <c r="AG266" s="701">
        <f t="shared" si="122"/>
        <v>2.9213370593616999</v>
      </c>
      <c r="AH266" s="702">
        <f t="shared" si="123"/>
        <v>-75.256213606076173</v>
      </c>
      <c r="AJ266" s="174">
        <f t="shared" si="124"/>
        <v>0</v>
      </c>
      <c r="AK266" s="174">
        <f t="shared" si="136"/>
        <v>0</v>
      </c>
      <c r="AM266" s="174" t="str">
        <f t="shared" si="128"/>
        <v>0.0445639922065449+0.295198297779144i</v>
      </c>
      <c r="AN266" s="174" t="str">
        <f t="shared" si="129"/>
        <v>0.299663058915i</v>
      </c>
      <c r="AO266" s="174" t="str">
        <f t="shared" si="130"/>
        <v>0.985100728958645-0.148713666502302i</v>
      </c>
      <c r="AP266" s="174" t="str">
        <f t="shared" si="131"/>
        <v>0.159239334632243-0.049199716296524i</v>
      </c>
      <c r="AQ266" s="174" t="str">
        <f t="shared" si="132"/>
        <v>0.840760665367757+0.049199716296524i</v>
      </c>
      <c r="AR266" s="174" t="str">
        <f t="shared" si="133"/>
        <v>0.987388290560945-0.057780086261361i</v>
      </c>
    </row>
    <row r="267" spans="7:44" x14ac:dyDescent="0.2">
      <c r="G267" s="703">
        <v>16789</v>
      </c>
      <c r="H267" s="691">
        <f t="shared" si="125"/>
        <v>16.789000000000001</v>
      </c>
      <c r="I267" s="692">
        <f t="shared" si="105"/>
        <v>16.41050065643531</v>
      </c>
      <c r="J267" s="693">
        <f t="shared" si="106"/>
        <v>1.5098219582835957</v>
      </c>
      <c r="K267" s="693">
        <f t="shared" si="107"/>
        <v>1.0000411497655621</v>
      </c>
      <c r="L267" s="694">
        <f t="shared" si="108"/>
        <v>9.0717533614715056E-3</v>
      </c>
      <c r="M267" s="693">
        <f t="shared" si="109"/>
        <v>1.0002295389094957</v>
      </c>
      <c r="N267" s="694">
        <f t="shared" si="110"/>
        <v>-2.1424052433420184E-2</v>
      </c>
      <c r="O267" s="692">
        <f t="shared" si="111"/>
        <v>30380.658640947444</v>
      </c>
      <c r="P267" s="695">
        <f t="shared" si="112"/>
        <v>1.5707634111161419</v>
      </c>
      <c r="Q267" s="704">
        <f t="shared" si="134"/>
        <v>12.698045141938067</v>
      </c>
      <c r="R267" s="705">
        <f t="shared" si="135"/>
        <v>1.4919624167024417</v>
      </c>
      <c r="S267" s="692">
        <f t="shared" si="113"/>
        <v>1.0035545791596476</v>
      </c>
      <c r="T267" s="695">
        <f t="shared" si="114"/>
        <v>8.4191232376585476E-2</v>
      </c>
      <c r="U267" s="696">
        <f t="shared" si="126"/>
        <v>0.9852193475165254</v>
      </c>
      <c r="V267" s="697">
        <f t="shared" si="127"/>
        <v>-0.20947008560256608</v>
      </c>
      <c r="W267" s="698">
        <f t="shared" si="115"/>
        <v>4.8267037257569321</v>
      </c>
      <c r="X267" s="699">
        <f t="shared" si="116"/>
        <v>-108.55467928176853</v>
      </c>
      <c r="Y267" s="702">
        <f t="shared" si="117"/>
        <v>71.445320718231471</v>
      </c>
      <c r="AA267" s="174">
        <f t="shared" si="118"/>
        <v>1000000000</v>
      </c>
      <c r="AB267" s="174">
        <f t="shared" si="119"/>
        <v>281870521</v>
      </c>
      <c r="AD267" s="701">
        <f t="shared" si="120"/>
        <v>27.600423363850929</v>
      </c>
      <c r="AE267" s="702">
        <f t="shared" si="121"/>
        <v>-9.3387666991936147</v>
      </c>
      <c r="AG267" s="701">
        <f t="shared" si="122"/>
        <v>2.8729060446676478</v>
      </c>
      <c r="AH267" s="702">
        <f t="shared" si="123"/>
        <v>-75.212408876604698</v>
      </c>
      <c r="AJ267" s="174">
        <f t="shared" si="124"/>
        <v>0</v>
      </c>
      <c r="AK267" s="174">
        <f t="shared" si="136"/>
        <v>0</v>
      </c>
      <c r="AM267" s="174" t="str">
        <f t="shared" si="128"/>
        <v>0.045076816510948+0.296853016887372i</v>
      </c>
      <c r="AN267" s="174" t="str">
        <f t="shared" si="129"/>
        <v>0.301395422862i</v>
      </c>
      <c r="AO267" s="174" t="str">
        <f t="shared" si="130"/>
        <v>0.984928749310477-0.149560388418995i</v>
      </c>
      <c r="AP267" s="174" t="str">
        <f t="shared" si="131"/>
        <v>0.159153863914842-0.049475502814562i</v>
      </c>
      <c r="AQ267" s="174" t="str">
        <f t="shared" si="132"/>
        <v>0.840846136085158+0.049475502814562i</v>
      </c>
      <c r="AR267" s="174" t="str">
        <f t="shared" si="133"/>
        <v>0.987250739351409-0.0580899698973133i</v>
      </c>
    </row>
    <row r="268" spans="7:44" x14ac:dyDescent="0.2">
      <c r="G268" s="703">
        <v>16885.5</v>
      </c>
      <c r="H268" s="691">
        <f t="shared" si="125"/>
        <v>16.8855</v>
      </c>
      <c r="I268" s="692">
        <f t="shared" si="105"/>
        <v>16.504475858839132</v>
      </c>
      <c r="J268" s="693">
        <f t="shared" si="106"/>
        <v>1.5101695688180841</v>
      </c>
      <c r="K268" s="693">
        <f t="shared" si="107"/>
        <v>1.0000416241573236</v>
      </c>
      <c r="L268" s="694">
        <f t="shared" si="108"/>
        <v>9.1238932003915203E-3</v>
      </c>
      <c r="M268" s="693">
        <f t="shared" si="109"/>
        <v>1.0002321848782756</v>
      </c>
      <c r="N268" s="694">
        <f t="shared" si="110"/>
        <v>-2.1547155836757759E-2</v>
      </c>
      <c r="O268" s="692">
        <f t="shared" si="111"/>
        <v>30555.280926710984</v>
      </c>
      <c r="P268" s="695">
        <f t="shared" si="112"/>
        <v>1.5707635992280129</v>
      </c>
      <c r="Q268" s="704">
        <f t="shared" si="134"/>
        <v>12.770579738579396</v>
      </c>
      <c r="R268" s="705">
        <f t="shared" si="135"/>
        <v>1.4924111010940944</v>
      </c>
      <c r="S268" s="692">
        <f t="shared" si="113"/>
        <v>1.0035954852841062</v>
      </c>
      <c r="T268" s="695">
        <f t="shared" si="114"/>
        <v>8.4672844586941701E-2</v>
      </c>
      <c r="U268" s="696">
        <f t="shared" si="126"/>
        <v>0.98505696527602238</v>
      </c>
      <c r="V268" s="697">
        <f t="shared" si="127"/>
        <v>-0.21065691435704731</v>
      </c>
      <c r="W268" s="698">
        <f t="shared" si="115"/>
        <v>4.7750399607067475</v>
      </c>
      <c r="X268" s="699">
        <f t="shared" si="116"/>
        <v>-108.64855949284971</v>
      </c>
      <c r="Y268" s="702">
        <f t="shared" si="117"/>
        <v>71.351440507150286</v>
      </c>
      <c r="AA268" s="174">
        <f t="shared" si="118"/>
        <v>1000000000</v>
      </c>
      <c r="AB268" s="174">
        <f t="shared" si="119"/>
        <v>285120110.25</v>
      </c>
      <c r="AD268" s="701">
        <f t="shared" si="120"/>
        <v>27.599762331889387</v>
      </c>
      <c r="AE268" s="702">
        <f t="shared" si="121"/>
        <v>-9.340664102252358</v>
      </c>
      <c r="AG268" s="701">
        <f t="shared" si="122"/>
        <v>2.824766735788542</v>
      </c>
      <c r="AH268" s="702">
        <f t="shared" si="123"/>
        <v>-75.16839112719866</v>
      </c>
      <c r="AJ268" s="174">
        <f t="shared" si="124"/>
        <v>0</v>
      </c>
      <c r="AK268" s="174">
        <f t="shared" si="136"/>
        <v>0</v>
      </c>
      <c r="AM268" s="174" t="str">
        <f t="shared" si="128"/>
        <v>0.045592506620129+0.298506845114733i</v>
      </c>
      <c r="AN268" s="174" t="str">
        <f t="shared" si="129"/>
        <v>0.303127786809i</v>
      </c>
      <c r="AO268" s="174" t="str">
        <f t="shared" si="130"/>
        <v>0.984755796415396-0.150406886482026i</v>
      </c>
      <c r="AP268" s="174" t="str">
        <f t="shared" si="131"/>
        <v>0.159067915563312-0.0497511408524555i</v>
      </c>
      <c r="AQ268" s="174" t="str">
        <f t="shared" si="132"/>
        <v>0.840932084436688+0.0497511408524555i</v>
      </c>
      <c r="AR268" s="174" t="str">
        <f t="shared" si="133"/>
        <v>0.987112486291783-0.0583994513369259i</v>
      </c>
    </row>
    <row r="269" spans="7:44" x14ac:dyDescent="0.2">
      <c r="G269" s="703">
        <v>16982</v>
      </c>
      <c r="H269" s="691">
        <f t="shared" si="125"/>
        <v>16.981999999999999</v>
      </c>
      <c r="I269" s="692">
        <f t="shared" ref="I269:I332" si="137">SQRT(1+(G269/pole1)^2)</f>
        <v>16.598453032947486</v>
      </c>
      <c r="J269" s="693">
        <f t="shared" ref="J269:J332" si="138">ATAN(G269/pole1)</f>
        <v>1.5105132431888522</v>
      </c>
      <c r="K269" s="693">
        <f t="shared" ref="K269:K332" si="139">SQRT(1+(G269/Zero1)^2)</f>
        <v>1.0000421012677583</v>
      </c>
      <c r="L269" s="694">
        <f t="shared" ref="L269:L332" si="140">ATAN(G269/Zero1)</f>
        <v>9.1760329897024508E-3</v>
      </c>
      <c r="M269" s="693">
        <f t="shared" ref="M269:M332" si="141">SQRT(1+(G269/z_RHP)^2)</f>
        <v>1.0002348460049417</v>
      </c>
      <c r="N269" s="694">
        <f t="shared" ref="N269:N332" si="142">-ATAN(G269/z_RHP)</f>
        <v>-2.1670258586927209E-2</v>
      </c>
      <c r="O269" s="692">
        <f t="shared" ref="O269:O332" si="143">SQRT(1+(G269/Pole2)^2)</f>
        <v>30729.903212475598</v>
      </c>
      <c r="P269" s="695">
        <f t="shared" ref="P269:P332" si="144">ATAN(G269/Pole2)</f>
        <v>1.5707637852019973</v>
      </c>
      <c r="Q269" s="704">
        <f t="shared" si="134"/>
        <v>12.843116877123908</v>
      </c>
      <c r="R269" s="705">
        <f t="shared" si="135"/>
        <v>1.4928547172902173</v>
      </c>
      <c r="S269" s="692">
        <f t="shared" ref="S269:S332" si="145">SQRT(1+(G269/pole4)^2)</f>
        <v>1.0036366241738528</v>
      </c>
      <c r="T269" s="695">
        <f t="shared" ref="T269:T332" si="146">ATAN(G269/pole4)</f>
        <v>8.5154417426590703E-2</v>
      </c>
      <c r="U269" s="696">
        <f t="shared" si="126"/>
        <v>0.98489372886779936</v>
      </c>
      <c r="V269" s="697">
        <f t="shared" si="127"/>
        <v>-0.21184345486245923</v>
      </c>
      <c r="W269" s="698">
        <f t="shared" ref="W269:W332" si="147">20*LOG10(((K269*Q269*M269*U269)/(I269*O269*S269))*Adc)</f>
        <v>4.7236523550239458</v>
      </c>
      <c r="X269" s="699">
        <f t="shared" ref="X269:X332" si="148">((L269+R269+N269+V269)-(J269+P269+T269))*radconv</f>
        <v>-108.74248563627219</v>
      </c>
      <c r="Y269" s="702">
        <f t="shared" ref="Y269:Y332" si="149">IF(X269&gt;0,X269,X269+180)</f>
        <v>71.257514363727807</v>
      </c>
      <c r="AA269" s="174">
        <f t="shared" ref="AA269:AA332" si="150">IF(W269&lt;0,G269,1000000000)</f>
        <v>1000000000</v>
      </c>
      <c r="AB269" s="174">
        <f t="shared" ref="AB269:AB332" si="151">G269^2</f>
        <v>288388324</v>
      </c>
      <c r="AD269" s="701">
        <f t="shared" ref="AD269:AD332" si="152">20*LOG10((Q269/(O269*S269))*Aea)</f>
        <v>27.599104497302037</v>
      </c>
      <c r="AE269" s="702">
        <f t="shared" ref="AE269:AE332" si="153">(R269-(P269+T269))*radconv</f>
        <v>-9.3428495132577858</v>
      </c>
      <c r="AG269" s="701">
        <f t="shared" ref="AG269:AG332" si="154">20*LOG10((K269*M269/(I269*U269))*Acs*Am)</f>
        <v>2.776915926961943</v>
      </c>
      <c r="AH269" s="702">
        <f t="shared" ref="AH269:AH332" si="155">(L269+N269-(J269+V269))*radconv</f>
        <v>-75.124164333097468</v>
      </c>
      <c r="AJ269" s="174">
        <f t="shared" ref="AJ269:AJ332" si="156">SUM((W270&lt;0)*(W269&gt;0))*G269</f>
        <v>0</v>
      </c>
      <c r="AK269" s="174">
        <f t="shared" si="136"/>
        <v>0</v>
      </c>
      <c r="AM269" s="174" t="str">
        <f t="shared" si="128"/>
        <v>0.046111060986458+0.300159777497949i</v>
      </c>
      <c r="AN269" s="174" t="str">
        <f t="shared" si="129"/>
        <v>0.304860150756i</v>
      </c>
      <c r="AO269" s="174" t="str">
        <f t="shared" si="130"/>
        <v>0.984581870584283-0.151253159431007i</v>
      </c>
      <c r="AP269" s="174" t="str">
        <f t="shared" si="131"/>
        <v>0.15898148983559-0.0500266295829915i</v>
      </c>
      <c r="AQ269" s="174" t="str">
        <f t="shared" si="132"/>
        <v>0.84101851016441+0.0500266295829915i</v>
      </c>
      <c r="AR269" s="174" t="str">
        <f t="shared" si="133"/>
        <v>0.986973532864758-0.0587085286947959i</v>
      </c>
    </row>
    <row r="270" spans="7:44" x14ac:dyDescent="0.2">
      <c r="G270" s="703">
        <v>17081</v>
      </c>
      <c r="H270" s="691">
        <f t="shared" ref="H270:H333" si="157">G270/1000</f>
        <v>17.081</v>
      </c>
      <c r="I270" s="692">
        <f t="shared" si="137"/>
        <v>16.69486686295825</v>
      </c>
      <c r="J270" s="693">
        <f t="shared" si="138"/>
        <v>1.5108618001851848</v>
      </c>
      <c r="K270" s="693">
        <f t="shared" si="139"/>
        <v>1.0000425935637964</v>
      </c>
      <c r="L270" s="694">
        <f t="shared" si="140"/>
        <v>9.2295234989065722E-3</v>
      </c>
      <c r="M270" s="693">
        <f t="shared" si="141"/>
        <v>1.0002375918245965</v>
      </c>
      <c r="N270" s="694">
        <f t="shared" si="142"/>
        <v>-2.1796549844840755E-2</v>
      </c>
      <c r="O270" s="692">
        <f t="shared" si="143"/>
        <v>30909.049391654891</v>
      </c>
      <c r="P270" s="695">
        <f t="shared" si="144"/>
        <v>1.5707639738102577</v>
      </c>
      <c r="Q270" s="704">
        <f t="shared" si="134"/>
        <v>12.917535812799541</v>
      </c>
      <c r="R270" s="705">
        <f t="shared" si="135"/>
        <v>1.4933046485981527</v>
      </c>
      <c r="S270" s="692">
        <f t="shared" si="145"/>
        <v>1.0036790706966259</v>
      </c>
      <c r="T270" s="695">
        <f t="shared" si="146"/>
        <v>8.564842510363721E-2</v>
      </c>
      <c r="U270" s="696">
        <f t="shared" ref="U270:U333" si="158">IMABS(IMPRODUCT(AO270, AR270))</f>
        <v>0.98472537719984321</v>
      </c>
      <c r="V270" s="697">
        <f t="shared" ref="V270:V333" si="159">IMARGUMENT(IMPRODUCT(AO270, AR270))</f>
        <v>-0.21306043368695762</v>
      </c>
      <c r="W270" s="698">
        <f t="shared" si="147"/>
        <v>4.6712170376119539</v>
      </c>
      <c r="X270" s="699">
        <f t="shared" si="148"/>
        <v>-108.83889160362257</v>
      </c>
      <c r="Y270" s="702">
        <f t="shared" si="149"/>
        <v>71.161108396377429</v>
      </c>
      <c r="AA270" s="174">
        <f t="shared" si="150"/>
        <v>1000000000</v>
      </c>
      <c r="AB270" s="174">
        <f t="shared" si="151"/>
        <v>291760561</v>
      </c>
      <c r="AD270" s="701">
        <f t="shared" si="152"/>
        <v>27.598432821443012</v>
      </c>
      <c r="AE270" s="702">
        <f t="shared" si="153"/>
        <v>-9.3453857096443027</v>
      </c>
      <c r="AG270" s="701">
        <f t="shared" si="154"/>
        <v>2.7281219641804837</v>
      </c>
      <c r="AH270" s="702">
        <f t="shared" si="155"/>
        <v>-75.07857860310088</v>
      </c>
      <c r="AJ270" s="174">
        <f t="shared" si="156"/>
        <v>0</v>
      </c>
      <c r="AK270" s="174">
        <f t="shared" si="136"/>
        <v>0</v>
      </c>
      <c r="AM270" s="174" t="str">
        <f t="shared" ref="AM270:AM333" si="160">IMSUB(1,IMEXP(COMPLEX(0,-2*Pi*G270*Tsw)))</f>
        <v>0.046646024296144+0.301854595806743i</v>
      </c>
      <c r="AN270" s="174" t="str">
        <f t="shared" ref="AN270:AN333" si="161">COMPLEX(0, 2*Pi*G270*Tsw)</f>
        <v>0.306637394598i</v>
      </c>
      <c r="AO270" s="174" t="str">
        <f t="shared" ref="AO270:AO333" si="162">IMDIV(AM270, AN270)</f>
        <v>0.984402428159399-0.152121121291474i</v>
      </c>
      <c r="AP270" s="174" t="str">
        <f t="shared" ref="AP270:AP333" si="163">IMDIV(IMEXP(COMPLEX(0,-2*Pi*G270*Tsw)),6)</f>
        <v>0.158892329283976-0.0503090993011238i</v>
      </c>
      <c r="AQ270" s="174" t="str">
        <f t="shared" ref="AQ270:AQ333" si="164">IMSUB(1, AP270)</f>
        <v>0.841107670716024+0.0503090993011238i</v>
      </c>
      <c r="AR270" s="174" t="str">
        <f t="shared" ref="AR270:AR333" si="165">IMDIV(0.833, AQ270)</f>
        <v>0.986830253349801-0.0590251913490039i</v>
      </c>
    </row>
    <row r="271" spans="7:44" x14ac:dyDescent="0.2">
      <c r="G271" s="703">
        <v>17180</v>
      </c>
      <c r="H271" s="691">
        <f t="shared" si="157"/>
        <v>17.18</v>
      </c>
      <c r="I271" s="692">
        <f t="shared" si="137"/>
        <v>16.791282697968796</v>
      </c>
      <c r="J271" s="693">
        <f t="shared" si="138"/>
        <v>1.5112063543824026</v>
      </c>
      <c r="K271" s="693">
        <f t="shared" si="139"/>
        <v>1.0000430887211884</v>
      </c>
      <c r="L271" s="694">
        <f t="shared" si="140"/>
        <v>9.2830139552935835E-3</v>
      </c>
      <c r="M271" s="693">
        <f t="shared" si="141"/>
        <v>1.0002403535974345</v>
      </c>
      <c r="N271" s="694">
        <f t="shared" si="142"/>
        <v>-2.1922840407360655E-2</v>
      </c>
      <c r="O271" s="692">
        <f t="shared" si="143"/>
        <v>31088.195570835276</v>
      </c>
      <c r="P271" s="695">
        <f t="shared" si="144"/>
        <v>1.5707641602448024</v>
      </c>
      <c r="Q271" s="704">
        <f t="shared" si="134"/>
        <v>12.991957333519457</v>
      </c>
      <c r="R271" s="705">
        <f t="shared" si="135"/>
        <v>1.4937494253336134</v>
      </c>
      <c r="S271" s="692">
        <f t="shared" si="145"/>
        <v>1.003721762140086</v>
      </c>
      <c r="T271" s="695">
        <f t="shared" si="146"/>
        <v>8.6142390877823841E-2</v>
      </c>
      <c r="U271" s="696">
        <f t="shared" si="158"/>
        <v>0.98455612920457958</v>
      </c>
      <c r="V271" s="697">
        <f t="shared" si="159"/>
        <v>-0.21427710603478112</v>
      </c>
      <c r="W271" s="698">
        <f t="shared" si="147"/>
        <v>4.6190654967971723</v>
      </c>
      <c r="X271" s="699">
        <f t="shared" si="148"/>
        <v>-108.93534344068684</v>
      </c>
      <c r="Y271" s="702">
        <f t="shared" si="149"/>
        <v>71.064656559313164</v>
      </c>
      <c r="AA271" s="174">
        <f t="shared" si="150"/>
        <v>1000000000</v>
      </c>
      <c r="AB271" s="174">
        <f t="shared" si="151"/>
        <v>295152400</v>
      </c>
      <c r="AD271" s="701">
        <f t="shared" si="152"/>
        <v>27.597764266882329</v>
      </c>
      <c r="AE271" s="702">
        <f t="shared" si="153"/>
        <v>-9.348214715877404</v>
      </c>
      <c r="AG271" s="701">
        <f t="shared" si="154"/>
        <v>2.6796249794851552</v>
      </c>
      <c r="AH271" s="702">
        <f t="shared" si="155"/>
        <v>-75.032781052611625</v>
      </c>
      <c r="AJ271" s="174">
        <f t="shared" si="156"/>
        <v>0</v>
      </c>
      <c r="AK271" s="174">
        <f t="shared" si="136"/>
        <v>0</v>
      </c>
      <c r="AM271" s="174" t="str">
        <f t="shared" si="160"/>
        <v>0.047183998864782+0.303548460679167i</v>
      </c>
      <c r="AN271" s="174" t="str">
        <f t="shared" si="161"/>
        <v>0.30841463844i</v>
      </c>
      <c r="AO271" s="174" t="str">
        <f t="shared" si="162"/>
        <v>0.984221962402801-0.152988843536885i</v>
      </c>
      <c r="AP271" s="174" t="str">
        <f t="shared" si="163"/>
        <v>0.15880266685587-0.0505914101131945i</v>
      </c>
      <c r="AQ271" s="174" t="str">
        <f t="shared" si="164"/>
        <v>0.84119733314413+0.0505914101131945i</v>
      </c>
      <c r="AR271" s="174" t="str">
        <f t="shared" si="165"/>
        <v>0.98668623989007-0.0593414247151108i</v>
      </c>
    </row>
    <row r="272" spans="7:44" x14ac:dyDescent="0.2">
      <c r="G272" s="703">
        <v>17279</v>
      </c>
      <c r="H272" s="691">
        <f t="shared" si="157"/>
        <v>17.279</v>
      </c>
      <c r="I272" s="692">
        <f t="shared" si="137"/>
        <v>16.88770050363809</v>
      </c>
      <c r="J272" s="693">
        <f t="shared" si="138"/>
        <v>1.5115469742581402</v>
      </c>
      <c r="K272" s="693">
        <f t="shared" si="139"/>
        <v>1.0000435867399298</v>
      </c>
      <c r="L272" s="694">
        <f t="shared" si="140"/>
        <v>9.3365043585574656E-3</v>
      </c>
      <c r="M272" s="693">
        <f t="shared" si="141"/>
        <v>1.0002431313233242</v>
      </c>
      <c r="N272" s="694">
        <f t="shared" si="142"/>
        <v>-2.2049130270464189E-2</v>
      </c>
      <c r="O272" s="692">
        <f t="shared" si="143"/>
        <v>31267.341750016727</v>
      </c>
      <c r="P272" s="695">
        <f t="shared" si="144"/>
        <v>1.5707643445429942</v>
      </c>
      <c r="Q272" s="704">
        <f t="shared" si="134"/>
        <v>13.066381395113142</v>
      </c>
      <c r="R272" s="705">
        <f t="shared" si="135"/>
        <v>1.4941891353980139</v>
      </c>
      <c r="S272" s="692">
        <f t="shared" si="145"/>
        <v>1.0037646984729829</v>
      </c>
      <c r="T272" s="695">
        <f t="shared" si="146"/>
        <v>8.6636314513455145E-2</v>
      </c>
      <c r="U272" s="696">
        <f t="shared" si="158"/>
        <v>0.98438598624354257</v>
      </c>
      <c r="V272" s="697">
        <f t="shared" si="159"/>
        <v>-0.21549347034174318</v>
      </c>
      <c r="W272" s="698">
        <f t="shared" si="147"/>
        <v>4.5671943403184585</v>
      </c>
      <c r="X272" s="699">
        <f t="shared" si="148"/>
        <v>-109.03183993336648</v>
      </c>
      <c r="Y272" s="702">
        <f t="shared" si="149"/>
        <v>70.968160066633516</v>
      </c>
      <c r="AA272" s="174">
        <f t="shared" si="150"/>
        <v>1000000000</v>
      </c>
      <c r="AB272" s="174">
        <f t="shared" si="151"/>
        <v>298563841</v>
      </c>
      <c r="AD272" s="701">
        <f t="shared" si="152"/>
        <v>27.597098715337186</v>
      </c>
      <c r="AE272" s="702">
        <f t="shared" si="153"/>
        <v>-9.351331484213393</v>
      </c>
      <c r="AG272" s="701">
        <f t="shared" si="154"/>
        <v>2.6314216832011796</v>
      </c>
      <c r="AH272" s="702">
        <f t="shared" si="155"/>
        <v>-74.986775694517448</v>
      </c>
      <c r="AJ272" s="174">
        <f t="shared" si="156"/>
        <v>0</v>
      </c>
      <c r="AK272" s="174">
        <f t="shared" si="136"/>
        <v>0</v>
      </c>
      <c r="AM272" s="174" t="str">
        <f t="shared" si="160"/>
        <v>0.047724982993126+0.305241366764989i</v>
      </c>
      <c r="AN272" s="174" t="str">
        <f t="shared" si="161"/>
        <v>0.310191882282i</v>
      </c>
      <c r="AO272" s="174" t="str">
        <f t="shared" si="162"/>
        <v>0.984040473655882-0.153856324807812i</v>
      </c>
      <c r="AP272" s="174" t="str">
        <f t="shared" si="163"/>
        <v>0.158712502834479-0.0508735611274982i</v>
      </c>
      <c r="AQ272" s="174" t="str">
        <f t="shared" si="164"/>
        <v>0.841287497165521+0.0508735611274982i</v>
      </c>
      <c r="AR272" s="174" t="str">
        <f t="shared" si="165"/>
        <v>0.986541494106429-0.0596572267795896i</v>
      </c>
    </row>
    <row r="273" spans="7:44" x14ac:dyDescent="0.2">
      <c r="G273" s="703">
        <v>17378</v>
      </c>
      <c r="H273" s="691">
        <f t="shared" si="157"/>
        <v>17.378</v>
      </c>
      <c r="I273" s="692">
        <f t="shared" si="137"/>
        <v>16.984120246404213</v>
      </c>
      <c r="J273" s="693">
        <f t="shared" si="138"/>
        <v>1.5118837267387268</v>
      </c>
      <c r="K273" s="693">
        <f t="shared" si="139"/>
        <v>1.0000440876200161</v>
      </c>
      <c r="L273" s="694">
        <f t="shared" si="140"/>
        <v>9.3899947083922013E-3</v>
      </c>
      <c r="M273" s="693">
        <f t="shared" si="141"/>
        <v>1.0002459250021323</v>
      </c>
      <c r="N273" s="694">
        <f t="shared" si="142"/>
        <v>-2.2175419430128778E-2</v>
      </c>
      <c r="O273" s="692">
        <f t="shared" si="143"/>
        <v>31446.487929199229</v>
      </c>
      <c r="P273" s="695">
        <f t="shared" si="144"/>
        <v>1.5707645267413446</v>
      </c>
      <c r="Q273" s="704">
        <f t="shared" si="134"/>
        <v>13.140807954409249</v>
      </c>
      <c r="R273" s="705">
        <f t="shared" si="135"/>
        <v>1.4946238647092922</v>
      </c>
      <c r="S273" s="692">
        <f t="shared" si="145"/>
        <v>1.0038078796638918</v>
      </c>
      <c r="T273" s="695">
        <f t="shared" si="146"/>
        <v>8.7130195774958133E-2</v>
      </c>
      <c r="U273" s="696">
        <f t="shared" si="158"/>
        <v>0.98421494968423262</v>
      </c>
      <c r="V273" s="697">
        <f t="shared" si="159"/>
        <v>-0.21670952504713736</v>
      </c>
      <c r="W273" s="698">
        <f t="shared" si="147"/>
        <v>4.5156002347614415</v>
      </c>
      <c r="X273" s="699">
        <f t="shared" si="148"/>
        <v>-109.12837989248224</v>
      </c>
      <c r="Y273" s="702">
        <f t="shared" si="149"/>
        <v>70.871620107517757</v>
      </c>
      <c r="AA273" s="174">
        <f t="shared" si="150"/>
        <v>1000000000</v>
      </c>
      <c r="AB273" s="174">
        <f t="shared" si="151"/>
        <v>301994884</v>
      </c>
      <c r="AD273" s="701">
        <f t="shared" si="152"/>
        <v>27.596436051882968</v>
      </c>
      <c r="AE273" s="702">
        <f t="shared" si="153"/>
        <v>-9.3547310805116304</v>
      </c>
      <c r="AG273" s="701">
        <f t="shared" si="154"/>
        <v>2.5835088410692797</v>
      </c>
      <c r="AH273" s="702">
        <f t="shared" si="155"/>
        <v>-74.940566452623528</v>
      </c>
      <c r="AJ273" s="174">
        <f t="shared" si="156"/>
        <v>0</v>
      </c>
      <c r="AK273" s="174">
        <f t="shared" si="136"/>
        <v>0</v>
      </c>
      <c r="AM273" s="174" t="str">
        <f t="shared" si="160"/>
        <v>0.048268974972428+0.306933308717004i</v>
      </c>
      <c r="AN273" s="174" t="str">
        <f t="shared" si="161"/>
        <v>0.311969126124i</v>
      </c>
      <c r="AO273" s="174" t="str">
        <f t="shared" si="162"/>
        <v>0.983857962261963-0.15472356374535i</v>
      </c>
      <c r="AP273" s="174" t="str">
        <f t="shared" si="163"/>
        <v>0.158621837504595-0.051155551452834i</v>
      </c>
      <c r="AQ273" s="174" t="str">
        <f t="shared" si="164"/>
        <v>0.841378162495405+0.051155551452834i</v>
      </c>
      <c r="AR273" s="174" t="str">
        <f t="shared" si="165"/>
        <v>0.986396017626386-0.0599725955364723i</v>
      </c>
    </row>
    <row r="274" spans="7:44" x14ac:dyDescent="0.2">
      <c r="G274" s="703">
        <v>17479.25</v>
      </c>
      <c r="H274" s="691">
        <f t="shared" si="157"/>
        <v>17.47925</v>
      </c>
      <c r="I274" s="692">
        <f t="shared" si="137"/>
        <v>17.082733316410714</v>
      </c>
      <c r="J274" s="693">
        <f t="shared" si="138"/>
        <v>1.5122242006174296</v>
      </c>
      <c r="K274" s="693">
        <f t="shared" si="139"/>
        <v>1.0000446028433663</v>
      </c>
      <c r="L274" s="694">
        <f t="shared" si="140"/>
        <v>9.4447006924125929E-3</v>
      </c>
      <c r="M274" s="693">
        <f t="shared" si="141"/>
        <v>1.0002487986743893</v>
      </c>
      <c r="N274" s="694">
        <f t="shared" si="142"/>
        <v>-2.2304578066173929E-2</v>
      </c>
      <c r="O274" s="692">
        <f t="shared" si="143"/>
        <v>31629.705612455124</v>
      </c>
      <c r="P274" s="695">
        <f t="shared" si="144"/>
        <v>1.5707647109457825</v>
      </c>
      <c r="Q274" s="704">
        <f t="shared" si="134"/>
        <v>13.216928565938222</v>
      </c>
      <c r="R274" s="705">
        <f t="shared" si="135"/>
        <v>1.4950634099162727</v>
      </c>
      <c r="S274" s="692">
        <f t="shared" si="145"/>
        <v>1.0038522954812541</v>
      </c>
      <c r="T274" s="695">
        <f t="shared" si="146"/>
        <v>8.7635257535559924E-2</v>
      </c>
      <c r="U274" s="696">
        <f t="shared" si="158"/>
        <v>0.98403910306916242</v>
      </c>
      <c r="V274" s="697">
        <f t="shared" si="159"/>
        <v>-0.21795289550044306</v>
      </c>
      <c r="W274" s="698">
        <f t="shared" si="147"/>
        <v>4.4631166895087899</v>
      </c>
      <c r="X274" s="699">
        <f t="shared" si="148"/>
        <v>-109.22715768710708</v>
      </c>
      <c r="Y274" s="702">
        <f t="shared" si="149"/>
        <v>70.772842312892919</v>
      </c>
      <c r="AA274" s="174">
        <f t="shared" si="150"/>
        <v>1000000000</v>
      </c>
      <c r="AB274" s="174">
        <f t="shared" si="151"/>
        <v>305524180.5625</v>
      </c>
      <c r="AD274" s="701">
        <f t="shared" si="152"/>
        <v>27.595761198818266</v>
      </c>
      <c r="AE274" s="702">
        <f t="shared" si="153"/>
        <v>-9.3584954566635297</v>
      </c>
      <c r="AG274" s="701">
        <f t="shared" si="154"/>
        <v>2.5348041878008103</v>
      </c>
      <c r="AH274" s="702">
        <f t="shared" si="155"/>
        <v>-74.893100112242308</v>
      </c>
      <c r="AJ274" s="174">
        <f t="shared" si="156"/>
        <v>0</v>
      </c>
      <c r="AK274" s="174">
        <f t="shared" si="136"/>
        <v>0</v>
      </c>
      <c r="AM274" s="174" t="str">
        <f t="shared" si="160"/>
        <v>0.048828439783166+0.30866270107461i</v>
      </c>
      <c r="AN274" s="174" t="str">
        <f t="shared" si="161"/>
        <v>0.3137867618715i</v>
      </c>
      <c r="AO274" s="174" t="str">
        <f t="shared" si="162"/>
        <v>0.983670245467563-0.155610260585696i</v>
      </c>
      <c r="AP274" s="174" t="str">
        <f t="shared" si="163"/>
        <v>0.158528593369472-0.051443783512435i</v>
      </c>
      <c r="AQ274" s="174" t="str">
        <f t="shared" si="164"/>
        <v>0.841471406630528+0.051443783512435i</v>
      </c>
      <c r="AR274" s="174" t="str">
        <f t="shared" si="165"/>
        <v>0.986246480770571-0.0602946814911078i</v>
      </c>
    </row>
    <row r="275" spans="7:44" x14ac:dyDescent="0.2">
      <c r="G275" s="703">
        <v>17580.5</v>
      </c>
      <c r="H275" s="691">
        <f t="shared" si="157"/>
        <v>17.580500000000001</v>
      </c>
      <c r="I275" s="692">
        <f t="shared" si="137"/>
        <v>17.181348343957872</v>
      </c>
      <c r="J275" s="693">
        <f t="shared" si="138"/>
        <v>1.512560766128956</v>
      </c>
      <c r="K275" s="693">
        <f t="shared" si="139"/>
        <v>1.0000451210595915</v>
      </c>
      <c r="L275" s="694">
        <f t="shared" si="140"/>
        <v>9.499406619900206E-3</v>
      </c>
      <c r="M275" s="693">
        <f t="shared" si="141"/>
        <v>1.000251689032654</v>
      </c>
      <c r="N275" s="694">
        <f t="shared" si="142"/>
        <v>-2.2433735957932088E-2</v>
      </c>
      <c r="O275" s="692">
        <f t="shared" si="143"/>
        <v>31812.923295712084</v>
      </c>
      <c r="P275" s="695">
        <f t="shared" si="144"/>
        <v>1.5707648930284719</v>
      </c>
      <c r="Q275" s="704">
        <f t="shared" si="134"/>
        <v>13.293051701732795</v>
      </c>
      <c r="R275" s="705">
        <f t="shared" si="135"/>
        <v>1.4954979210637189</v>
      </c>
      <c r="S275" s="692">
        <f t="shared" si="145"/>
        <v>1.0038969673459732</v>
      </c>
      <c r="T275" s="695">
        <f t="shared" si="146"/>
        <v>8.8140274476038866E-2</v>
      </c>
      <c r="U275" s="696">
        <f t="shared" si="158"/>
        <v>0.98386232468833656</v>
      </c>
      <c r="V275" s="697">
        <f t="shared" si="159"/>
        <v>-0.21919593882859667</v>
      </c>
      <c r="W275" s="698">
        <f t="shared" si="147"/>
        <v>4.410916061593487</v>
      </c>
      <c r="X275" s="699">
        <f t="shared" si="148"/>
        <v>-109.325978507286</v>
      </c>
      <c r="Y275" s="702">
        <f t="shared" si="149"/>
        <v>70.674021492714004</v>
      </c>
      <c r="AA275" s="174">
        <f t="shared" si="150"/>
        <v>1000000000</v>
      </c>
      <c r="AB275" s="174">
        <f t="shared" si="151"/>
        <v>309073980.25</v>
      </c>
      <c r="AD275" s="701">
        <f t="shared" si="152"/>
        <v>27.595089133736334</v>
      </c>
      <c r="AE275" s="702">
        <f t="shared" si="153"/>
        <v>-9.3625455736097827</v>
      </c>
      <c r="AG275" s="701">
        <f t="shared" si="154"/>
        <v>2.4863966705416103</v>
      </c>
      <c r="AH275" s="702">
        <f t="shared" si="155"/>
        <v>-74.845428542402018</v>
      </c>
      <c r="AJ275" s="174">
        <f t="shared" si="156"/>
        <v>0</v>
      </c>
      <c r="AK275" s="174">
        <f t="shared" si="136"/>
        <v>0</v>
      </c>
      <c r="AM275" s="174" t="str">
        <f t="shared" si="160"/>
        <v>0.0493910470733639+0.310391073672754i</v>
      </c>
      <c r="AN275" s="174" t="str">
        <f t="shared" si="161"/>
        <v>0.315604397619i</v>
      </c>
      <c r="AO275" s="174" t="str">
        <f t="shared" si="162"/>
        <v>0.983481459746516-0.15649670107889i</v>
      </c>
      <c r="AP275" s="174" t="str">
        <f t="shared" si="163"/>
        <v>0.158434825487773-0.0517318456121257i</v>
      </c>
      <c r="AQ275" s="174" t="str">
        <f t="shared" si="164"/>
        <v>0.841565174512227+0.0517318456121257i</v>
      </c>
      <c r="AR275" s="174" t="str">
        <f t="shared" si="165"/>
        <v>0.986096183091888-0.0606163099987865i</v>
      </c>
    </row>
    <row r="276" spans="7:44" x14ac:dyDescent="0.2">
      <c r="G276" s="703">
        <v>17681.75</v>
      </c>
      <c r="H276" s="691">
        <f t="shared" si="157"/>
        <v>17.681750000000001</v>
      </c>
      <c r="I276" s="692">
        <f t="shared" si="137"/>
        <v>17.279965295531223</v>
      </c>
      <c r="J276" s="693">
        <f t="shared" si="138"/>
        <v>1.5128934901116791</v>
      </c>
      <c r="K276" s="693">
        <f t="shared" si="139"/>
        <v>1.0000456422686872</v>
      </c>
      <c r="L276" s="694">
        <f t="shared" si="140"/>
        <v>9.5541124905276879E-3</v>
      </c>
      <c r="M276" s="693">
        <f t="shared" si="141"/>
        <v>1.0002545960767817</v>
      </c>
      <c r="N276" s="694">
        <f t="shared" si="142"/>
        <v>-2.2562893101100559E-2</v>
      </c>
      <c r="O276" s="692">
        <f t="shared" si="143"/>
        <v>31996.140978970085</v>
      </c>
      <c r="P276" s="695">
        <f t="shared" si="144"/>
        <v>1.5707650730258618</v>
      </c>
      <c r="Q276" s="704">
        <f t="shared" si="134"/>
        <v>13.369177318674001</v>
      </c>
      <c r="R276" s="705">
        <f t="shared" si="135"/>
        <v>1.4959274839796646</v>
      </c>
      <c r="S276" s="692">
        <f t="shared" si="145"/>
        <v>1.0039418952238697</v>
      </c>
      <c r="T276" s="695">
        <f t="shared" si="146"/>
        <v>8.8645246344794107E-2</v>
      </c>
      <c r="U276" s="696">
        <f t="shared" si="158"/>
        <v>0.98368461602378765</v>
      </c>
      <c r="V276" s="697">
        <f t="shared" si="159"/>
        <v>-0.22043865337337973</v>
      </c>
      <c r="W276" s="698">
        <f t="shared" si="147"/>
        <v>4.3589949674359021</v>
      </c>
      <c r="X276" s="699">
        <f t="shared" si="148"/>
        <v>-109.42484115742762</v>
      </c>
      <c r="Y276" s="702">
        <f t="shared" si="149"/>
        <v>70.575158842572378</v>
      </c>
      <c r="AA276" s="174">
        <f t="shared" si="150"/>
        <v>1000000000</v>
      </c>
      <c r="AB276" s="174">
        <f t="shared" si="151"/>
        <v>312644283.0625</v>
      </c>
      <c r="AD276" s="701">
        <f t="shared" si="152"/>
        <v>27.594419743876276</v>
      </c>
      <c r="AE276" s="702">
        <f t="shared" si="153"/>
        <v>-9.3668765014389912</v>
      </c>
      <c r="AG276" s="701">
        <f t="shared" si="154"/>
        <v>2.4382830013684504</v>
      </c>
      <c r="AH276" s="702">
        <f t="shared" si="155"/>
        <v>-74.79755566744052</v>
      </c>
      <c r="AJ276" s="174">
        <f t="shared" si="156"/>
        <v>0</v>
      </c>
      <c r="AK276" s="174">
        <f t="shared" si="136"/>
        <v>0</v>
      </c>
      <c r="AM276" s="174" t="str">
        <f t="shared" si="160"/>
        <v>0.049956794984281+0.312118420801241i</v>
      </c>
      <c r="AN276" s="174" t="str">
        <f t="shared" si="161"/>
        <v>0.3174220333665i</v>
      </c>
      <c r="AO276" s="174" t="str">
        <f t="shared" si="162"/>
        <v>0.983291605472342-0.157382883772911i</v>
      </c>
      <c r="AP276" s="174" t="str">
        <f t="shared" si="163"/>
        <v>0.158340534169287-0.0520197368002068i</v>
      </c>
      <c r="AQ276" s="174" t="str">
        <f t="shared" si="164"/>
        <v>0.841659465830713+0.0520197368002068i</v>
      </c>
      <c r="AR276" s="174" t="str">
        <f t="shared" si="165"/>
        <v>0.985945126352642-0.060937478938337i</v>
      </c>
    </row>
    <row r="277" spans="7:44" x14ac:dyDescent="0.2">
      <c r="G277" s="703">
        <v>17783</v>
      </c>
      <c r="H277" s="691">
        <f t="shared" si="157"/>
        <v>17.783000000000001</v>
      </c>
      <c r="I277" s="692">
        <f t="shared" si="137"/>
        <v>17.378584138376386</v>
      </c>
      <c r="J277" s="693">
        <f t="shared" si="138"/>
        <v>1.5132224378902583</v>
      </c>
      <c r="K277" s="693">
        <f t="shared" si="139"/>
        <v>1.0000461664706486</v>
      </c>
      <c r="L277" s="694">
        <f t="shared" si="140"/>
        <v>9.6088183039676877E-3</v>
      </c>
      <c r="M277" s="693">
        <f t="shared" si="141"/>
        <v>1.000257519806627</v>
      </c>
      <c r="N277" s="694">
        <f t="shared" si="142"/>
        <v>-2.2692049491376803E-2</v>
      </c>
      <c r="O277" s="692">
        <f t="shared" si="143"/>
        <v>32179.358662229115</v>
      </c>
      <c r="P277" s="695">
        <f t="shared" si="144"/>
        <v>1.570765250973571</v>
      </c>
      <c r="Q277" s="704">
        <f t="shared" si="134"/>
        <v>13.445305374618036</v>
      </c>
      <c r="R277" s="705">
        <f t="shared" si="135"/>
        <v>1.4963521825556925</v>
      </c>
      <c r="S277" s="692">
        <f t="shared" si="145"/>
        <v>1.0039870790805745</v>
      </c>
      <c r="T277" s="695">
        <f t="shared" si="146"/>
        <v>8.9150172890361576E-2</v>
      </c>
      <c r="U277" s="696">
        <f t="shared" si="158"/>
        <v>0.98350597856392541</v>
      </c>
      <c r="V277" s="697">
        <f t="shared" si="159"/>
        <v>-0.2216810374804212</v>
      </c>
      <c r="W277" s="698">
        <f t="shared" si="147"/>
        <v>4.307350082113758</v>
      </c>
      <c r="X277" s="699">
        <f t="shared" si="148"/>
        <v>-109.52374446634231</v>
      </c>
      <c r="Y277" s="702">
        <f t="shared" si="149"/>
        <v>70.476255533657692</v>
      </c>
      <c r="AA277" s="174">
        <f t="shared" si="150"/>
        <v>1000000000</v>
      </c>
      <c r="AB277" s="174">
        <f t="shared" si="151"/>
        <v>316235089</v>
      </c>
      <c r="AD277" s="701">
        <f t="shared" si="152"/>
        <v>27.593752919680178</v>
      </c>
      <c r="AE277" s="702">
        <f t="shared" si="153"/>
        <v>-9.3714834211504883</v>
      </c>
      <c r="AG277" s="701">
        <f t="shared" si="154"/>
        <v>2.3904599477340498</v>
      </c>
      <c r="AH277" s="702">
        <f t="shared" si="155"/>
        <v>-74.749485324745805</v>
      </c>
      <c r="AJ277" s="174">
        <f t="shared" si="156"/>
        <v>0</v>
      </c>
      <c r="AK277" s="174">
        <f t="shared" si="136"/>
        <v>0</v>
      </c>
      <c r="AM277" s="174" t="str">
        <f t="shared" si="160"/>
        <v>0.050525681646799+0.313844736753263i</v>
      </c>
      <c r="AN277" s="174" t="str">
        <f t="shared" si="161"/>
        <v>0.319239669114i</v>
      </c>
      <c r="AO277" s="174" t="str">
        <f t="shared" si="162"/>
        <v>0.98310068302066-0.1582688072163i</v>
      </c>
      <c r="AP277" s="174" t="str">
        <f t="shared" si="163"/>
        <v>0.158245719725534-0.0523074561255438i</v>
      </c>
      <c r="AQ277" s="174" t="str">
        <f t="shared" si="164"/>
        <v>0.841754280274466+0.0523074561255438i</v>
      </c>
      <c r="AR277" s="174" t="str">
        <f t="shared" si="165"/>
        <v>0.985793312322219-0.0612581861969691i</v>
      </c>
    </row>
    <row r="278" spans="7:44" x14ac:dyDescent="0.2">
      <c r="G278" s="703">
        <v>17886.5</v>
      </c>
      <c r="H278" s="691">
        <f t="shared" si="157"/>
        <v>17.886500000000002</v>
      </c>
      <c r="I278" s="692">
        <f t="shared" si="137"/>
        <v>17.479396432511994</v>
      </c>
      <c r="J278" s="693">
        <f t="shared" si="138"/>
        <v>1.5135548590877428</v>
      </c>
      <c r="K278" s="693">
        <f t="shared" si="139"/>
        <v>1.0000467054149045</v>
      </c>
      <c r="L278" s="694">
        <f t="shared" si="140"/>
        <v>9.6647397427020998E-3</v>
      </c>
      <c r="M278" s="693">
        <f t="shared" si="141"/>
        <v>1.0002605257541224</v>
      </c>
      <c r="N278" s="694">
        <f t="shared" si="142"/>
        <v>-2.2824075241004844E-2</v>
      </c>
      <c r="O278" s="692">
        <f t="shared" si="143"/>
        <v>32366.647849561603</v>
      </c>
      <c r="P278" s="695">
        <f t="shared" si="144"/>
        <v>1.5707654307934074</v>
      </c>
      <c r="Q278" s="704">
        <f t="shared" si="134"/>
        <v>13.523127643154284</v>
      </c>
      <c r="R278" s="705">
        <f t="shared" si="135"/>
        <v>1.496781376572663</v>
      </c>
      <c r="S278" s="692">
        <f t="shared" si="145"/>
        <v>1.0040335315616382</v>
      </c>
      <c r="T278" s="695">
        <f t="shared" si="146"/>
        <v>8.9666272918989529E-2</v>
      </c>
      <c r="U278" s="696">
        <f t="shared" si="158"/>
        <v>0.98332241295470013</v>
      </c>
      <c r="V278" s="697">
        <f t="shared" si="159"/>
        <v>-0.22295068687071809</v>
      </c>
      <c r="W278" s="698">
        <f t="shared" si="147"/>
        <v>4.2548396146408489</v>
      </c>
      <c r="X278" s="699">
        <f t="shared" si="148"/>
        <v>-109.62488645603672</v>
      </c>
      <c r="Y278" s="702">
        <f t="shared" si="149"/>
        <v>70.37511354396328</v>
      </c>
      <c r="AA278" s="174">
        <f t="shared" si="150"/>
        <v>1000000000</v>
      </c>
      <c r="AB278" s="174">
        <f t="shared" si="151"/>
        <v>319926882.25</v>
      </c>
      <c r="AD278" s="701">
        <f t="shared" si="152"/>
        <v>27.593073818152867</v>
      </c>
      <c r="AE278" s="702">
        <f t="shared" si="153"/>
        <v>-9.3764730717561626</v>
      </c>
      <c r="AG278" s="701">
        <f t="shared" si="154"/>
        <v>2.3418712248875231</v>
      </c>
      <c r="AH278" s="702">
        <f t="shared" si="155"/>
        <v>-74.700146560617569</v>
      </c>
      <c r="AJ278" s="174">
        <f t="shared" si="156"/>
        <v>0</v>
      </c>
      <c r="AK278" s="174">
        <f t="shared" si="136"/>
        <v>0</v>
      </c>
      <c r="AM278" s="174" t="str">
        <f t="shared" si="160"/>
        <v>0.051110452429757+0.315608343539804i</v>
      </c>
      <c r="AN278" s="174" t="str">
        <f t="shared" si="161"/>
        <v>0.321097696767i</v>
      </c>
      <c r="AO278" s="174" t="str">
        <f t="shared" si="162"/>
        <v>0.982904414193979-0.159174148380281i</v>
      </c>
      <c r="AP278" s="174" t="str">
        <f t="shared" si="163"/>
        <v>0.158148257928374-0.0526013905899673i</v>
      </c>
      <c r="AQ278" s="174" t="str">
        <f t="shared" si="164"/>
        <v>0.841851742071626+0.0526013905899673i</v>
      </c>
      <c r="AR278" s="174" t="str">
        <f t="shared" si="165"/>
        <v>0.98563734377519-0.0615855409081823i</v>
      </c>
    </row>
    <row r="279" spans="7:44" x14ac:dyDescent="0.2">
      <c r="G279" s="703">
        <v>17990</v>
      </c>
      <c r="H279" s="691">
        <f t="shared" si="157"/>
        <v>17.989999999999998</v>
      </c>
      <c r="I279" s="692">
        <f t="shared" si="137"/>
        <v>17.580210636035599</v>
      </c>
      <c r="J279" s="693">
        <f t="shared" si="138"/>
        <v>1.5138834677641142</v>
      </c>
      <c r="K279" s="693">
        <f t="shared" si="139"/>
        <v>1.0000472474865103</v>
      </c>
      <c r="L279" s="694">
        <f t="shared" si="140"/>
        <v>9.7206611209874044E-3</v>
      </c>
      <c r="M279" s="693">
        <f t="shared" si="141"/>
        <v>1.0002635491368526</v>
      </c>
      <c r="N279" s="694">
        <f t="shared" si="142"/>
        <v>-2.2956100194815775E-2</v>
      </c>
      <c r="O279" s="692">
        <f t="shared" si="143"/>
        <v>32553.937036895124</v>
      </c>
      <c r="P279" s="695">
        <f t="shared" si="144"/>
        <v>1.5707656085441664</v>
      </c>
      <c r="Q279" s="704">
        <f t="shared" ref="Q279:Q342" si="166">SQRT(1+(G279/Zero2)^2)</f>
        <v>13.600952374245024</v>
      </c>
      <c r="R279" s="705">
        <f t="shared" ref="R279:R342" si="167">ATAN(G279/Zero2)</f>
        <v>1.4972056589655653</v>
      </c>
      <c r="S279" s="692">
        <f t="shared" si="145"/>
        <v>1.0040802514515235</v>
      </c>
      <c r="T279" s="695">
        <f t="shared" si="146"/>
        <v>9.0182325056756649E-2</v>
      </c>
      <c r="U279" s="696">
        <f t="shared" si="158"/>
        <v>0.98313787997716484</v>
      </c>
      <c r="V279" s="697">
        <f t="shared" si="159"/>
        <v>-0.22421998749051625</v>
      </c>
      <c r="W279" s="698">
        <f t="shared" si="147"/>
        <v>4.2026109242647305</v>
      </c>
      <c r="X279" s="699">
        <f t="shared" si="148"/>
        <v>-109.72606853198707</v>
      </c>
      <c r="Y279" s="702">
        <f t="shared" si="149"/>
        <v>70.273931468012933</v>
      </c>
      <c r="AA279" s="174">
        <f t="shared" si="150"/>
        <v>1000000000</v>
      </c>
      <c r="AB279" s="174">
        <f t="shared" si="151"/>
        <v>323640100</v>
      </c>
      <c r="AD279" s="701">
        <f t="shared" si="152"/>
        <v>27.592397175861883</v>
      </c>
      <c r="AE279" s="702">
        <f t="shared" si="153"/>
        <v>-9.3817412751982232</v>
      </c>
      <c r="AG279" s="701">
        <f t="shared" si="154"/>
        <v>2.2935795184180723</v>
      </c>
      <c r="AH279" s="702">
        <f t="shared" si="155"/>
        <v>-74.650609296064118</v>
      </c>
      <c r="AJ279" s="174">
        <f t="shared" si="156"/>
        <v>0</v>
      </c>
      <c r="AK279" s="174">
        <f t="shared" si="136"/>
        <v>0</v>
      </c>
      <c r="AM279" s="174" t="str">
        <f t="shared" si="160"/>
        <v>0.0516984990316151+0.317370860762465i</v>
      </c>
      <c r="AN279" s="174" t="str">
        <f t="shared" si="161"/>
        <v>0.32295572442i</v>
      </c>
      <c r="AO279" s="174" t="str">
        <f t="shared" si="162"/>
        <v>0.982707029988198-0.160079215578114i</v>
      </c>
      <c r="AP279" s="174" t="str">
        <f t="shared" si="163"/>
        <v>0.158050250161397-0.0528951434604108i</v>
      </c>
      <c r="AQ279" s="174" t="str">
        <f t="shared" si="164"/>
        <v>0.841949749838603+0.0528951434604108i</v>
      </c>
      <c r="AR279" s="174" t="str">
        <f t="shared" si="165"/>
        <v>0.985480587666956-0.0619124087537125i</v>
      </c>
    </row>
    <row r="280" spans="7:44" x14ac:dyDescent="0.2">
      <c r="G280" s="703">
        <v>18093.5</v>
      </c>
      <c r="H280" s="691">
        <f t="shared" si="157"/>
        <v>18.093499999999999</v>
      </c>
      <c r="I280" s="692">
        <f t="shared" si="137"/>
        <v>17.68102671628618</v>
      </c>
      <c r="J280" s="693">
        <f t="shared" si="138"/>
        <v>1.5142083290640422</v>
      </c>
      <c r="K280" s="693">
        <f t="shared" si="139"/>
        <v>1.0000477926854612</v>
      </c>
      <c r="L280" s="694">
        <f t="shared" si="140"/>
        <v>9.7765824384739471E-3</v>
      </c>
      <c r="M280" s="693">
        <f t="shared" si="141"/>
        <v>1.0002665899546592</v>
      </c>
      <c r="N280" s="694">
        <f t="shared" si="142"/>
        <v>-2.3088124348214285E-2</v>
      </c>
      <c r="O280" s="692">
        <f t="shared" si="143"/>
        <v>32741.226224229667</v>
      </c>
      <c r="P280" s="695">
        <f t="shared" si="144"/>
        <v>1.5707657842613547</v>
      </c>
      <c r="Q280" s="704">
        <f t="shared" si="166"/>
        <v>13.678779525858509</v>
      </c>
      <c r="R280" s="705">
        <f t="shared" si="167"/>
        <v>1.4976251134162508</v>
      </c>
      <c r="S280" s="692">
        <f t="shared" si="145"/>
        <v>1.0041272387129043</v>
      </c>
      <c r="T280" s="695">
        <f t="shared" si="146"/>
        <v>9.0698329035507494E-2</v>
      </c>
      <c r="U280" s="696">
        <f t="shared" si="158"/>
        <v>0.98295238124166995</v>
      </c>
      <c r="V280" s="697">
        <f t="shared" si="159"/>
        <v>-0.22548893758527289</v>
      </c>
      <c r="W280" s="698">
        <f t="shared" si="147"/>
        <v>4.1506606408666009</v>
      </c>
      <c r="X280" s="699">
        <f t="shared" si="148"/>
        <v>-109.82728951799018</v>
      </c>
      <c r="Y280" s="702">
        <f t="shared" si="149"/>
        <v>70.172710482009819</v>
      </c>
      <c r="AA280" s="174">
        <f t="shared" si="150"/>
        <v>1000000000</v>
      </c>
      <c r="AB280" s="174">
        <f t="shared" si="151"/>
        <v>327374742.25</v>
      </c>
      <c r="AD280" s="701">
        <f t="shared" si="152"/>
        <v>27.591722885474045</v>
      </c>
      <c r="AE280" s="702">
        <f t="shared" si="153"/>
        <v>-9.3872832235299626</v>
      </c>
      <c r="AG280" s="701">
        <f t="shared" si="154"/>
        <v>2.2455815469331815</v>
      </c>
      <c r="AH280" s="702">
        <f t="shared" si="155"/>
        <v>-74.600877363884749</v>
      </c>
      <c r="AJ280" s="174">
        <f t="shared" si="156"/>
        <v>0</v>
      </c>
      <c r="AK280" s="174">
        <f t="shared" si="136"/>
        <v>0</v>
      </c>
      <c r="AM280" s="174" t="str">
        <f t="shared" si="160"/>
        <v>0.0522898194222809+0.319132282336569i</v>
      </c>
      <c r="AN280" s="174" t="str">
        <f t="shared" si="161"/>
        <v>0.324813752073i</v>
      </c>
      <c r="AO280" s="174" t="str">
        <f t="shared" si="162"/>
        <v>0.982508530811361-0.160984007261272i</v>
      </c>
      <c r="AP280" s="174" t="str">
        <f t="shared" si="163"/>
        <v>0.157951696762953-0.0531887137227615i</v>
      </c>
      <c r="AQ280" s="174" t="str">
        <f t="shared" si="164"/>
        <v>0.842048303237047+0.0531887137227615i</v>
      </c>
      <c r="AR280" s="174" t="str">
        <f t="shared" si="165"/>
        <v>0.985323045910141-0.0622387875040945i</v>
      </c>
    </row>
    <row r="281" spans="7:44" x14ac:dyDescent="0.2">
      <c r="G281" s="703">
        <v>18197</v>
      </c>
      <c r="H281" s="691">
        <f t="shared" si="157"/>
        <v>18.196999999999999</v>
      </c>
      <c r="I281" s="692">
        <f t="shared" si="137"/>
        <v>17.781844641342822</v>
      </c>
      <c r="J281" s="693">
        <f t="shared" si="138"/>
        <v>1.514529506657996</v>
      </c>
      <c r="K281" s="693">
        <f t="shared" si="139"/>
        <v>1.0000483410117518</v>
      </c>
      <c r="L281" s="694">
        <f t="shared" si="140"/>
        <v>9.8325036948120753E-3</v>
      </c>
      <c r="M281" s="693">
        <f t="shared" si="141"/>
        <v>1.0002696482073836</v>
      </c>
      <c r="N281" s="694">
        <f t="shared" si="142"/>
        <v>-2.3220147696605239E-2</v>
      </c>
      <c r="O281" s="692">
        <f t="shared" si="143"/>
        <v>32928.515411565211</v>
      </c>
      <c r="P281" s="695">
        <f t="shared" si="144"/>
        <v>1.570765957979672</v>
      </c>
      <c r="Q281" s="704">
        <f t="shared" si="166"/>
        <v>13.756609056912879</v>
      </c>
      <c r="R281" s="705">
        <f t="shared" si="167"/>
        <v>1.4980398217196975</v>
      </c>
      <c r="S281" s="692">
        <f t="shared" si="145"/>
        <v>1.0041744933082484</v>
      </c>
      <c r="T281" s="695">
        <f t="shared" si="146"/>
        <v>9.121428458723925E-2</v>
      </c>
      <c r="U281" s="696">
        <f t="shared" si="158"/>
        <v>0.98276591836539073</v>
      </c>
      <c r="V281" s="697">
        <f t="shared" si="159"/>
        <v>-0.22675753540472243</v>
      </c>
      <c r="W281" s="698">
        <f t="shared" si="147"/>
        <v>4.0989854526879919</v>
      </c>
      <c r="X281" s="699">
        <f t="shared" si="148"/>
        <v>-109.92854826169477</v>
      </c>
      <c r="Y281" s="702">
        <f t="shared" si="149"/>
        <v>70.071451738305228</v>
      </c>
      <c r="AA281" s="174">
        <f t="shared" si="150"/>
        <v>1000000000</v>
      </c>
      <c r="AB281" s="174">
        <f t="shared" si="151"/>
        <v>331130809</v>
      </c>
      <c r="AD281" s="701">
        <f t="shared" si="152"/>
        <v>27.591050842705375</v>
      </c>
      <c r="AE281" s="702">
        <f t="shared" si="153"/>
        <v>-9.3930942168770564</v>
      </c>
      <c r="AG281" s="701">
        <f t="shared" si="154"/>
        <v>2.1978740842670801</v>
      </c>
      <c r="AH281" s="702">
        <f t="shared" si="155"/>
        <v>-74.550954512168218</v>
      </c>
      <c r="AJ281" s="174">
        <f t="shared" si="156"/>
        <v>0</v>
      </c>
      <c r="AK281" s="174">
        <f t="shared" si="136"/>
        <v>0</v>
      </c>
      <c r="AM281" s="174" t="str">
        <f t="shared" si="160"/>
        <v>0.0528844115603599+0.320892602181219i</v>
      </c>
      <c r="AN281" s="174" t="str">
        <f t="shared" si="161"/>
        <v>0.326671779726i</v>
      </c>
      <c r="AO281" s="174" t="str">
        <f t="shared" si="162"/>
        <v>0.982308917073803-0.161888521881864i</v>
      </c>
      <c r="AP281" s="174" t="str">
        <f t="shared" si="163"/>
        <v>0.157852598073273-0.0534821003635365i</v>
      </c>
      <c r="AQ281" s="174" t="str">
        <f t="shared" si="164"/>
        <v>0.842147401926727+0.0534821003635365i</v>
      </c>
      <c r="AR281" s="174" t="str">
        <f t="shared" si="165"/>
        <v>0.985164720424892-0.0625646749391311i</v>
      </c>
    </row>
    <row r="282" spans="7:44" x14ac:dyDescent="0.2">
      <c r="G282" s="703">
        <v>18303</v>
      </c>
      <c r="H282" s="691">
        <f t="shared" si="157"/>
        <v>18.303000000000001</v>
      </c>
      <c r="I282" s="692">
        <f t="shared" si="137"/>
        <v>17.885099661568379</v>
      </c>
      <c r="J282" s="693">
        <f t="shared" si="138"/>
        <v>1.5148546889380579</v>
      </c>
      <c r="K282" s="693">
        <f t="shared" si="139"/>
        <v>1.000048905824195</v>
      </c>
      <c r="L282" s="694">
        <f t="shared" si="140"/>
        <v>9.8897756423870966E-3</v>
      </c>
      <c r="M282" s="693">
        <f t="shared" si="141"/>
        <v>1.0002727984024835</v>
      </c>
      <c r="N282" s="694">
        <f t="shared" si="142"/>
        <v>-2.3355359175553609E-2</v>
      </c>
      <c r="O282" s="692">
        <f t="shared" si="143"/>
        <v>33120.328492315668</v>
      </c>
      <c r="P282" s="695">
        <f t="shared" si="144"/>
        <v>1.570766133857638</v>
      </c>
      <c r="Q282" s="704">
        <f t="shared" si="166"/>
        <v>13.836320952722692</v>
      </c>
      <c r="R282" s="705">
        <f t="shared" si="167"/>
        <v>1.4984597111756377</v>
      </c>
      <c r="S282" s="692">
        <f t="shared" si="145"/>
        <v>1.0042231663774686</v>
      </c>
      <c r="T282" s="695">
        <f t="shared" si="146"/>
        <v>9.1742652357842236E-2</v>
      </c>
      <c r="U282" s="696">
        <f t="shared" si="158"/>
        <v>0.98257395389709956</v>
      </c>
      <c r="V282" s="697">
        <f t="shared" si="159"/>
        <v>-0.22805640871760968</v>
      </c>
      <c r="W282" s="698">
        <f t="shared" si="147"/>
        <v>4.0463438138286758</v>
      </c>
      <c r="X282" s="699">
        <f t="shared" si="148"/>
        <v>-110.03229082585287</v>
      </c>
      <c r="Y282" s="702">
        <f t="shared" si="149"/>
        <v>69.967709174147132</v>
      </c>
      <c r="AA282" s="174">
        <f t="shared" si="150"/>
        <v>1000000000</v>
      </c>
      <c r="AB282" s="174">
        <f t="shared" si="151"/>
        <v>334999809</v>
      </c>
      <c r="AD282" s="701">
        <f t="shared" si="152"/>
        <v>27.59036479086387</v>
      </c>
      <c r="AE282" s="702">
        <f t="shared" si="153"/>
        <v>-9.399319643548198</v>
      </c>
      <c r="AG282" s="701">
        <f t="shared" si="154"/>
        <v>2.1493120725078625</v>
      </c>
      <c r="AH282" s="702">
        <f t="shared" si="155"/>
        <v>-74.499631731583861</v>
      </c>
      <c r="AJ282" s="174">
        <f t="shared" si="156"/>
        <v>0</v>
      </c>
      <c r="AK282" s="174">
        <f t="shared" ref="AK282:AK345" si="168">IF(AJ282&gt;0,Y282,0)</f>
        <v>0</v>
      </c>
      <c r="AM282" s="174" t="str">
        <f t="shared" si="160"/>
        <v>0.05349675492594+0.322694293510552i</v>
      </c>
      <c r="AN282" s="174" t="str">
        <f t="shared" si="161"/>
        <v>0.328574687274i</v>
      </c>
      <c r="AO282" s="174" t="str">
        <f t="shared" si="162"/>
        <v>0.982103326911046-0.162814595883123i</v>
      </c>
      <c r="AP282" s="174" t="str">
        <f t="shared" si="163"/>
        <v>0.157750540845677-0.0537823822517587i</v>
      </c>
      <c r="AQ282" s="174" t="str">
        <f t="shared" si="164"/>
        <v>0.842249459154323+0.0537823822517587i</v>
      </c>
      <c r="AR282" s="174" t="str">
        <f t="shared" si="165"/>
        <v>0.985001760313696-0.0628979224813486i</v>
      </c>
    </row>
    <row r="283" spans="7:44" x14ac:dyDescent="0.2">
      <c r="G283" s="703">
        <v>18409</v>
      </c>
      <c r="H283" s="691">
        <f t="shared" si="157"/>
        <v>18.408999999999999</v>
      </c>
      <c r="I283" s="692">
        <f t="shared" si="137"/>
        <v>17.988356551315377</v>
      </c>
      <c r="J283" s="693">
        <f t="shared" si="138"/>
        <v>1.5151761380246018</v>
      </c>
      <c r="K283" s="693">
        <f t="shared" si="139"/>
        <v>1.0000494739168708</v>
      </c>
      <c r="L283" s="694">
        <f t="shared" si="140"/>
        <v>9.9470475250816471E-3</v>
      </c>
      <c r="M283" s="693">
        <f t="shared" si="141"/>
        <v>1.0002759668845993</v>
      </c>
      <c r="N283" s="694">
        <f t="shared" si="142"/>
        <v>-2.3490569800379987E-2</v>
      </c>
      <c r="O283" s="692">
        <f t="shared" si="143"/>
        <v>33312.141573067143</v>
      </c>
      <c r="P283" s="695">
        <f t="shared" si="144"/>
        <v>1.5707663077101748</v>
      </c>
      <c r="Q283" s="704">
        <f t="shared" si="166"/>
        <v>13.916035260028096</v>
      </c>
      <c r="R283" s="705">
        <f t="shared" si="167"/>
        <v>1.4988747902538875</v>
      </c>
      <c r="S283" s="692">
        <f t="shared" si="145"/>
        <v>1.0042721197709612</v>
      </c>
      <c r="T283" s="695">
        <f t="shared" si="146"/>
        <v>9.2270968765193917E-2</v>
      </c>
      <c r="U283" s="696">
        <f t="shared" si="158"/>
        <v>0.98238098160390075</v>
      </c>
      <c r="V283" s="697">
        <f t="shared" si="159"/>
        <v>-0.22935490882930529</v>
      </c>
      <c r="W283" s="698">
        <f t="shared" si="147"/>
        <v>3.9939838709282642</v>
      </c>
      <c r="X283" s="699">
        <f t="shared" si="148"/>
        <v>-110.13607062109836</v>
      </c>
      <c r="Y283" s="702">
        <f t="shared" si="149"/>
        <v>69.863929378901645</v>
      </c>
      <c r="AA283" s="174">
        <f t="shared" si="150"/>
        <v>1000000000</v>
      </c>
      <c r="AB283" s="174">
        <f t="shared" si="151"/>
        <v>338891281</v>
      </c>
      <c r="AD283" s="701">
        <f t="shared" si="152"/>
        <v>27.589680884490004</v>
      </c>
      <c r="AE283" s="702">
        <f t="shared" si="153"/>
        <v>-9.4058176256131159</v>
      </c>
      <c r="AG283" s="701">
        <f t="shared" si="154"/>
        <v>2.1010480960078031</v>
      </c>
      <c r="AH283" s="702">
        <f t="shared" si="155"/>
        <v>-74.448116392399598</v>
      </c>
      <c r="AJ283" s="174">
        <f t="shared" si="156"/>
        <v>0</v>
      </c>
      <c r="AK283" s="174">
        <f t="shared" si="168"/>
        <v>0</v>
      </c>
      <c r="AM283" s="174" t="str">
        <f t="shared" si="160"/>
        <v>0.054112525632816+0.324494816345763i</v>
      </c>
      <c r="AN283" s="174" t="str">
        <f t="shared" si="161"/>
        <v>0.330477594822i</v>
      </c>
      <c r="AO283" s="174" t="str">
        <f t="shared" si="162"/>
        <v>0.981896568572343-0.163740375991183i</v>
      </c>
      <c r="AP283" s="174" t="str">
        <f t="shared" si="163"/>
        <v>0.157647912394531-0.0540824693909605i</v>
      </c>
      <c r="AQ283" s="174" t="str">
        <f t="shared" si="164"/>
        <v>0.842352087605469+0.0540824693909605i</v>
      </c>
      <c r="AR283" s="174" t="str">
        <f t="shared" si="165"/>
        <v>0.984837982256189-0.0632306500027006i</v>
      </c>
    </row>
    <row r="284" spans="7:44" x14ac:dyDescent="0.2">
      <c r="G284" s="703">
        <v>18515</v>
      </c>
      <c r="H284" s="691">
        <f t="shared" si="157"/>
        <v>18.515000000000001</v>
      </c>
      <c r="I284" s="692">
        <f t="shared" si="137"/>
        <v>18.091615278573254</v>
      </c>
      <c r="J284" s="693">
        <f t="shared" si="138"/>
        <v>1.5154939177727442</v>
      </c>
      <c r="K284" s="693">
        <f t="shared" si="139"/>
        <v>1.0000500452897736</v>
      </c>
      <c r="L284" s="694">
        <f t="shared" si="140"/>
        <v>1.0004319342520124E-2</v>
      </c>
      <c r="M284" s="693">
        <f t="shared" si="141"/>
        <v>1.0002791536535574</v>
      </c>
      <c r="N284" s="694">
        <f t="shared" si="142"/>
        <v>-2.3625779566148707E-2</v>
      </c>
      <c r="O284" s="692">
        <f t="shared" si="143"/>
        <v>33503.954653819615</v>
      </c>
      <c r="P284" s="695">
        <f t="shared" si="144"/>
        <v>1.5707664795720693</v>
      </c>
      <c r="Q284" s="704">
        <f t="shared" si="166"/>
        <v>13.99575193762429</v>
      </c>
      <c r="R284" s="705">
        <f t="shared" si="167"/>
        <v>1.4992851410066932</v>
      </c>
      <c r="S284" s="692">
        <f t="shared" si="145"/>
        <v>1.0043213534477347</v>
      </c>
      <c r="T284" s="695">
        <f t="shared" si="146"/>
        <v>9.2799233521901267E-2</v>
      </c>
      <c r="U284" s="696">
        <f t="shared" si="158"/>
        <v>0.98218700324503527</v>
      </c>
      <c r="V284" s="697">
        <f t="shared" si="159"/>
        <v>-0.230653033873671</v>
      </c>
      <c r="W284" s="698">
        <f t="shared" si="147"/>
        <v>3.9419022481159538</v>
      </c>
      <c r="X284" s="699">
        <f t="shared" si="148"/>
        <v>-110.23988648315616</v>
      </c>
      <c r="Y284" s="702">
        <f t="shared" si="149"/>
        <v>69.760113516843845</v>
      </c>
      <c r="AA284" s="174">
        <f t="shared" si="150"/>
        <v>1000000000</v>
      </c>
      <c r="AB284" s="174">
        <f t="shared" si="151"/>
        <v>342805225</v>
      </c>
      <c r="AD284" s="701">
        <f t="shared" si="152"/>
        <v>27.588999020847101</v>
      </c>
      <c r="AE284" s="702">
        <f t="shared" si="153"/>
        <v>-9.4125834473511105</v>
      </c>
      <c r="AG284" s="701">
        <f t="shared" si="154"/>
        <v>2.0530788612809152</v>
      </c>
      <c r="AH284" s="702">
        <f t="shared" si="155"/>
        <v>-74.396412259904636</v>
      </c>
      <c r="AJ284" s="174">
        <f t="shared" si="156"/>
        <v>0</v>
      </c>
      <c r="AK284" s="174">
        <f t="shared" si="168"/>
        <v>0</v>
      </c>
      <c r="AM284" s="174" t="str">
        <f t="shared" si="160"/>
        <v>0.054731721451248+0.326294164167059i</v>
      </c>
      <c r="AN284" s="174" t="str">
        <f t="shared" si="161"/>
        <v>0.33238050237i</v>
      </c>
      <c r="AO284" s="174" t="str">
        <f t="shared" si="162"/>
        <v>0.981688642505974-0.164665860545339i</v>
      </c>
      <c r="AP284" s="174" t="str">
        <f t="shared" si="163"/>
        <v>0.157544713091459-0.0543823606945098i</v>
      </c>
      <c r="AQ284" s="174" t="str">
        <f t="shared" si="164"/>
        <v>0.842455286908541+0.0543823606945098i</v>
      </c>
      <c r="AR284" s="174" t="str">
        <f t="shared" si="165"/>
        <v>0.984673388339235-0.0635628551486113i</v>
      </c>
    </row>
    <row r="285" spans="7:44" x14ac:dyDescent="0.2">
      <c r="G285" s="703">
        <v>18621</v>
      </c>
      <c r="H285" s="691">
        <f t="shared" si="157"/>
        <v>18.620999999999999</v>
      </c>
      <c r="I285" s="692">
        <f t="shared" si="137"/>
        <v>18.194875812057528</v>
      </c>
      <c r="J285" s="693">
        <f t="shared" si="138"/>
        <v>1.5158080905910281</v>
      </c>
      <c r="K285" s="693">
        <f t="shared" si="139"/>
        <v>1.000050619942898</v>
      </c>
      <c r="L285" s="694">
        <f t="shared" si="140"/>
        <v>1.0061591094326928E-2</v>
      </c>
      <c r="M285" s="693">
        <f t="shared" si="141"/>
        <v>1.0002823587091827</v>
      </c>
      <c r="N285" s="694">
        <f t="shared" si="142"/>
        <v>-2.3760988467924266E-2</v>
      </c>
      <c r="O285" s="692">
        <f t="shared" si="143"/>
        <v>33695.767734573063</v>
      </c>
      <c r="P285" s="695">
        <f t="shared" si="144"/>
        <v>1.5707666494773171</v>
      </c>
      <c r="Q285" s="704">
        <f t="shared" si="166"/>
        <v>14.075470945238726</v>
      </c>
      <c r="R285" s="705">
        <f t="shared" si="167"/>
        <v>1.4996908436338827</v>
      </c>
      <c r="S285" s="692">
        <f t="shared" si="145"/>
        <v>1.004370867366571</v>
      </c>
      <c r="T285" s="695">
        <f t="shared" si="146"/>
        <v>9.3327446340742706E-2</v>
      </c>
      <c r="U285" s="696">
        <f t="shared" si="158"/>
        <v>0.9819920205870748</v>
      </c>
      <c r="V285" s="697">
        <f t="shared" si="159"/>
        <v>-0.23195078198934688</v>
      </c>
      <c r="W285" s="698">
        <f t="shared" si="147"/>
        <v>3.8900956280289667</v>
      </c>
      <c r="X285" s="699">
        <f t="shared" si="148"/>
        <v>-110.34373727124259</v>
      </c>
      <c r="Y285" s="702">
        <f t="shared" si="149"/>
        <v>69.656262728757412</v>
      </c>
      <c r="AA285" s="174">
        <f t="shared" si="150"/>
        <v>1000000000</v>
      </c>
      <c r="AB285" s="174">
        <f t="shared" si="151"/>
        <v>346741641</v>
      </c>
      <c r="AD285" s="701">
        <f t="shared" si="152"/>
        <v>27.588319100123261</v>
      </c>
      <c r="AE285" s="702">
        <f t="shared" si="153"/>
        <v>-9.4196124991417616</v>
      </c>
      <c r="AG285" s="701">
        <f t="shared" si="154"/>
        <v>2.0054011303333685</v>
      </c>
      <c r="AH285" s="702">
        <f t="shared" si="155"/>
        <v>-74.344523016231932</v>
      </c>
      <c r="AJ285" s="174">
        <f t="shared" si="156"/>
        <v>0</v>
      </c>
      <c r="AK285" s="174">
        <f t="shared" si="168"/>
        <v>0</v>
      </c>
      <c r="AM285" s="174" t="str">
        <f t="shared" si="160"/>
        <v>0.055354340139093+0.328092330458899i</v>
      </c>
      <c r="AN285" s="174" t="str">
        <f t="shared" si="161"/>
        <v>0.334283409918i</v>
      </c>
      <c r="AO285" s="174" t="str">
        <f t="shared" si="162"/>
        <v>0.981479549162731-0.165591047885599i</v>
      </c>
      <c r="AP285" s="174" t="str">
        <f t="shared" si="163"/>
        <v>0.157440943310151-0.0546820550764832i</v>
      </c>
      <c r="AQ285" s="174" t="str">
        <f t="shared" si="164"/>
        <v>0.842559056689849+0.0546820550764832i</v>
      </c>
      <c r="AR285" s="174" t="str">
        <f t="shared" si="165"/>
        <v>0.984507980657737-0.0638945355748286i</v>
      </c>
    </row>
    <row r="286" spans="7:44" x14ac:dyDescent="0.2">
      <c r="G286" s="703">
        <v>18729.5</v>
      </c>
      <c r="H286" s="691">
        <f t="shared" si="157"/>
        <v>18.729500000000002</v>
      </c>
      <c r="I286" s="692">
        <f t="shared" si="137"/>
        <v>18.300573574196886</v>
      </c>
      <c r="J286" s="693">
        <f t="shared" si="138"/>
        <v>1.5161260012748752</v>
      </c>
      <c r="K286" s="693">
        <f t="shared" si="139"/>
        <v>1.0000512115463356</v>
      </c>
      <c r="L286" s="694">
        <f t="shared" si="140"/>
        <v>1.0120213526633256E-2</v>
      </c>
      <c r="M286" s="693">
        <f t="shared" si="141"/>
        <v>1.0002856582942468</v>
      </c>
      <c r="N286" s="694">
        <f t="shared" si="142"/>
        <v>-2.3899385358941951E-2</v>
      </c>
      <c r="O286" s="692">
        <f t="shared" si="143"/>
        <v>33892.104708741499</v>
      </c>
      <c r="P286" s="695">
        <f t="shared" si="144"/>
        <v>1.5707668213980279</v>
      </c>
      <c r="Q286" s="704">
        <f t="shared" si="166"/>
        <v>14.157072490138063</v>
      </c>
      <c r="R286" s="705">
        <f t="shared" si="167"/>
        <v>1.5001013826846428</v>
      </c>
      <c r="S286" s="692">
        <f t="shared" si="145"/>
        <v>1.00442183925748</v>
      </c>
      <c r="T286" s="695">
        <f t="shared" si="146"/>
        <v>9.3868062919729475E-2</v>
      </c>
      <c r="U286" s="696">
        <f t="shared" si="158"/>
        <v>0.98179140102527429</v>
      </c>
      <c r="V286" s="697">
        <f t="shared" si="159"/>
        <v>-0.23327874506578697</v>
      </c>
      <c r="W286" s="698">
        <f t="shared" si="147"/>
        <v>3.83734855913728</v>
      </c>
      <c r="X286" s="699">
        <f t="shared" si="148"/>
        <v>-110.45007237494502</v>
      </c>
      <c r="Y286" s="702">
        <f t="shared" si="149"/>
        <v>69.549927625054977</v>
      </c>
      <c r="AA286" s="174">
        <f t="shared" si="150"/>
        <v>1000000000</v>
      </c>
      <c r="AB286" s="174">
        <f t="shared" si="151"/>
        <v>350794170.25</v>
      </c>
      <c r="AD286" s="701">
        <f t="shared" si="152"/>
        <v>27.587625054511822</v>
      </c>
      <c r="AE286" s="702">
        <f t="shared" si="153"/>
        <v>-9.4270752428583098</v>
      </c>
      <c r="AG286" s="701">
        <f t="shared" si="154"/>
        <v>1.9568974992313415</v>
      </c>
      <c r="AH286" s="702">
        <f t="shared" si="155"/>
        <v>-74.291222016785468</v>
      </c>
      <c r="AJ286" s="174">
        <f t="shared" si="156"/>
        <v>0</v>
      </c>
      <c r="AK286" s="174">
        <f t="shared" si="168"/>
        <v>0</v>
      </c>
      <c r="AM286" s="174" t="str">
        <f t="shared" si="160"/>
        <v>0.055995185790069+0.329931675879225i</v>
      </c>
      <c r="AN286" s="174" t="str">
        <f t="shared" si="161"/>
        <v>0.336231197361i</v>
      </c>
      <c r="AO286" s="174" t="str">
        <f t="shared" si="162"/>
        <v>0.981264315949209-0.166537746138854i</v>
      </c>
      <c r="AP286" s="174" t="str">
        <f t="shared" si="163"/>
        <v>0.157334135701655-0.0549886126465375i</v>
      </c>
      <c r="AQ286" s="174" t="str">
        <f t="shared" si="164"/>
        <v>0.842665864298345+0.0549886126465375i</v>
      </c>
      <c r="AR286" s="174" t="str">
        <f t="shared" si="165"/>
        <v>0.984337831266996-0.0642334927877295i</v>
      </c>
    </row>
    <row r="287" spans="7:44" x14ac:dyDescent="0.2">
      <c r="G287" s="703">
        <v>18838</v>
      </c>
      <c r="H287" s="691">
        <f t="shared" si="157"/>
        <v>18.838000000000001</v>
      </c>
      <c r="I287" s="692">
        <f t="shared" si="137"/>
        <v>18.406273164681455</v>
      </c>
      <c r="J287" s="693">
        <f t="shared" si="138"/>
        <v>1.5164402607318519</v>
      </c>
      <c r="K287" s="693">
        <f t="shared" si="139"/>
        <v>1.0000518065865347</v>
      </c>
      <c r="L287" s="694">
        <f t="shared" si="140"/>
        <v>1.0178835889379251E-2</v>
      </c>
      <c r="M287" s="693">
        <f t="shared" si="141"/>
        <v>1.000288977038355</v>
      </c>
      <c r="N287" s="694">
        <f t="shared" si="142"/>
        <v>-2.4037781334268062E-2</v>
      </c>
      <c r="O287" s="692">
        <f t="shared" si="143"/>
        <v>34088.441682910925</v>
      </c>
      <c r="P287" s="695">
        <f t="shared" si="144"/>
        <v>1.570766991338338</v>
      </c>
      <c r="Q287" s="704">
        <f t="shared" si="166"/>
        <v>14.238676393753918</v>
      </c>
      <c r="R287" s="705">
        <f t="shared" si="167"/>
        <v>1.5005072160863833</v>
      </c>
      <c r="S287" s="692">
        <f t="shared" si="145"/>
        <v>1.0044731046771855</v>
      </c>
      <c r="T287" s="695">
        <f t="shared" si="146"/>
        <v>9.4408624473658595E-2</v>
      </c>
      <c r="U287" s="696">
        <f t="shared" si="158"/>
        <v>0.98158973300195351</v>
      </c>
      <c r="V287" s="697">
        <f t="shared" si="159"/>
        <v>-0.2346063092932382</v>
      </c>
      <c r="W287" s="698">
        <f t="shared" si="147"/>
        <v>3.7848827664599307</v>
      </c>
      <c r="X287" s="699">
        <f t="shared" si="148"/>
        <v>-110.55644172557081</v>
      </c>
      <c r="Y287" s="702">
        <f t="shared" si="149"/>
        <v>69.443558274429193</v>
      </c>
      <c r="AA287" s="174">
        <f t="shared" si="150"/>
        <v>1000000000</v>
      </c>
      <c r="AB287" s="174">
        <f t="shared" si="151"/>
        <v>354870244</v>
      </c>
      <c r="AD287" s="701">
        <f t="shared" si="152"/>
        <v>27.586932841896967</v>
      </c>
      <c r="AE287" s="702">
        <f t="shared" si="153"/>
        <v>-9.4348043342316803</v>
      </c>
      <c r="AG287" s="701">
        <f t="shared" si="154"/>
        <v>1.9086925919443822</v>
      </c>
      <c r="AH287" s="702">
        <f t="shared" si="155"/>
        <v>-74.237734621333033</v>
      </c>
      <c r="AJ287" s="174">
        <f t="shared" si="156"/>
        <v>0</v>
      </c>
      <c r="AK287" s="174">
        <f t="shared" si="168"/>
        <v>0</v>
      </c>
      <c r="AM287" s="174" t="str">
        <f t="shared" si="160"/>
        <v>0.056639612877049+0.331769769580106i</v>
      </c>
      <c r="AN287" s="174" t="str">
        <f t="shared" si="161"/>
        <v>0.338178984804i</v>
      </c>
      <c r="AO287" s="174" t="str">
        <f t="shared" si="162"/>
        <v>0.981047860713141-0.167484129476218i</v>
      </c>
      <c r="AP287" s="174" t="str">
        <f t="shared" si="163"/>
        <v>0.157226731187158-0.0552949615966843i</v>
      </c>
      <c r="AQ287" s="174" t="str">
        <f t="shared" si="164"/>
        <v>0.842773268812842+0.0552949615966843i</v>
      </c>
      <c r="AR287" s="174" t="str">
        <f t="shared" si="165"/>
        <v>0.984166833741009-0.0645718953012078i</v>
      </c>
    </row>
    <row r="288" spans="7:44" x14ac:dyDescent="0.2">
      <c r="G288" s="703">
        <v>18946.5</v>
      </c>
      <c r="H288" s="691">
        <f t="shared" si="157"/>
        <v>18.9465</v>
      </c>
      <c r="I288" s="692">
        <f t="shared" si="137"/>
        <v>18.5119745521928</v>
      </c>
      <c r="J288" s="693">
        <f t="shared" si="138"/>
        <v>1.5167509314436891</v>
      </c>
      <c r="K288" s="693">
        <f t="shared" si="139"/>
        <v>1.0000524050634889</v>
      </c>
      <c r="L288" s="694">
        <f t="shared" si="140"/>
        <v>1.0237458182162117E-2</v>
      </c>
      <c r="M288" s="693">
        <f t="shared" si="141"/>
        <v>1.0002923149413165</v>
      </c>
      <c r="N288" s="694">
        <f t="shared" si="142"/>
        <v>-2.4176176388610218E-2</v>
      </c>
      <c r="O288" s="692">
        <f t="shared" si="143"/>
        <v>34284.778657081333</v>
      </c>
      <c r="P288" s="695">
        <f t="shared" si="144"/>
        <v>1.5707671593322701</v>
      </c>
      <c r="Q288" s="704">
        <f t="shared" si="166"/>
        <v>14.320282615762961</v>
      </c>
      <c r="R288" s="705">
        <f t="shared" si="167"/>
        <v>1.5009084241517507</v>
      </c>
      <c r="S288" s="692">
        <f t="shared" si="145"/>
        <v>1.0045246635807477</v>
      </c>
      <c r="T288" s="695">
        <f t="shared" si="146"/>
        <v>9.4949130695067357E-2</v>
      </c>
      <c r="U288" s="696">
        <f t="shared" si="158"/>
        <v>0.9813870184352681</v>
      </c>
      <c r="V288" s="697">
        <f t="shared" si="159"/>
        <v>-0.23593347269117576</v>
      </c>
      <c r="W288" s="698">
        <f t="shared" si="147"/>
        <v>3.7326948741529984</v>
      </c>
      <c r="X288" s="699">
        <f t="shared" si="148"/>
        <v>-110.66284417206093</v>
      </c>
      <c r="Y288" s="702">
        <f t="shared" si="149"/>
        <v>69.337155827939071</v>
      </c>
      <c r="AA288" s="174">
        <f t="shared" si="150"/>
        <v>1000000000</v>
      </c>
      <c r="AB288" s="174">
        <f t="shared" si="151"/>
        <v>358969862.25</v>
      </c>
      <c r="AD288" s="701">
        <f t="shared" si="152"/>
        <v>27.586242364128108</v>
      </c>
      <c r="AE288" s="702">
        <f t="shared" si="153"/>
        <v>-9.4427951560192263</v>
      </c>
      <c r="AG288" s="701">
        <f t="shared" si="154"/>
        <v>1.8607831085608288</v>
      </c>
      <c r="AH288" s="702">
        <f t="shared" si="155"/>
        <v>-74.18406452300971</v>
      </c>
      <c r="AJ288" s="174">
        <f t="shared" si="156"/>
        <v>0</v>
      </c>
      <c r="AK288" s="174">
        <f t="shared" si="168"/>
        <v>0</v>
      </c>
      <c r="AM288" s="174" t="str">
        <f t="shared" si="160"/>
        <v>0.057287618955157+0.333606604588044i</v>
      </c>
      <c r="AN288" s="174" t="str">
        <f t="shared" si="161"/>
        <v>0.340126772247i</v>
      </c>
      <c r="AO288" s="174" t="str">
        <f t="shared" si="162"/>
        <v>0.980830183946176-0.168430196119801i</v>
      </c>
      <c r="AP288" s="174" t="str">
        <f t="shared" si="163"/>
        <v>0.15711873017414-0.055601100764674i</v>
      </c>
      <c r="AQ288" s="174" t="str">
        <f t="shared" si="164"/>
        <v>0.84288126982586+0.055601100764674i</v>
      </c>
      <c r="AR288" s="174" t="str">
        <f t="shared" si="165"/>
        <v>0.983994990352196-0.0649097406350129i</v>
      </c>
    </row>
    <row r="289" spans="7:44" x14ac:dyDescent="0.2">
      <c r="G289" s="703">
        <v>19055</v>
      </c>
      <c r="H289" s="691">
        <f t="shared" si="157"/>
        <v>19.055</v>
      </c>
      <c r="I289" s="692">
        <f t="shared" si="137"/>
        <v>18.61767770612321</v>
      </c>
      <c r="J289" s="693">
        <f t="shared" si="138"/>
        <v>1.5170580744759472</v>
      </c>
      <c r="K289" s="693">
        <f t="shared" si="139"/>
        <v>1.0000530069771925</v>
      </c>
      <c r="L289" s="694">
        <f t="shared" si="140"/>
        <v>1.029608040457906E-2</v>
      </c>
      <c r="M289" s="693">
        <f t="shared" si="141"/>
        <v>1.0002956720029401</v>
      </c>
      <c r="N289" s="694">
        <f t="shared" si="142"/>
        <v>-2.4314570516676258E-2</v>
      </c>
      <c r="O289" s="692">
        <f t="shared" si="143"/>
        <v>34481.115631252695</v>
      </c>
      <c r="P289" s="695">
        <f t="shared" si="144"/>
        <v>1.5707673254130725</v>
      </c>
      <c r="Q289" s="704">
        <f t="shared" si="166"/>
        <v>14.401891116754683</v>
      </c>
      <c r="R289" s="705">
        <f t="shared" si="167"/>
        <v>1.501305085379055</v>
      </c>
      <c r="S289" s="692">
        <f t="shared" si="145"/>
        <v>1.004576515922978</v>
      </c>
      <c r="T289" s="695">
        <f t="shared" si="146"/>
        <v>9.5489581276685373E-2</v>
      </c>
      <c r="U289" s="696">
        <f t="shared" si="158"/>
        <v>0.98118325925123862</v>
      </c>
      <c r="V289" s="697">
        <f t="shared" si="159"/>
        <v>-0.23726023328440204</v>
      </c>
      <c r="W289" s="698">
        <f t="shared" si="147"/>
        <v>3.680781564897861</v>
      </c>
      <c r="X289" s="699">
        <f t="shared" si="148"/>
        <v>-110.76927858644143</v>
      </c>
      <c r="Y289" s="702">
        <f t="shared" si="149"/>
        <v>69.23072141355857</v>
      </c>
      <c r="AA289" s="174">
        <f t="shared" si="150"/>
        <v>1000000000</v>
      </c>
      <c r="AB289" s="174">
        <f t="shared" si="151"/>
        <v>363093025</v>
      </c>
      <c r="AD289" s="701">
        <f t="shared" si="152"/>
        <v>27.585553525853612</v>
      </c>
      <c r="AE289" s="702">
        <f t="shared" si="153"/>
        <v>-9.4510431948987748</v>
      </c>
      <c r="AG289" s="701">
        <f t="shared" si="154"/>
        <v>1.8131658047969785</v>
      </c>
      <c r="AH289" s="702">
        <f t="shared" si="155"/>
        <v>-74.13021533350468</v>
      </c>
      <c r="AJ289" s="174">
        <f t="shared" si="156"/>
        <v>0</v>
      </c>
      <c r="AK289" s="174">
        <f t="shared" si="168"/>
        <v>0</v>
      </c>
      <c r="AM289" s="174" t="str">
        <f t="shared" si="160"/>
        <v>0.057939201565939+0.335442173934317i</v>
      </c>
      <c r="AN289" s="174" t="str">
        <f t="shared" si="161"/>
        <v>0.34207455969i</v>
      </c>
      <c r="AO289" s="174" t="str">
        <f t="shared" si="162"/>
        <v>0.980611286142724-0.169375944292512i</v>
      </c>
      <c r="AP289" s="174" t="str">
        <f t="shared" si="163"/>
        <v>0.157010133072343-0.0559070289890528i</v>
      </c>
      <c r="AQ289" s="174" t="str">
        <f t="shared" si="164"/>
        <v>0.842989866927657+0.0559070289890528i</v>
      </c>
      <c r="AR289" s="174" t="str">
        <f t="shared" si="165"/>
        <v>0.983822303381531-0.0652470263203628i</v>
      </c>
    </row>
    <row r="290" spans="7:44" x14ac:dyDescent="0.2">
      <c r="G290" s="703">
        <v>19165.75</v>
      </c>
      <c r="H290" s="691">
        <f t="shared" si="157"/>
        <v>19.165749999999999</v>
      </c>
      <c r="I290" s="692">
        <f t="shared" si="137"/>
        <v>18.725574651622946</v>
      </c>
      <c r="J290" s="693">
        <f t="shared" si="138"/>
        <v>1.5173680106407514</v>
      </c>
      <c r="K290" s="693">
        <f t="shared" si="139"/>
        <v>1.0000536249173626</v>
      </c>
      <c r="L290" s="694">
        <f t="shared" si="140"/>
        <v>1.0355918222214672E-2</v>
      </c>
      <c r="M290" s="693">
        <f t="shared" si="141"/>
        <v>1.0002991184395789</v>
      </c>
      <c r="N290" s="694">
        <f t="shared" si="142"/>
        <v>-2.4455833608273577E-2</v>
      </c>
      <c r="O290" s="692">
        <f t="shared" si="143"/>
        <v>34681.524109497695</v>
      </c>
      <c r="P290" s="695">
        <f t="shared" si="144"/>
        <v>1.5707674929986373</v>
      </c>
      <c r="Q290" s="704">
        <f t="shared" si="166"/>
        <v>14.485194270295676</v>
      </c>
      <c r="R290" s="705">
        <f t="shared" si="167"/>
        <v>1.501705362726403</v>
      </c>
      <c r="S290" s="692">
        <f t="shared" si="145"/>
        <v>1.0046297461264735</v>
      </c>
      <c r="T290" s="695">
        <f t="shared" si="146"/>
        <v>9.6041181657475452E-2</v>
      </c>
      <c r="U290" s="696">
        <f t="shared" si="158"/>
        <v>0.98097419931876784</v>
      </c>
      <c r="V290" s="697">
        <f t="shared" si="159"/>
        <v>-0.23861408987962446</v>
      </c>
      <c r="W290" s="698">
        <f t="shared" si="147"/>
        <v>3.6280715104498569</v>
      </c>
      <c r="X290" s="699">
        <f t="shared" si="148"/>
        <v>-110.8779519873482</v>
      </c>
      <c r="Y290" s="702">
        <f t="shared" si="149"/>
        <v>69.122048012651803</v>
      </c>
      <c r="AA290" s="174">
        <f t="shared" si="150"/>
        <v>1000000000</v>
      </c>
      <c r="AB290" s="174">
        <f t="shared" si="151"/>
        <v>367325973.0625</v>
      </c>
      <c r="AD290" s="701">
        <f t="shared" si="152"/>
        <v>27.584851997564517</v>
      </c>
      <c r="AE290" s="702">
        <f t="shared" si="153"/>
        <v>-9.4597229680136188</v>
      </c>
      <c r="AG290" s="701">
        <f t="shared" si="154"/>
        <v>1.7648590641397872</v>
      </c>
      <c r="AH290" s="702">
        <f t="shared" si="155"/>
        <v>-74.075068423174912</v>
      </c>
      <c r="AJ290" s="174">
        <f t="shared" si="156"/>
        <v>0</v>
      </c>
      <c r="AK290" s="174">
        <f t="shared" si="168"/>
        <v>0</v>
      </c>
      <c r="AM290" s="174" t="str">
        <f t="shared" si="160"/>
        <v>0.058607982244654+0.337314495547579i</v>
      </c>
      <c r="AN290" s="174" t="str">
        <f t="shared" si="161"/>
        <v>0.3440627390385i</v>
      </c>
      <c r="AO290" s="174" t="str">
        <f t="shared" si="162"/>
        <v>0.980386590219623-0.170340974464241i</v>
      </c>
      <c r="AP290" s="174" t="str">
        <f t="shared" si="163"/>
        <v>0.156898669625891-0.0562190825912632i</v>
      </c>
      <c r="AQ290" s="174" t="str">
        <f t="shared" si="164"/>
        <v>0.843101330374109+0.0562190825912632i</v>
      </c>
      <c r="AR290" s="174" t="str">
        <f t="shared" si="165"/>
        <v>0.983645167718502-0.0655907266804162i</v>
      </c>
    </row>
    <row r="291" spans="7:44" x14ac:dyDescent="0.2">
      <c r="G291" s="703">
        <v>19276.5</v>
      </c>
      <c r="H291" s="691">
        <f t="shared" si="157"/>
        <v>19.276499999999999</v>
      </c>
      <c r="I291" s="692">
        <f t="shared" si="137"/>
        <v>18.83347337529877</v>
      </c>
      <c r="J291" s="693">
        <f t="shared" si="138"/>
        <v>1.5176743955283769</v>
      </c>
      <c r="K291" s="693">
        <f t="shared" si="139"/>
        <v>1.0000542464382849</v>
      </c>
      <c r="L291" s="694">
        <f t="shared" si="140"/>
        <v>1.0415755965687662E-2</v>
      </c>
      <c r="M291" s="693">
        <f t="shared" si="141"/>
        <v>1.0003025848373099</v>
      </c>
      <c r="N291" s="694">
        <f t="shared" si="142"/>
        <v>-2.459709572363793E-2</v>
      </c>
      <c r="O291" s="692">
        <f t="shared" si="143"/>
        <v>34881.932587743671</v>
      </c>
      <c r="P291" s="695">
        <f t="shared" si="144"/>
        <v>1.5707676586585306</v>
      </c>
      <c r="Q291" s="704">
        <f t="shared" si="166"/>
        <v>14.568499718141245</v>
      </c>
      <c r="R291" s="705">
        <f t="shared" si="167"/>
        <v>1.5021010624127837</v>
      </c>
      <c r="S291" s="692">
        <f t="shared" si="145"/>
        <v>1.0046832819691649</v>
      </c>
      <c r="T291" s="695">
        <f t="shared" si="146"/>
        <v>9.6592723420590942E-2</v>
      </c>
      <c r="U291" s="696">
        <f t="shared" si="158"/>
        <v>0.9807640550744946</v>
      </c>
      <c r="V291" s="697">
        <f t="shared" si="159"/>
        <v>-0.23996752264914281</v>
      </c>
      <c r="W291" s="698">
        <f t="shared" si="147"/>
        <v>3.5756407416723728</v>
      </c>
      <c r="X291" s="699">
        <f t="shared" si="148"/>
        <v>-110.98665639172708</v>
      </c>
      <c r="Y291" s="702">
        <f t="shared" si="149"/>
        <v>69.013343608272919</v>
      </c>
      <c r="AA291" s="174">
        <f t="shared" si="150"/>
        <v>1000000000</v>
      </c>
      <c r="AB291" s="174">
        <f t="shared" si="151"/>
        <v>371583452.25</v>
      </c>
      <c r="AD291" s="701">
        <f t="shared" si="152"/>
        <v>27.58415198522998</v>
      </c>
      <c r="AE291" s="702">
        <f t="shared" si="153"/>
        <v>-9.4686615529040079</v>
      </c>
      <c r="AG291" s="701">
        <f t="shared" si="154"/>
        <v>1.7168500880449065</v>
      </c>
      <c r="AH291" s="702">
        <f t="shared" si="155"/>
        <v>-74.019742271390001</v>
      </c>
      <c r="AJ291" s="174">
        <f t="shared" si="156"/>
        <v>0</v>
      </c>
      <c r="AK291" s="174">
        <f t="shared" si="168"/>
        <v>0</v>
      </c>
      <c r="AM291" s="174" t="str">
        <f t="shared" si="160"/>
        <v>0.059280484110284+0.339185483805275i</v>
      </c>
      <c r="AN291" s="174" t="str">
        <f t="shared" si="161"/>
        <v>0.346050918387i</v>
      </c>
      <c r="AO291" s="174" t="str">
        <f t="shared" si="162"/>
        <v>0.980160623142612-0.171305669080724i</v>
      </c>
      <c r="AP291" s="174" t="str">
        <f t="shared" si="163"/>
        <v>0.156786585981619-0.0565309139675458i</v>
      </c>
      <c r="AQ291" s="174" t="str">
        <f t="shared" si="164"/>
        <v>0.843213414018381+0.0565309139675458i</v>
      </c>
      <c r="AR291" s="174" t="str">
        <f t="shared" si="165"/>
        <v>0.983467157952921-0.0659338387789588i</v>
      </c>
    </row>
    <row r="292" spans="7:44" x14ac:dyDescent="0.2">
      <c r="G292" s="703">
        <v>19387.25</v>
      </c>
      <c r="H292" s="691">
        <f t="shared" si="157"/>
        <v>19.387250000000002</v>
      </c>
      <c r="I292" s="692">
        <f t="shared" si="137"/>
        <v>18.941373846762772</v>
      </c>
      <c r="J292" s="693">
        <f t="shared" si="138"/>
        <v>1.5179772897708825</v>
      </c>
      <c r="K292" s="693">
        <f t="shared" si="139"/>
        <v>1.0000548715399524</v>
      </c>
      <c r="L292" s="694">
        <f t="shared" si="140"/>
        <v>1.0475593634569662E-2</v>
      </c>
      <c r="M292" s="693">
        <f t="shared" si="141"/>
        <v>1.000306071195926</v>
      </c>
      <c r="N292" s="694">
        <f t="shared" si="142"/>
        <v>-2.4738356857141729E-2</v>
      </c>
      <c r="O292" s="692">
        <f t="shared" si="143"/>
        <v>35082.341065990586</v>
      </c>
      <c r="P292" s="695">
        <f t="shared" si="144"/>
        <v>1.570767822425754</v>
      </c>
      <c r="Q292" s="704">
        <f t="shared" si="166"/>
        <v>14.65180742115737</v>
      </c>
      <c r="R292" s="705">
        <f t="shared" si="167"/>
        <v>1.5024922623966341</v>
      </c>
      <c r="S292" s="692">
        <f t="shared" si="145"/>
        <v>1.0047371234021958</v>
      </c>
      <c r="T292" s="695">
        <f t="shared" si="146"/>
        <v>9.7144206239872674E-2</v>
      </c>
      <c r="U292" s="696">
        <f t="shared" si="158"/>
        <v>0.98055282859180137</v>
      </c>
      <c r="V292" s="697">
        <f t="shared" si="159"/>
        <v>-0.24132052950960498</v>
      </c>
      <c r="W292" s="698">
        <f t="shared" si="147"/>
        <v>3.5234859106746832</v>
      </c>
      <c r="X292" s="699">
        <f t="shared" si="148"/>
        <v>-111.09539067038794</v>
      </c>
      <c r="Y292" s="702">
        <f t="shared" si="149"/>
        <v>68.904609329612057</v>
      </c>
      <c r="AA292" s="174">
        <f t="shared" si="150"/>
        <v>1000000000</v>
      </c>
      <c r="AB292" s="174">
        <f t="shared" si="151"/>
        <v>375865462.5625</v>
      </c>
      <c r="AD292" s="701">
        <f t="shared" si="152"/>
        <v>27.583453395869103</v>
      </c>
      <c r="AE292" s="702">
        <f t="shared" si="153"/>
        <v>-9.4778544660838318</v>
      </c>
      <c r="AG292" s="701">
        <f t="shared" si="154"/>
        <v>1.6691355975543396</v>
      </c>
      <c r="AH292" s="702">
        <f t="shared" si="155"/>
        <v>-73.964240471180403</v>
      </c>
      <c r="AJ292" s="174">
        <f t="shared" si="156"/>
        <v>0</v>
      </c>
      <c r="AK292" s="174">
        <f t="shared" si="168"/>
        <v>0</v>
      </c>
      <c r="AM292" s="174" t="str">
        <f t="shared" si="160"/>
        <v>0.0599567045045279+0.341055131311657i</v>
      </c>
      <c r="AN292" s="174" t="str">
        <f t="shared" si="161"/>
        <v>0.3480390977355i</v>
      </c>
      <c r="AO292" s="174" t="str">
        <f t="shared" si="162"/>
        <v>0.979933385446394-0.172270026254617i</v>
      </c>
      <c r="AP292" s="174" t="str">
        <f t="shared" si="163"/>
        <v>0.156673882582579-0.0568425218852762i</v>
      </c>
      <c r="AQ292" s="174" t="str">
        <f t="shared" si="164"/>
        <v>0.843326117417421+0.0568425218852762i</v>
      </c>
      <c r="AR292" s="174" t="str">
        <f t="shared" si="165"/>
        <v>0.983288276537758-0.0662763600275976i</v>
      </c>
    </row>
    <row r="293" spans="7:44" x14ac:dyDescent="0.2">
      <c r="G293" s="703">
        <v>19498</v>
      </c>
      <c r="H293" s="691">
        <f t="shared" si="157"/>
        <v>19.498000000000001</v>
      </c>
      <c r="I293" s="692">
        <f t="shared" si="137"/>
        <v>19.04927603631506</v>
      </c>
      <c r="J293" s="693">
        <f t="shared" si="138"/>
        <v>1.5182767526291518</v>
      </c>
      <c r="K293" s="693">
        <f t="shared" si="139"/>
        <v>1.0000555002223586</v>
      </c>
      <c r="L293" s="694">
        <f t="shared" si="140"/>
        <v>1.0535431228432309E-2</v>
      </c>
      <c r="M293" s="693">
        <f t="shared" si="141"/>
        <v>1.0003095775152178</v>
      </c>
      <c r="N293" s="694">
        <f t="shared" si="142"/>
        <v>-2.4879617003157613E-2</v>
      </c>
      <c r="O293" s="692">
        <f t="shared" si="143"/>
        <v>35282.749544238432</v>
      </c>
      <c r="P293" s="695">
        <f t="shared" si="144"/>
        <v>1.5707679843325588</v>
      </c>
      <c r="Q293" s="704">
        <f t="shared" si="166"/>
        <v>14.73511734109398</v>
      </c>
      <c r="R293" s="705">
        <f t="shared" si="167"/>
        <v>1.5028790388789157</v>
      </c>
      <c r="S293" s="692">
        <f t="shared" si="145"/>
        <v>1.0047912703764412</v>
      </c>
      <c r="T293" s="695">
        <f t="shared" si="146"/>
        <v>9.76956297893746E-2</v>
      </c>
      <c r="U293" s="696">
        <f t="shared" si="158"/>
        <v>0.98034052195239207</v>
      </c>
      <c r="V293" s="697">
        <f t="shared" si="159"/>
        <v>-0.24267310838351802</v>
      </c>
      <c r="W293" s="698">
        <f t="shared" si="147"/>
        <v>3.4716037274680818</v>
      </c>
      <c r="X293" s="699">
        <f t="shared" si="148"/>
        <v>-111.20415371657886</v>
      </c>
      <c r="Y293" s="702">
        <f t="shared" si="149"/>
        <v>68.795846283421142</v>
      </c>
      <c r="AA293" s="174">
        <f t="shared" si="150"/>
        <v>1000000000</v>
      </c>
      <c r="AB293" s="174">
        <f t="shared" si="151"/>
        <v>380172004</v>
      </c>
      <c r="AD293" s="701">
        <f t="shared" si="152"/>
        <v>27.58275613915022</v>
      </c>
      <c r="AE293" s="702">
        <f t="shared" si="153"/>
        <v>-9.487297324732145</v>
      </c>
      <c r="AG293" s="701">
        <f t="shared" si="154"/>
        <v>1.6217123688581556</v>
      </c>
      <c r="AH293" s="702">
        <f t="shared" si="155"/>
        <v>-73.908566536678336</v>
      </c>
      <c r="AJ293" s="174">
        <f t="shared" si="156"/>
        <v>0</v>
      </c>
      <c r="AK293" s="174">
        <f t="shared" si="168"/>
        <v>0</v>
      </c>
      <c r="AM293" s="174" t="str">
        <f t="shared" si="160"/>
        <v>0.060636640754382+0.342923430676279i</v>
      </c>
      <c r="AN293" s="174" t="str">
        <f t="shared" si="161"/>
        <v>0.350027277084i</v>
      </c>
      <c r="AO293" s="174" t="str">
        <f t="shared" si="162"/>
        <v>0.979704877668673-0.173234044099456i</v>
      </c>
      <c r="AP293" s="174" t="str">
        <f t="shared" si="163"/>
        <v>0.15656055987427-0.0571539051127132i</v>
      </c>
      <c r="AQ293" s="174" t="str">
        <f t="shared" si="164"/>
        <v>0.84343944012573+0.0571539051127132i</v>
      </c>
      <c r="AR293" s="174" t="str">
        <f t="shared" si="165"/>
        <v>0.983108525934966-0.0666182878505307i</v>
      </c>
    </row>
    <row r="294" spans="7:44" x14ac:dyDescent="0.2">
      <c r="G294" s="703">
        <v>19611.75</v>
      </c>
      <c r="H294" s="691">
        <f t="shared" si="157"/>
        <v>19.611750000000001</v>
      </c>
      <c r="I294" s="692">
        <f t="shared" si="137"/>
        <v>19.160102842313442</v>
      </c>
      <c r="J294" s="693">
        <f t="shared" si="138"/>
        <v>1.5185808161192511</v>
      </c>
      <c r="K294" s="693">
        <f t="shared" si="139"/>
        <v>1.0000561496620743</v>
      </c>
      <c r="L294" s="694">
        <f t="shared" si="140"/>
        <v>1.059688962665367E-2</v>
      </c>
      <c r="M294" s="693">
        <f t="shared" si="141"/>
        <v>1.0003131995926351</v>
      </c>
      <c r="N294" s="694">
        <f t="shared" si="142"/>
        <v>-2.5024702575226147E-2</v>
      </c>
      <c r="O294" s="692">
        <f t="shared" si="143"/>
        <v>35488.586694584235</v>
      </c>
      <c r="P294" s="695">
        <f t="shared" si="144"/>
        <v>1.5707681487215137</v>
      </c>
      <c r="Q294" s="704">
        <f t="shared" si="166"/>
        <v>14.820686231693266</v>
      </c>
      <c r="R294" s="705">
        <f t="shared" si="167"/>
        <v>1.503271765751192</v>
      </c>
      <c r="S294" s="692">
        <f t="shared" si="145"/>
        <v>1.0048472021020753</v>
      </c>
      <c r="T294" s="695">
        <f t="shared" si="146"/>
        <v>9.8261928277977126E-2</v>
      </c>
      <c r="U294" s="696">
        <f t="shared" si="158"/>
        <v>0.98012134209643498</v>
      </c>
      <c r="V294" s="697">
        <f t="shared" si="159"/>
        <v>-0.24406187825331124</v>
      </c>
      <c r="W294" s="698">
        <f t="shared" si="147"/>
        <v>3.4185965878963827</v>
      </c>
      <c r="X294" s="699">
        <f t="shared" si="148"/>
        <v>-111.31589174761342</v>
      </c>
      <c r="Y294" s="702">
        <f t="shared" si="149"/>
        <v>68.684108252386579</v>
      </c>
      <c r="AA294" s="174">
        <f t="shared" si="150"/>
        <v>1000000000</v>
      </c>
      <c r="AB294" s="174">
        <f t="shared" si="151"/>
        <v>384620738.0625</v>
      </c>
      <c r="AD294" s="701">
        <f t="shared" si="152"/>
        <v>27.582041290217909</v>
      </c>
      <c r="AE294" s="702">
        <f t="shared" si="153"/>
        <v>-9.4972516645955913</v>
      </c>
      <c r="AG294" s="701">
        <f t="shared" si="154"/>
        <v>1.5733044119721049</v>
      </c>
      <c r="AH294" s="702">
        <f t="shared" si="155"/>
        <v>-73.851208923159462</v>
      </c>
      <c r="AJ294" s="174">
        <f t="shared" si="156"/>
        <v>0</v>
      </c>
      <c r="AK294" s="174">
        <f t="shared" si="168"/>
        <v>0</v>
      </c>
      <c r="AM294" s="174" t="str">
        <f t="shared" si="160"/>
        <v>0.061338860520415+0.344840927430152i</v>
      </c>
      <c r="AN294" s="174" t="str">
        <f t="shared" si="161"/>
        <v>0.3520693123065i</v>
      </c>
      <c r="AO294" s="174" t="str">
        <f t="shared" si="162"/>
        <v>0.979468858478483-0.174223820072723i</v>
      </c>
      <c r="AP294" s="174" t="str">
        <f t="shared" si="163"/>
        <v>0.156443523246597-0.0574734879050253i</v>
      </c>
      <c r="AQ294" s="174" t="str">
        <f t="shared" si="164"/>
        <v>0.843556476753403+0.0574734879050253i</v>
      </c>
      <c r="AR294" s="174" t="str">
        <f t="shared" si="165"/>
        <v>0.982923004013408-0.0669688573788878i</v>
      </c>
    </row>
    <row r="295" spans="7:44" x14ac:dyDescent="0.2">
      <c r="G295" s="703">
        <v>19725.5</v>
      </c>
      <c r="H295" s="691">
        <f t="shared" si="157"/>
        <v>19.7255</v>
      </c>
      <c r="I295" s="692">
        <f t="shared" si="137"/>
        <v>19.270931399376455</v>
      </c>
      <c r="J295" s="693">
        <f t="shared" si="138"/>
        <v>1.5188813822534657</v>
      </c>
      <c r="K295" s="693">
        <f t="shared" si="139"/>
        <v>1.0000568028791319</v>
      </c>
      <c r="L295" s="694">
        <f t="shared" si="140"/>
        <v>1.065834794482038E-2</v>
      </c>
      <c r="M295" s="693">
        <f t="shared" si="141"/>
        <v>1.0003168427263158</v>
      </c>
      <c r="N295" s="694">
        <f t="shared" si="142"/>
        <v>-2.5169787093551235E-2</v>
      </c>
      <c r="O295" s="692">
        <f t="shared" si="143"/>
        <v>35694.423844930992</v>
      </c>
      <c r="P295" s="695">
        <f t="shared" si="144"/>
        <v>1.5707683112145225</v>
      </c>
      <c r="Q295" s="704">
        <f t="shared" si="166"/>
        <v>14.906257381908132</v>
      </c>
      <c r="R295" s="705">
        <f t="shared" si="167"/>
        <v>1.5036599836917743</v>
      </c>
      <c r="S295" s="692">
        <f t="shared" si="145"/>
        <v>1.0049034560402239</v>
      </c>
      <c r="T295" s="695">
        <f t="shared" si="146"/>
        <v>9.8828163546000353E-2</v>
      </c>
      <c r="U295" s="696">
        <f t="shared" si="158"/>
        <v>0.97990102725077399</v>
      </c>
      <c r="V295" s="697">
        <f t="shared" si="159"/>
        <v>-0.24545019221249689</v>
      </c>
      <c r="W295" s="698">
        <f t="shared" si="147"/>
        <v>3.3658702138260561</v>
      </c>
      <c r="X295" s="699">
        <f t="shared" si="148"/>
        <v>-111.42765782922862</v>
      </c>
      <c r="Y295" s="702">
        <f t="shared" si="149"/>
        <v>68.572342170771378</v>
      </c>
      <c r="AA295" s="174">
        <f t="shared" si="150"/>
        <v>1000000000</v>
      </c>
      <c r="AB295" s="174">
        <f t="shared" si="151"/>
        <v>389095350.25</v>
      </c>
      <c r="AD295" s="701">
        <f t="shared" si="152"/>
        <v>27.581327662141533</v>
      </c>
      <c r="AE295" s="702">
        <f t="shared" si="153"/>
        <v>-9.5074606163134323</v>
      </c>
      <c r="AG295" s="701">
        <f t="shared" si="154"/>
        <v>1.5251969896581739</v>
      </c>
      <c r="AH295" s="702">
        <f t="shared" si="155"/>
        <v>-73.793676991874136</v>
      </c>
      <c r="AJ295" s="174">
        <f t="shared" si="156"/>
        <v>0</v>
      </c>
      <c r="AK295" s="174">
        <f t="shared" si="168"/>
        <v>0</v>
      </c>
      <c r="AM295" s="174" t="str">
        <f t="shared" si="160"/>
        <v>0.062044994415542+0.346756986229634i</v>
      </c>
      <c r="AN295" s="174" t="str">
        <f t="shared" si="161"/>
        <v>0.354111347529i</v>
      </c>
      <c r="AO295" s="174" t="str">
        <f t="shared" si="162"/>
        <v>0.979231500626329-0.175213234053339i</v>
      </c>
      <c r="AP295" s="174" t="str">
        <f t="shared" si="163"/>
        <v>0.156325834264076-0.0577928310382723i</v>
      </c>
      <c r="AQ295" s="174" t="str">
        <f t="shared" si="164"/>
        <v>0.843674165735924+0.0577928310382723i</v>
      </c>
      <c r="AR295" s="174" t="str">
        <f t="shared" si="165"/>
        <v>0.982736570470689-0.0673187954295154i</v>
      </c>
    </row>
    <row r="296" spans="7:44" x14ac:dyDescent="0.2">
      <c r="G296" s="703">
        <v>19839.25</v>
      </c>
      <c r="H296" s="691">
        <f t="shared" si="157"/>
        <v>19.83925</v>
      </c>
      <c r="I296" s="692">
        <f t="shared" si="137"/>
        <v>19.381761677465335</v>
      </c>
      <c r="J296" s="693">
        <f t="shared" si="138"/>
        <v>1.5191785109735649</v>
      </c>
      <c r="K296" s="693">
        <f t="shared" si="139"/>
        <v>1.0000574598735241</v>
      </c>
      <c r="L296" s="694">
        <f t="shared" si="140"/>
        <v>1.0719806182468324E-2</v>
      </c>
      <c r="M296" s="693">
        <f t="shared" si="141"/>
        <v>1.0003205069160297</v>
      </c>
      <c r="N296" s="694">
        <f t="shared" si="142"/>
        <v>-2.531487055203651E-2</v>
      </c>
      <c r="O296" s="692">
        <f t="shared" si="143"/>
        <v>35900.260995278681</v>
      </c>
      <c r="P296" s="695">
        <f t="shared" si="144"/>
        <v>1.570768471844197</v>
      </c>
      <c r="Q296" s="704">
        <f t="shared" si="166"/>
        <v>14.991830753045924</v>
      </c>
      <c r="R296" s="705">
        <f t="shared" si="167"/>
        <v>1.5040437697935773</v>
      </c>
      <c r="S296" s="692">
        <f t="shared" si="145"/>
        <v>1.0049600321367782</v>
      </c>
      <c r="T296" s="695">
        <f t="shared" si="146"/>
        <v>9.9394335240996057E-2</v>
      </c>
      <c r="U296" s="696">
        <f t="shared" si="158"/>
        <v>0.9796795796979586</v>
      </c>
      <c r="V296" s="697">
        <f t="shared" si="159"/>
        <v>-0.24683804802960499</v>
      </c>
      <c r="W296" s="698">
        <f t="shared" si="147"/>
        <v>3.3134212227189099</v>
      </c>
      <c r="X296" s="699">
        <f t="shared" si="148"/>
        <v>-111.53945083223429</v>
      </c>
      <c r="Y296" s="702">
        <f t="shared" si="149"/>
        <v>68.460549167765706</v>
      </c>
      <c r="AA296" s="174">
        <f t="shared" si="150"/>
        <v>1000000000</v>
      </c>
      <c r="AB296" s="174">
        <f t="shared" si="151"/>
        <v>393595840.5625</v>
      </c>
      <c r="AD296" s="701">
        <f t="shared" si="152"/>
        <v>27.580615165199191</v>
      </c>
      <c r="AE296" s="702">
        <f t="shared" si="153"/>
        <v>-9.5179197444617216</v>
      </c>
      <c r="AG296" s="701">
        <f t="shared" si="154"/>
        <v>1.4773867825891824</v>
      </c>
      <c r="AH296" s="702">
        <f t="shared" si="155"/>
        <v>-73.735974304763872</v>
      </c>
      <c r="AJ296" s="174">
        <f t="shared" si="156"/>
        <v>0</v>
      </c>
      <c r="AK296" s="174">
        <f t="shared" si="168"/>
        <v>0</v>
      </c>
      <c r="AM296" s="174" t="str">
        <f t="shared" si="160"/>
        <v>0.06275503949525+0.34867159908494i</v>
      </c>
      <c r="AN296" s="174" t="str">
        <f t="shared" si="161"/>
        <v>0.3561533827515i</v>
      </c>
      <c r="AO296" s="174" t="str">
        <f t="shared" si="162"/>
        <v>0.978992804704651-0.176202284000307i</v>
      </c>
      <c r="AP296" s="174" t="str">
        <f t="shared" si="163"/>
        <v>0.156207493417458-0.0581119331808233i</v>
      </c>
      <c r="AQ296" s="174" t="str">
        <f t="shared" si="164"/>
        <v>0.843792506582542+0.0581119331808233i</v>
      </c>
      <c r="AR296" s="174" t="str">
        <f t="shared" si="165"/>
        <v>0.982549228003388-0.0676680992532812i</v>
      </c>
    </row>
    <row r="297" spans="7:44" x14ac:dyDescent="0.2">
      <c r="G297" s="703">
        <v>19953</v>
      </c>
      <c r="H297" s="691">
        <f t="shared" si="157"/>
        <v>19.952999999999999</v>
      </c>
      <c r="I297" s="692">
        <f t="shared" si="137"/>
        <v>19.492593647224052</v>
      </c>
      <c r="J297" s="693">
        <f t="shared" si="138"/>
        <v>1.5194722608604987</v>
      </c>
      <c r="K297" s="693">
        <f t="shared" si="139"/>
        <v>1.0000581206452435</v>
      </c>
      <c r="L297" s="694">
        <f t="shared" si="140"/>
        <v>1.078126433913339E-2</v>
      </c>
      <c r="M297" s="693">
        <f t="shared" si="141"/>
        <v>1.0003241921615456</v>
      </c>
      <c r="N297" s="694">
        <f t="shared" si="142"/>
        <v>-2.5459952944585862E-2</v>
      </c>
      <c r="O297" s="692">
        <f t="shared" si="143"/>
        <v>36106.098145627278</v>
      </c>
      <c r="P297" s="695">
        <f t="shared" si="144"/>
        <v>1.5707686306424047</v>
      </c>
      <c r="Q297" s="704">
        <f t="shared" si="166"/>
        <v>15.077406307291415</v>
      </c>
      <c r="R297" s="705">
        <f t="shared" si="167"/>
        <v>1.5044231994045669</v>
      </c>
      <c r="S297" s="692">
        <f t="shared" si="145"/>
        <v>1.005016930337332</v>
      </c>
      <c r="T297" s="695">
        <f t="shared" si="146"/>
        <v>9.9960443010758224E-2</v>
      </c>
      <c r="U297" s="696">
        <f t="shared" si="158"/>
        <v>0.97945700172954309</v>
      </c>
      <c r="V297" s="697">
        <f t="shared" si="159"/>
        <v>-0.248225443479795</v>
      </c>
      <c r="W297" s="698">
        <f t="shared" si="147"/>
        <v>3.2612462907600168</v>
      </c>
      <c r="X297" s="699">
        <f t="shared" si="148"/>
        <v>-111.65126964980055</v>
      </c>
      <c r="Y297" s="702">
        <f t="shared" si="149"/>
        <v>68.348730350199446</v>
      </c>
      <c r="AA297" s="174">
        <f t="shared" si="150"/>
        <v>1000000000</v>
      </c>
      <c r="AB297" s="174">
        <f t="shared" si="151"/>
        <v>398122209</v>
      </c>
      <c r="AD297" s="701">
        <f t="shared" si="152"/>
        <v>27.579903712239226</v>
      </c>
      <c r="AE297" s="702">
        <f t="shared" si="153"/>
        <v>-9.5286247135659856</v>
      </c>
      <c r="AG297" s="701">
        <f t="shared" si="154"/>
        <v>1.4298705274768637</v>
      </c>
      <c r="AH297" s="702">
        <f t="shared" si="155"/>
        <v>-73.678104345421119</v>
      </c>
      <c r="AJ297" s="174">
        <f t="shared" si="156"/>
        <v>0</v>
      </c>
      <c r="AK297" s="174">
        <f t="shared" si="168"/>
        <v>0</v>
      </c>
      <c r="AM297" s="174" t="str">
        <f t="shared" si="160"/>
        <v>0.063468992798718+0.350584758012313i</v>
      </c>
      <c r="AN297" s="174" t="str">
        <f t="shared" si="161"/>
        <v>0.358195417974i</v>
      </c>
      <c r="AO297" s="174" t="str">
        <f t="shared" si="162"/>
        <v>0.978752771309209-0.177190967873645i</v>
      </c>
      <c r="AP297" s="174" t="str">
        <f t="shared" si="163"/>
        <v>0.156088501200214-0.0584307930020522i</v>
      </c>
      <c r="AQ297" s="174" t="str">
        <f t="shared" si="164"/>
        <v>0.843911498799786+0.0584307930020522i</v>
      </c>
      <c r="AR297" s="174" t="str">
        <f t="shared" si="165"/>
        <v>0.982360979317732-0.0680167661152175i</v>
      </c>
    </row>
    <row r="298" spans="7:44" x14ac:dyDescent="0.2">
      <c r="G298" s="703">
        <v>20069</v>
      </c>
      <c r="H298" s="691">
        <f t="shared" si="157"/>
        <v>20.068999999999999</v>
      </c>
      <c r="I298" s="692">
        <f t="shared" si="137"/>
        <v>19.605619610155404</v>
      </c>
      <c r="J298" s="693">
        <f t="shared" si="138"/>
        <v>1.5197684007902532</v>
      </c>
      <c r="K298" s="693">
        <f t="shared" si="139"/>
        <v>1.000058798377305</v>
      </c>
      <c r="L298" s="694">
        <f t="shared" si="140"/>
        <v>1.0843938067761955E-2</v>
      </c>
      <c r="M298" s="693">
        <f t="shared" si="141"/>
        <v>1.00032797198644</v>
      </c>
      <c r="N298" s="694">
        <f t="shared" si="142"/>
        <v>-2.5607903994655682E-2</v>
      </c>
      <c r="O298" s="692">
        <f t="shared" si="143"/>
        <v>36316.006800049632</v>
      </c>
      <c r="P298" s="695">
        <f t="shared" si="144"/>
        <v>1.5707687907277945</v>
      </c>
      <c r="Q298" s="704">
        <f t="shared" si="166"/>
        <v>15.164676774802853</v>
      </c>
      <c r="R298" s="705">
        <f t="shared" si="167"/>
        <v>1.5048057239584152</v>
      </c>
      <c r="S298" s="692">
        <f t="shared" si="145"/>
        <v>1.0050752856640308</v>
      </c>
      <c r="T298" s="695">
        <f t="shared" si="146"/>
        <v>0.10053768231734064</v>
      </c>
      <c r="U298" s="696">
        <f t="shared" si="158"/>
        <v>0.97922885932832948</v>
      </c>
      <c r="V298" s="697">
        <f t="shared" si="159"/>
        <v>-0.24963980550122061</v>
      </c>
      <c r="W298" s="698">
        <f t="shared" si="147"/>
        <v>3.2083181854836411</v>
      </c>
      <c r="X298" s="699">
        <f t="shared" si="148"/>
        <v>-111.76532572894699</v>
      </c>
      <c r="Y298" s="702">
        <f t="shared" si="149"/>
        <v>68.234674271053009</v>
      </c>
      <c r="AA298" s="174">
        <f t="shared" si="150"/>
        <v>1000000000</v>
      </c>
      <c r="AB298" s="174">
        <f t="shared" si="151"/>
        <v>402764761</v>
      </c>
      <c r="AD298" s="701">
        <f t="shared" si="152"/>
        <v>27.579179173986152</v>
      </c>
      <c r="AE298" s="702">
        <f t="shared" si="153"/>
        <v>-9.539790219336556</v>
      </c>
      <c r="AG298" s="701">
        <f t="shared" si="154"/>
        <v>1.3817137956649943</v>
      </c>
      <c r="AH298" s="702">
        <f t="shared" si="155"/>
        <v>-73.618920969549222</v>
      </c>
      <c r="AJ298" s="174">
        <f t="shared" si="156"/>
        <v>0</v>
      </c>
      <c r="AK298" s="174">
        <f t="shared" si="168"/>
        <v>0</v>
      </c>
      <c r="AM298" s="174" t="str">
        <f t="shared" si="160"/>
        <v>0.064201090115717+0.352534254022765i</v>
      </c>
      <c r="AN298" s="174" t="str">
        <f t="shared" si="161"/>
        <v>0.360277845102i</v>
      </c>
      <c r="AO298" s="174" t="str">
        <f t="shared" si="162"/>
        <v>0.978506613202811-0.178198829010817i</v>
      </c>
      <c r="AP298" s="174" t="str">
        <f t="shared" si="163"/>
        <v>0.155966484980714-0.0587557090037942i</v>
      </c>
      <c r="AQ298" s="174" t="str">
        <f t="shared" si="164"/>
        <v>0.844033515019286+0.0587557090037942i</v>
      </c>
      <c r="AR298" s="174" t="str">
        <f t="shared" si="165"/>
        <v>0.982168076563657-0.068371670878581i</v>
      </c>
    </row>
    <row r="299" spans="7:44" x14ac:dyDescent="0.2">
      <c r="G299" s="703">
        <v>20185</v>
      </c>
      <c r="H299" s="691">
        <f t="shared" si="157"/>
        <v>20.184999999999999</v>
      </c>
      <c r="I299" s="692">
        <f t="shared" si="137"/>
        <v>19.718647272766262</v>
      </c>
      <c r="J299" s="693">
        <f t="shared" si="138"/>
        <v>1.520061145785975</v>
      </c>
      <c r="K299" s="693">
        <f t="shared" si="139"/>
        <v>1.0000594800375888</v>
      </c>
      <c r="L299" s="694">
        <f t="shared" si="140"/>
        <v>1.0906611711197396E-2</v>
      </c>
      <c r="M299" s="693">
        <f t="shared" si="141"/>
        <v>1.0003317737078607</v>
      </c>
      <c r="N299" s="694">
        <f t="shared" si="142"/>
        <v>-2.5755853923399779E-2</v>
      </c>
      <c r="O299" s="692">
        <f t="shared" si="143"/>
        <v>36525.91545447291</v>
      </c>
      <c r="P299" s="695">
        <f t="shared" si="144"/>
        <v>1.5707689489732135</v>
      </c>
      <c r="Q299" s="704">
        <f t="shared" si="166"/>
        <v>15.251949435892382</v>
      </c>
      <c r="R299" s="705">
        <f t="shared" si="167"/>
        <v>1.5051838709055925</v>
      </c>
      <c r="S299" s="692">
        <f t="shared" si="145"/>
        <v>1.005133975848107</v>
      </c>
      <c r="T299" s="695">
        <f t="shared" si="146"/>
        <v>0.10111485440574262</v>
      </c>
      <c r="U299" s="696">
        <f t="shared" si="158"/>
        <v>0.97899954619119745</v>
      </c>
      <c r="V299" s="697">
        <f t="shared" si="159"/>
        <v>-0.25105368411118628</v>
      </c>
      <c r="W299" s="698">
        <f t="shared" si="147"/>
        <v>3.1556682876513249</v>
      </c>
      <c r="X299" s="699">
        <f t="shared" si="148"/>
        <v>-111.87940639754517</v>
      </c>
      <c r="Y299" s="702">
        <f t="shared" si="149"/>
        <v>68.120593602454832</v>
      </c>
      <c r="AA299" s="174">
        <f t="shared" si="150"/>
        <v>1000000000</v>
      </c>
      <c r="AB299" s="174">
        <f t="shared" si="151"/>
        <v>407434225</v>
      </c>
      <c r="AD299" s="701">
        <f t="shared" si="152"/>
        <v>27.578455546160079</v>
      </c>
      <c r="AE299" s="702">
        <f t="shared" si="153"/>
        <v>-9.5512025867533907</v>
      </c>
      <c r="AG299" s="701">
        <f t="shared" si="154"/>
        <v>1.3338560778361739</v>
      </c>
      <c r="AH299" s="702">
        <f t="shared" si="155"/>
        <v>-73.559570716355722</v>
      </c>
      <c r="AJ299" s="174">
        <f t="shared" si="156"/>
        <v>0</v>
      </c>
      <c r="AK299" s="174">
        <f t="shared" si="168"/>
        <v>0</v>
      </c>
      <c r="AM299" s="174" t="str">
        <f t="shared" si="160"/>
        <v>0.0649372455257889+0.35448222126801i</v>
      </c>
      <c r="AN299" s="174" t="str">
        <f t="shared" si="161"/>
        <v>0.36236027223i</v>
      </c>
      <c r="AO299" s="174" t="str">
        <f t="shared" si="162"/>
        <v>0.978259065450228-0.179206305167393i</v>
      </c>
      <c r="AP299" s="174" t="str">
        <f t="shared" si="163"/>
        <v>0.155843792412369-0.059080370211335i</v>
      </c>
      <c r="AQ299" s="174" t="str">
        <f t="shared" si="164"/>
        <v>0.844156207587631+0.059080370211335i</v>
      </c>
      <c r="AR299" s="174" t="str">
        <f t="shared" si="165"/>
        <v>0.981974237100898-0.0687259075328091i</v>
      </c>
    </row>
    <row r="300" spans="7:44" x14ac:dyDescent="0.2">
      <c r="G300" s="703">
        <v>20301</v>
      </c>
      <c r="H300" s="691">
        <f t="shared" si="157"/>
        <v>20.300999999999998</v>
      </c>
      <c r="I300" s="692">
        <f t="shared" si="137"/>
        <v>19.831676605995412</v>
      </c>
      <c r="J300" s="693">
        <f t="shared" si="138"/>
        <v>1.5203505538446613</v>
      </c>
      <c r="K300" s="693">
        <f t="shared" si="139"/>
        <v>1.0000601656260864</v>
      </c>
      <c r="L300" s="694">
        <f t="shared" si="140"/>
        <v>1.0969285268947533E-2</v>
      </c>
      <c r="M300" s="693">
        <f t="shared" si="141"/>
        <v>1.0003355973255585</v>
      </c>
      <c r="N300" s="694">
        <f t="shared" si="142"/>
        <v>-2.5903802724353969E-2</v>
      </c>
      <c r="O300" s="692">
        <f t="shared" si="143"/>
        <v>36735.82410889709</v>
      </c>
      <c r="P300" s="695">
        <f t="shared" si="144"/>
        <v>1.5707691054102024</v>
      </c>
      <c r="Q300" s="704">
        <f t="shared" si="166"/>
        <v>15.339224253118854</v>
      </c>
      <c r="R300" s="705">
        <f t="shared" si="167"/>
        <v>1.505557714858168</v>
      </c>
      <c r="S300" s="692">
        <f t="shared" si="145"/>
        <v>1.0051930008309067</v>
      </c>
      <c r="T300" s="695">
        <f t="shared" si="146"/>
        <v>0.10169195890322802</v>
      </c>
      <c r="U300" s="696">
        <f t="shared" si="158"/>
        <v>0.97876906477693959</v>
      </c>
      <c r="V300" s="697">
        <f t="shared" si="159"/>
        <v>-0.25246707697163095</v>
      </c>
      <c r="W300" s="698">
        <f t="shared" si="147"/>
        <v>3.103293252414248</v>
      </c>
      <c r="X300" s="699">
        <f t="shared" si="148"/>
        <v>-111.9935105497694</v>
      </c>
      <c r="Y300" s="702">
        <f t="shared" si="149"/>
        <v>68.006489450230603</v>
      </c>
      <c r="AA300" s="174">
        <f t="shared" si="150"/>
        <v>1000000000</v>
      </c>
      <c r="AB300" s="174">
        <f t="shared" si="151"/>
        <v>412130601</v>
      </c>
      <c r="AD300" s="701">
        <f t="shared" si="152"/>
        <v>27.577732744047083</v>
      </c>
      <c r="AE300" s="702">
        <f t="shared" si="153"/>
        <v>-9.5628575213107947</v>
      </c>
      <c r="AG300" s="701">
        <f t="shared" si="154"/>
        <v>1.2862940852561564</v>
      </c>
      <c r="AH300" s="702">
        <f t="shared" si="155"/>
        <v>-73.500057042442663</v>
      </c>
      <c r="AJ300" s="174">
        <f t="shared" si="156"/>
        <v>0</v>
      </c>
      <c r="AK300" s="174">
        <f t="shared" si="168"/>
        <v>0</v>
      </c>
      <c r="AM300" s="174" t="str">
        <f t="shared" si="160"/>
        <v>0.065677455836597+0.356428651300685i</v>
      </c>
      <c r="AN300" s="174" t="str">
        <f t="shared" si="161"/>
        <v>0.364442699358i</v>
      </c>
      <c r="AO300" s="174" t="str">
        <f t="shared" si="162"/>
        <v>0.978010128693942-0.180213394183212i</v>
      </c>
      <c r="AP300" s="174" t="str">
        <f t="shared" si="163"/>
        <v>0.155720424027234-0.0594047752167808i</v>
      </c>
      <c r="AQ300" s="174" t="str">
        <f t="shared" si="164"/>
        <v>0.844279575972766+0.0594047752167808i</v>
      </c>
      <c r="AR300" s="174" t="str">
        <f t="shared" si="165"/>
        <v>0.981779463829909-0.0690794732231549i</v>
      </c>
    </row>
    <row r="301" spans="7:44" x14ac:dyDescent="0.2">
      <c r="G301" s="703">
        <v>20417</v>
      </c>
      <c r="H301" s="691">
        <f t="shared" si="157"/>
        <v>20.417000000000002</v>
      </c>
      <c r="I301" s="692">
        <f t="shared" si="137"/>
        <v>19.94470758144001</v>
      </c>
      <c r="J301" s="693">
        <f t="shared" si="138"/>
        <v>1.5206366816508492</v>
      </c>
      <c r="K301" s="693">
        <f t="shared" si="139"/>
        <v>1.0000608551427896</v>
      </c>
      <c r="L301" s="694">
        <f t="shared" si="140"/>
        <v>1.1031958740520178E-2</v>
      </c>
      <c r="M301" s="693">
        <f t="shared" si="141"/>
        <v>1.0003394428392824</v>
      </c>
      <c r="N301" s="694">
        <f t="shared" si="142"/>
        <v>-2.6051750391054371E-2</v>
      </c>
      <c r="O301" s="692">
        <f t="shared" si="143"/>
        <v>36945.732763322165</v>
      </c>
      <c r="P301" s="695">
        <f t="shared" si="144"/>
        <v>1.5707692600695855</v>
      </c>
      <c r="Q301" s="704">
        <f t="shared" si="166"/>
        <v>15.426501189887491</v>
      </c>
      <c r="R301" s="705">
        <f t="shared" si="167"/>
        <v>1.5059273287445849</v>
      </c>
      <c r="S301" s="692">
        <f t="shared" si="145"/>
        <v>1.0052523605534549</v>
      </c>
      <c r="T301" s="695">
        <f t="shared" si="146"/>
        <v>0.10226899543732816</v>
      </c>
      <c r="U301" s="696">
        <f t="shared" si="158"/>
        <v>0.97853741755381607</v>
      </c>
      <c r="V301" s="697">
        <f t="shared" si="159"/>
        <v>-0.25387998175174731</v>
      </c>
      <c r="W301" s="698">
        <f t="shared" si="147"/>
        <v>3.051189792804474</v>
      </c>
      <c r="X301" s="699">
        <f t="shared" si="148"/>
        <v>-112.10763710145004</v>
      </c>
      <c r="Y301" s="702">
        <f t="shared" si="149"/>
        <v>67.892362898549962</v>
      </c>
      <c r="AA301" s="174">
        <f t="shared" si="150"/>
        <v>1000000000</v>
      </c>
      <c r="AB301" s="174">
        <f t="shared" si="151"/>
        <v>416853889</v>
      </c>
      <c r="AD301" s="701">
        <f t="shared" si="152"/>
        <v>27.577010685356647</v>
      </c>
      <c r="AE301" s="702">
        <f t="shared" si="153"/>
        <v>-9.574750824941983</v>
      </c>
      <c r="AG301" s="701">
        <f t="shared" si="154"/>
        <v>1.2390245845273569</v>
      </c>
      <c r="AH301" s="702">
        <f t="shared" si="155"/>
        <v>-73.440383328798035</v>
      </c>
      <c r="AJ301" s="174">
        <f t="shared" si="156"/>
        <v>0</v>
      </c>
      <c r="AK301" s="174">
        <f t="shared" si="168"/>
        <v>0</v>
      </c>
      <c r="AM301" s="174" t="str">
        <f t="shared" si="160"/>
        <v>0.066421717838216+0.358373535680095i</v>
      </c>
      <c r="AN301" s="174" t="str">
        <f t="shared" si="161"/>
        <v>0.366525126486i</v>
      </c>
      <c r="AO301" s="174" t="str">
        <f t="shared" si="162"/>
        <v>0.977759803580025-0.181220093899219i</v>
      </c>
      <c r="AP301" s="174" t="str">
        <f t="shared" si="163"/>
        <v>0.155596380360297-0.0597289226133492i</v>
      </c>
      <c r="AQ301" s="174" t="str">
        <f t="shared" si="164"/>
        <v>0.844403619639703+0.0597289226133492i</v>
      </c>
      <c r="AR301" s="174" t="str">
        <f t="shared" si="165"/>
        <v>0.981583759661196-0.0694323651103488i</v>
      </c>
    </row>
    <row r="302" spans="7:44" x14ac:dyDescent="0.2">
      <c r="G302" s="703">
        <v>20536</v>
      </c>
      <c r="H302" s="691">
        <f t="shared" si="157"/>
        <v>20.536000000000001</v>
      </c>
      <c r="I302" s="692">
        <f t="shared" si="137"/>
        <v>20.060663449144272</v>
      </c>
      <c r="J302" s="693">
        <f t="shared" si="138"/>
        <v>1.5209268587783105</v>
      </c>
      <c r="K302" s="693">
        <f t="shared" si="139"/>
        <v>1.0000615665737198</v>
      </c>
      <c r="L302" s="694">
        <f t="shared" si="140"/>
        <v>1.1096252987671695E-2</v>
      </c>
      <c r="M302" s="693">
        <f t="shared" si="141"/>
        <v>1.0003434105584459</v>
      </c>
      <c r="N302" s="694">
        <f t="shared" si="142"/>
        <v>-2.6203523105105531E-2</v>
      </c>
      <c r="O302" s="692">
        <f t="shared" si="143"/>
        <v>37161.070089845343</v>
      </c>
      <c r="P302" s="695">
        <f t="shared" si="144"/>
        <v>1.5707694169131923</v>
      </c>
      <c r="Q302" s="704">
        <f t="shared" si="166"/>
        <v>15.516037453801712</v>
      </c>
      <c r="R302" s="705">
        <f t="shared" si="167"/>
        <v>1.5063021807418824</v>
      </c>
      <c r="S302" s="692">
        <f t="shared" si="145"/>
        <v>1.0053136032163801</v>
      </c>
      <c r="T302" s="695">
        <f t="shared" si="146"/>
        <v>0.10286088431734883</v>
      </c>
      <c r="U302" s="696">
        <f t="shared" si="158"/>
        <v>0.97829857062701309</v>
      </c>
      <c r="V302" s="697">
        <f t="shared" si="159"/>
        <v>-0.25532891755983161</v>
      </c>
      <c r="W302" s="698">
        <f t="shared" si="147"/>
        <v>2.9980176462712009</v>
      </c>
      <c r="X302" s="699">
        <f t="shared" si="148"/>
        <v>-112.22473736369423</v>
      </c>
      <c r="Y302" s="702">
        <f t="shared" si="149"/>
        <v>67.775262636305769</v>
      </c>
      <c r="AA302" s="174">
        <f t="shared" si="150"/>
        <v>1000000000</v>
      </c>
      <c r="AB302" s="174">
        <f t="shared" si="151"/>
        <v>421727296</v>
      </c>
      <c r="AD302" s="701">
        <f t="shared" si="152"/>
        <v>27.576270641468092</v>
      </c>
      <c r="AE302" s="702">
        <f t="shared" si="153"/>
        <v>-9.5871951088116312</v>
      </c>
      <c r="AG302" s="701">
        <f t="shared" si="154"/>
        <v>1.1908332012263854</v>
      </c>
      <c r="AH302" s="702">
        <f t="shared" si="155"/>
        <v>-73.379003493805669</v>
      </c>
      <c r="AJ302" s="174">
        <f t="shared" si="156"/>
        <v>0</v>
      </c>
      <c r="AK302" s="174">
        <f t="shared" si="168"/>
        <v>0</v>
      </c>
      <c r="AM302" s="174" t="str">
        <f t="shared" si="160"/>
        <v>0.067189434835694+0.360367103823099i</v>
      </c>
      <c r="AN302" s="174" t="str">
        <f t="shared" si="161"/>
        <v>0.368661409488i</v>
      </c>
      <c r="AO302" s="174" t="str">
        <f t="shared" si="162"/>
        <v>0.977501562541031-0.182252422158878i</v>
      </c>
      <c r="AP302" s="174" t="str">
        <f t="shared" si="163"/>
        <v>0.155468427527384-0.0600611839705165i</v>
      </c>
      <c r="AQ302" s="174" t="str">
        <f t="shared" si="164"/>
        <v>0.844531572472616+0.0600611839705165i</v>
      </c>
      <c r="AR302" s="174" t="str">
        <f t="shared" si="165"/>
        <v>0.981382029917288-0.0697936803850307i</v>
      </c>
    </row>
    <row r="303" spans="7:44" x14ac:dyDescent="0.2">
      <c r="G303" s="703">
        <v>20655</v>
      </c>
      <c r="H303" s="691">
        <f t="shared" si="157"/>
        <v>20.655000000000001</v>
      </c>
      <c r="I303" s="692">
        <f t="shared" si="137"/>
        <v>20.176620986596408</v>
      </c>
      <c r="J303" s="693">
        <f t="shared" si="138"/>
        <v>1.5212137005619781</v>
      </c>
      <c r="K303" s="693">
        <f t="shared" si="139"/>
        <v>1.0000622821386487</v>
      </c>
      <c r="L303" s="694">
        <f t="shared" si="140"/>
        <v>1.11605471430813E-2</v>
      </c>
      <c r="M303" s="693">
        <f t="shared" si="141"/>
        <v>1.0003474013202933</v>
      </c>
      <c r="N303" s="694">
        <f t="shared" si="142"/>
        <v>-2.6355294611695893E-2</v>
      </c>
      <c r="O303" s="692">
        <f t="shared" si="143"/>
        <v>37376.407416369424</v>
      </c>
      <c r="P303" s="695">
        <f t="shared" si="144"/>
        <v>1.5707695719495478</v>
      </c>
      <c r="Q303" s="704">
        <f t="shared" si="166"/>
        <v>15.60557587291872</v>
      </c>
      <c r="R303" s="705">
        <f t="shared" si="167"/>
        <v>1.5066727312955015</v>
      </c>
      <c r="S303" s="692">
        <f t="shared" si="145"/>
        <v>1.0053751980302992</v>
      </c>
      <c r="T303" s="695">
        <f t="shared" si="146"/>
        <v>0.10345270087994488</v>
      </c>
      <c r="U303" s="696">
        <f t="shared" si="158"/>
        <v>0.97805850210376455</v>
      </c>
      <c r="V303" s="697">
        <f t="shared" si="159"/>
        <v>-0.25677733476989645</v>
      </c>
      <c r="W303" s="698">
        <f t="shared" si="147"/>
        <v>2.9451244774680156</v>
      </c>
      <c r="X303" s="699">
        <f t="shared" si="148"/>
        <v>-112.34185895494964</v>
      </c>
      <c r="Y303" s="702">
        <f t="shared" si="149"/>
        <v>67.658141045050357</v>
      </c>
      <c r="AA303" s="174">
        <f t="shared" si="150"/>
        <v>1000000000</v>
      </c>
      <c r="AB303" s="174">
        <f t="shared" si="151"/>
        <v>426629025</v>
      </c>
      <c r="AD303" s="701">
        <f t="shared" si="152"/>
        <v>27.575531211987091</v>
      </c>
      <c r="AE303" s="702">
        <f t="shared" si="153"/>
        <v>-9.5998816002190495</v>
      </c>
      <c r="AG303" s="701">
        <f t="shared" si="154"/>
        <v>1.1429429140889567</v>
      </c>
      <c r="AH303" s="702">
        <f t="shared" si="155"/>
        <v>-73.317462207242329</v>
      </c>
      <c r="AJ303" s="174">
        <f t="shared" si="156"/>
        <v>0</v>
      </c>
      <c r="AK303" s="174">
        <f t="shared" si="168"/>
        <v>0</v>
      </c>
      <c r="AM303" s="174" t="str">
        <f t="shared" si="160"/>
        <v>0.067961408903854+0.362359027357552i</v>
      </c>
      <c r="AN303" s="174" t="str">
        <f t="shared" si="161"/>
        <v>0.37079769249i</v>
      </c>
      <c r="AO303" s="174" t="str">
        <f t="shared" si="162"/>
        <v>0.977241861793205-0.183284336122687i</v>
      </c>
      <c r="AP303" s="174" t="str">
        <f t="shared" si="163"/>
        <v>0.155339765182691-0.0603931712262587i</v>
      </c>
      <c r="AQ303" s="174" t="str">
        <f t="shared" si="164"/>
        <v>0.844660234817309+0.0603931712262587i</v>
      </c>
      <c r="AR303" s="174" t="str">
        <f t="shared" si="165"/>
        <v>0.981179326740404-0.0701542805508241i</v>
      </c>
    </row>
    <row r="304" spans="7:44" x14ac:dyDescent="0.2">
      <c r="G304" s="703">
        <v>20774</v>
      </c>
      <c r="H304" s="691">
        <f t="shared" si="157"/>
        <v>20.774000000000001</v>
      </c>
      <c r="I304" s="692">
        <f t="shared" si="137"/>
        <v>20.292580165172183</v>
      </c>
      <c r="J304" s="693">
        <f t="shared" si="138"/>
        <v>1.5214972641323414</v>
      </c>
      <c r="K304" s="693">
        <f t="shared" si="139"/>
        <v>1.0000630018375676</v>
      </c>
      <c r="L304" s="694">
        <f t="shared" si="140"/>
        <v>1.1224841206217641E-2</v>
      </c>
      <c r="M304" s="693">
        <f t="shared" si="141"/>
        <v>1.0003514151245492</v>
      </c>
      <c r="N304" s="694">
        <f t="shared" si="142"/>
        <v>-2.6507064903847966E-2</v>
      </c>
      <c r="O304" s="692">
        <f t="shared" si="143"/>
        <v>37591.744742894392</v>
      </c>
      <c r="P304" s="695">
        <f t="shared" si="144"/>
        <v>1.5707697252097093</v>
      </c>
      <c r="Q304" s="704">
        <f t="shared" si="166"/>
        <v>15.695116410353132</v>
      </c>
      <c r="R304" s="705">
        <f t="shared" si="167"/>
        <v>1.5070390539219269</v>
      </c>
      <c r="S304" s="692">
        <f t="shared" si="145"/>
        <v>1.0054371449304922</v>
      </c>
      <c r="T304" s="695">
        <f t="shared" si="146"/>
        <v>0.10404444472388172</v>
      </c>
      <c r="U304" s="696">
        <f t="shared" si="158"/>
        <v>0.97781721467942329</v>
      </c>
      <c r="V304" s="697">
        <f t="shared" si="159"/>
        <v>-0.25822523088957383</v>
      </c>
      <c r="W304" s="698">
        <f t="shared" si="147"/>
        <v>2.8925069190488593</v>
      </c>
      <c r="X304" s="699">
        <f t="shared" si="148"/>
        <v>-112.45900077198667</v>
      </c>
      <c r="Y304" s="702">
        <f t="shared" si="149"/>
        <v>67.540999228013334</v>
      </c>
      <c r="AA304" s="174">
        <f t="shared" si="150"/>
        <v>1000000000</v>
      </c>
      <c r="AB304" s="174">
        <f t="shared" si="151"/>
        <v>431559076</v>
      </c>
      <c r="AD304" s="701">
        <f t="shared" si="152"/>
        <v>27.574792315497323</v>
      </c>
      <c r="AE304" s="702">
        <f t="shared" si="153"/>
        <v>-9.6128060657703429</v>
      </c>
      <c r="AG304" s="701">
        <f t="shared" si="154"/>
        <v>1.0953504057868779</v>
      </c>
      <c r="AH304" s="702">
        <f t="shared" si="155"/>
        <v>-73.255762884876745</v>
      </c>
      <c r="AJ304" s="174">
        <f t="shared" si="156"/>
        <v>0</v>
      </c>
      <c r="AK304" s="174">
        <f t="shared" si="168"/>
        <v>0</v>
      </c>
      <c r="AM304" s="174" t="str">
        <f t="shared" si="160"/>
        <v>0.068737636519634+0.364349297192905i</v>
      </c>
      <c r="AN304" s="174" t="str">
        <f t="shared" si="161"/>
        <v>0.372933975492i</v>
      </c>
      <c r="AO304" s="174" t="str">
        <f t="shared" si="162"/>
        <v>0.976980702045799-0.184315833463418i</v>
      </c>
      <c r="AP304" s="174" t="str">
        <f t="shared" si="163"/>
        <v>0.155210393913394-0.0607248828654842i</v>
      </c>
      <c r="AQ304" s="174" t="str">
        <f t="shared" si="164"/>
        <v>0.844789606086606+0.0607248828654842i</v>
      </c>
      <c r="AR304" s="174" t="str">
        <f t="shared" si="165"/>
        <v>0.980975653305087-0.0705141625934449i</v>
      </c>
    </row>
    <row r="305" spans="7:44" x14ac:dyDescent="0.2">
      <c r="G305" s="703">
        <v>20893</v>
      </c>
      <c r="H305" s="691">
        <f t="shared" si="157"/>
        <v>20.893000000000001</v>
      </c>
      <c r="I305" s="692">
        <f t="shared" si="137"/>
        <v>20.408540956897518</v>
      </c>
      <c r="J305" s="693">
        <f t="shared" si="138"/>
        <v>1.5217776053235699</v>
      </c>
      <c r="K305" s="693">
        <f t="shared" si="139"/>
        <v>1.0000637256704674</v>
      </c>
      <c r="L305" s="694">
        <f t="shared" si="140"/>
        <v>1.1289135176549371E-2</v>
      </c>
      <c r="M305" s="693">
        <f t="shared" si="141"/>
        <v>1.0003554519709359</v>
      </c>
      <c r="N305" s="694">
        <f t="shared" si="142"/>
        <v>-2.665883397458458E-2</v>
      </c>
      <c r="O305" s="692">
        <f t="shared" si="143"/>
        <v>37807.082069420234</v>
      </c>
      <c r="P305" s="695">
        <f t="shared" si="144"/>
        <v>1.5707698767240268</v>
      </c>
      <c r="Q305" s="704">
        <f t="shared" si="166"/>
        <v>15.784659030055655</v>
      </c>
      <c r="R305" s="705">
        <f t="shared" si="167"/>
        <v>1.5074012204740759</v>
      </c>
      <c r="S305" s="692">
        <f t="shared" si="145"/>
        <v>1.0054994438518847</v>
      </c>
      <c r="T305" s="695">
        <f t="shared" si="146"/>
        <v>0.104636115448227</v>
      </c>
      <c r="U305" s="696">
        <f t="shared" si="158"/>
        <v>0.97757471105951765</v>
      </c>
      <c r="V305" s="697">
        <f t="shared" si="159"/>
        <v>-0.25967260343466292</v>
      </c>
      <c r="W305" s="698">
        <f t="shared" si="147"/>
        <v>2.8401616620960546</v>
      </c>
      <c r="X305" s="699">
        <f t="shared" si="148"/>
        <v>-112.57616173306245</v>
      </c>
      <c r="Y305" s="702">
        <f t="shared" si="149"/>
        <v>67.423838266937551</v>
      </c>
      <c r="AA305" s="174">
        <f t="shared" si="150"/>
        <v>1000000000</v>
      </c>
      <c r="AB305" s="174">
        <f t="shared" si="151"/>
        <v>436517449</v>
      </c>
      <c r="AD305" s="701">
        <f t="shared" si="152"/>
        <v>27.574053872922608</v>
      </c>
      <c r="AE305" s="702">
        <f t="shared" si="153"/>
        <v>-9.6259643673637978</v>
      </c>
      <c r="AG305" s="701">
        <f t="shared" si="154"/>
        <v>1.0480524149492836</v>
      </c>
      <c r="AH305" s="702">
        <f t="shared" si="155"/>
        <v>-73.193908867736099</v>
      </c>
      <c r="AJ305" s="174">
        <f t="shared" si="156"/>
        <v>0</v>
      </c>
      <c r="AK305" s="174">
        <f t="shared" si="168"/>
        <v>0</v>
      </c>
      <c r="AM305" s="174" t="str">
        <f t="shared" si="160"/>
        <v>0.069518114140564+0.366337904246157i</v>
      </c>
      <c r="AN305" s="174" t="str">
        <f t="shared" si="161"/>
        <v>0.375070258494i</v>
      </c>
      <c r="AO305" s="174" t="str">
        <f t="shared" si="162"/>
        <v>0.976718084012031-0.185346911855119i</v>
      </c>
      <c r="AP305" s="174" t="str">
        <f t="shared" si="163"/>
        <v>0.155080314309906-0.0610563173743595i</v>
      </c>
      <c r="AQ305" s="174" t="str">
        <f t="shared" si="164"/>
        <v>0.844919685690094+0.0610563173743595i</v>
      </c>
      <c r="AR305" s="174" t="str">
        <f t="shared" si="165"/>
        <v>0.980771012796574-0.0708733235159155i</v>
      </c>
    </row>
    <row r="306" spans="7:44" x14ac:dyDescent="0.2">
      <c r="G306" s="703">
        <v>21014.75</v>
      </c>
      <c r="H306" s="691">
        <f t="shared" si="157"/>
        <v>21.014749999999999</v>
      </c>
      <c r="I306" s="692">
        <f t="shared" si="137"/>
        <v>20.527183155804888</v>
      </c>
      <c r="J306" s="693">
        <f t="shared" si="138"/>
        <v>1.5220611469563881</v>
      </c>
      <c r="K306" s="693">
        <f t="shared" si="139"/>
        <v>1.0000644705089734</v>
      </c>
      <c r="L306" s="694">
        <f t="shared" si="140"/>
        <v>1.1354914835309277E-2</v>
      </c>
      <c r="M306" s="693">
        <f t="shared" si="141"/>
        <v>1.0003596059525115</v>
      </c>
      <c r="N306" s="694">
        <f t="shared" si="142"/>
        <v>-2.6814109042405859E-2</v>
      </c>
      <c r="O306" s="692">
        <f t="shared" si="143"/>
        <v>38027.395678702815</v>
      </c>
      <c r="P306" s="695">
        <f t="shared" si="144"/>
        <v>1.5707700299638288</v>
      </c>
      <c r="Q306" s="704">
        <f t="shared" si="166"/>
        <v>15.876273030238053</v>
      </c>
      <c r="R306" s="705">
        <f t="shared" si="167"/>
        <v>1.507767528411609</v>
      </c>
      <c r="S306" s="692">
        <f t="shared" si="145"/>
        <v>1.0055635467036086</v>
      </c>
      <c r="T306" s="695">
        <f t="shared" si="146"/>
        <v>0.10524138314399151</v>
      </c>
      <c r="U306" s="696">
        <f t="shared" si="158"/>
        <v>0.97732534751819855</v>
      </c>
      <c r="V306" s="697">
        <f t="shared" si="159"/>
        <v>-0.26115287921888874</v>
      </c>
      <c r="W306" s="698">
        <f t="shared" si="147"/>
        <v>2.7868851680400004</v>
      </c>
      <c r="X306" s="699">
        <f t="shared" si="148"/>
        <v>-112.69604890186676</v>
      </c>
      <c r="Y306" s="702">
        <f t="shared" si="149"/>
        <v>67.30395109813324</v>
      </c>
      <c r="AA306" s="174">
        <f t="shared" si="150"/>
        <v>1000000000</v>
      </c>
      <c r="AB306" s="174">
        <f t="shared" si="151"/>
        <v>441619717.5625</v>
      </c>
      <c r="AD306" s="701">
        <f t="shared" si="152"/>
        <v>27.573298755172068</v>
      </c>
      <c r="AE306" s="702">
        <f t="shared" si="153"/>
        <v>-9.6396645329934909</v>
      </c>
      <c r="AG306" s="701">
        <f t="shared" si="154"/>
        <v>0.99996286461236106</v>
      </c>
      <c r="AH306" s="702">
        <f t="shared" si="155"/>
        <v>-73.130468760813798</v>
      </c>
      <c r="AJ306" s="174">
        <f t="shared" si="156"/>
        <v>0</v>
      </c>
      <c r="AK306" s="174">
        <f t="shared" si="168"/>
        <v>0</v>
      </c>
      <c r="AM306" s="174" t="str">
        <f t="shared" si="160"/>
        <v>0.070321022755821+0.368370736175143i</v>
      </c>
      <c r="AN306" s="174" t="str">
        <f t="shared" si="161"/>
        <v>0.3772559093805i</v>
      </c>
      <c r="AO306" s="174" t="str">
        <f t="shared" si="162"/>
        <v>0.976447888596503-0.18640138168093i</v>
      </c>
      <c r="AP306" s="174" t="str">
        <f t="shared" si="163"/>
        <v>0.154946496207363-0.0613951226958572i</v>
      </c>
      <c r="AQ306" s="174" t="str">
        <f t="shared" si="164"/>
        <v>0.845053503792637+0.0613951226958572i</v>
      </c>
      <c r="AR306" s="174" t="str">
        <f t="shared" si="165"/>
        <v>0.980560645679755-0.0712400349587925i</v>
      </c>
    </row>
    <row r="307" spans="7:44" x14ac:dyDescent="0.2">
      <c r="G307" s="703">
        <v>21136.5</v>
      </c>
      <c r="H307" s="691">
        <f t="shared" si="157"/>
        <v>21.136500000000002</v>
      </c>
      <c r="I307" s="692">
        <f t="shared" si="137"/>
        <v>20.64582698604562</v>
      </c>
      <c r="J307" s="693">
        <f t="shared" si="138"/>
        <v>1.5223414297965232</v>
      </c>
      <c r="K307" s="693">
        <f t="shared" si="139"/>
        <v>1.0000652196747155</v>
      </c>
      <c r="L307" s="694">
        <f t="shared" si="140"/>
        <v>1.14206943958005E-2</v>
      </c>
      <c r="M307" s="693">
        <f t="shared" si="141"/>
        <v>1.0003637840529034</v>
      </c>
      <c r="N307" s="694">
        <f t="shared" si="142"/>
        <v>-2.6969382816933021E-2</v>
      </c>
      <c r="O307" s="692">
        <f t="shared" si="143"/>
        <v>38247.709287986276</v>
      </c>
      <c r="P307" s="695">
        <f t="shared" si="144"/>
        <v>1.5707701814382535</v>
      </c>
      <c r="Q307" s="704">
        <f t="shared" si="166"/>
        <v>15.96788913627775</v>
      </c>
      <c r="R307" s="705">
        <f t="shared" si="167"/>
        <v>1.5081296329979865</v>
      </c>
      <c r="S307" s="692">
        <f t="shared" si="145"/>
        <v>1.005628017895472</v>
      </c>
      <c r="T307" s="695">
        <f t="shared" si="146"/>
        <v>0.10584657345356228</v>
      </c>
      <c r="U307" s="696">
        <f t="shared" si="158"/>
        <v>0.97707471668283385</v>
      </c>
      <c r="V307" s="697">
        <f t="shared" si="159"/>
        <v>-0.26263260171554675</v>
      </c>
      <c r="W307" s="698">
        <f t="shared" si="147"/>
        <v>2.7338868805111174</v>
      </c>
      <c r="X307" s="699">
        <f t="shared" si="148"/>
        <v>-112.81595388532173</v>
      </c>
      <c r="Y307" s="702">
        <f t="shared" si="149"/>
        <v>67.184046114678267</v>
      </c>
      <c r="AA307" s="174">
        <f t="shared" si="150"/>
        <v>1000000000</v>
      </c>
      <c r="AB307" s="174">
        <f t="shared" si="151"/>
        <v>446751632.25</v>
      </c>
      <c r="AD307" s="701">
        <f t="shared" si="152"/>
        <v>27.57254395226385</v>
      </c>
      <c r="AE307" s="702">
        <f t="shared" si="153"/>
        <v>-9.6536009978535162</v>
      </c>
      <c r="AG307" s="701">
        <f t="shared" si="154"/>
        <v>0.9521748685637339</v>
      </c>
      <c r="AH307" s="702">
        <f t="shared" si="155"/>
        <v>-73.06687357139684</v>
      </c>
      <c r="AJ307" s="174">
        <f t="shared" si="156"/>
        <v>0</v>
      </c>
      <c r="AK307" s="174">
        <f t="shared" si="168"/>
        <v>0</v>
      </c>
      <c r="AM307" s="174" t="str">
        <f t="shared" si="160"/>
        <v>0.0711283725106741+0.370401808372112i</v>
      </c>
      <c r="AN307" s="174" t="str">
        <f t="shared" si="161"/>
        <v>0.379441560267i</v>
      </c>
      <c r="AO307" s="174" t="str">
        <f t="shared" si="162"/>
        <v>0.976176168239117-0.187455408049196i</v>
      </c>
      <c r="AP307" s="174" t="str">
        <f t="shared" si="163"/>
        <v>0.154811937914888-0.0617336347286853i</v>
      </c>
      <c r="AQ307" s="174" t="str">
        <f t="shared" si="164"/>
        <v>0.845188062085112+0.0617336347286853i</v>
      </c>
      <c r="AR307" s="174" t="str">
        <f t="shared" si="165"/>
        <v>0.980349273055784-0.0716059852762845i</v>
      </c>
    </row>
    <row r="308" spans="7:44" x14ac:dyDescent="0.2">
      <c r="G308" s="703">
        <v>21258.25</v>
      </c>
      <c r="H308" s="691">
        <f t="shared" si="157"/>
        <v>21.25825</v>
      </c>
      <c r="I308" s="692">
        <f t="shared" si="137"/>
        <v>20.764472419656421</v>
      </c>
      <c r="J308" s="693">
        <f t="shared" si="138"/>
        <v>1.5226185096604798</v>
      </c>
      <c r="K308" s="693">
        <f t="shared" si="139"/>
        <v>1.0000659731676838</v>
      </c>
      <c r="L308" s="694">
        <f t="shared" si="140"/>
        <v>1.1486473857454016E-2</v>
      </c>
      <c r="M308" s="693">
        <f t="shared" si="141"/>
        <v>1.0003679862718093</v>
      </c>
      <c r="N308" s="694">
        <f t="shared" si="142"/>
        <v>-2.7124655290695025E-2</v>
      </c>
      <c r="O308" s="692">
        <f t="shared" si="143"/>
        <v>38468.02289727061</v>
      </c>
      <c r="P308" s="695">
        <f t="shared" si="144"/>
        <v>1.5707703311776333</v>
      </c>
      <c r="Q308" s="704">
        <f t="shared" si="166"/>
        <v>16.059507312134325</v>
      </c>
      <c r="R308" s="705">
        <f t="shared" si="167"/>
        <v>1.5084876060767518</v>
      </c>
      <c r="S308" s="692">
        <f t="shared" si="145"/>
        <v>1.0056928573566362</v>
      </c>
      <c r="T308" s="695">
        <f t="shared" si="146"/>
        <v>0.10645168594855668</v>
      </c>
      <c r="U308" s="696">
        <f t="shared" si="158"/>
        <v>0.9768228214834036</v>
      </c>
      <c r="V308" s="697">
        <f t="shared" si="159"/>
        <v>-0.26411176829087002</v>
      </c>
      <c r="W308" s="698">
        <f t="shared" si="147"/>
        <v>2.6811634371376725</v>
      </c>
      <c r="X308" s="699">
        <f t="shared" si="148"/>
        <v>-112.93587559103982</v>
      </c>
      <c r="Y308" s="702">
        <f t="shared" si="149"/>
        <v>67.064124408960183</v>
      </c>
      <c r="AA308" s="174">
        <f t="shared" si="150"/>
        <v>1000000000</v>
      </c>
      <c r="AB308" s="174">
        <f t="shared" si="151"/>
        <v>451913193.0625</v>
      </c>
      <c r="AD308" s="701">
        <f t="shared" si="152"/>
        <v>27.571789386614171</v>
      </c>
      <c r="AE308" s="702">
        <f t="shared" si="153"/>
        <v>-9.6677696228054497</v>
      </c>
      <c r="AG308" s="701">
        <f t="shared" si="154"/>
        <v>0.90468510782945766</v>
      </c>
      <c r="AH308" s="702">
        <f t="shared" si="155"/>
        <v>-73.003126648043661</v>
      </c>
      <c r="AJ308" s="174">
        <f t="shared" si="156"/>
        <v>0</v>
      </c>
      <c r="AK308" s="174">
        <f t="shared" si="168"/>
        <v>0</v>
      </c>
      <c r="AM308" s="174" t="str">
        <f t="shared" si="160"/>
        <v>0.071940159548358+0.372431111134493i</v>
      </c>
      <c r="AN308" s="174" t="str">
        <f t="shared" si="161"/>
        <v>0.3816272111535i</v>
      </c>
      <c r="AO308" s="174" t="str">
        <f t="shared" si="162"/>
        <v>0.975902923716548-0.188508988473104i</v>
      </c>
      <c r="AP308" s="174" t="str">
        <f t="shared" si="163"/>
        <v>0.154676640075274-0.0620718518557488i</v>
      </c>
      <c r="AQ308" s="174" t="str">
        <f t="shared" si="164"/>
        <v>0.845323359924726+0.0620718518557488i</v>
      </c>
      <c r="AR308" s="174" t="str">
        <f t="shared" si="165"/>
        <v>0.980136898369886-0.0719711713153015i</v>
      </c>
    </row>
    <row r="309" spans="7:44" x14ac:dyDescent="0.2">
      <c r="G309" s="703">
        <v>21380</v>
      </c>
      <c r="H309" s="691">
        <f t="shared" si="157"/>
        <v>21.38</v>
      </c>
      <c r="I309" s="692">
        <f t="shared" si="137"/>
        <v>20.883119429309115</v>
      </c>
      <c r="J309" s="693">
        <f t="shared" si="138"/>
        <v>1.5228924410982745</v>
      </c>
      <c r="K309" s="693">
        <f t="shared" si="139"/>
        <v>1.0000667309878688</v>
      </c>
      <c r="L309" s="694">
        <f t="shared" si="140"/>
        <v>1.1552253219700798E-2</v>
      </c>
      <c r="M309" s="693">
        <f t="shared" si="141"/>
        <v>1.0003722126089256</v>
      </c>
      <c r="N309" s="694">
        <f t="shared" si="142"/>
        <v>-2.7279926456221217E-2</v>
      </c>
      <c r="O309" s="692">
        <f t="shared" si="143"/>
        <v>38688.336506555795</v>
      </c>
      <c r="P309" s="695">
        <f t="shared" si="144"/>
        <v>1.5707704792116091</v>
      </c>
      <c r="Q309" s="704">
        <f t="shared" si="166"/>
        <v>16.151127522584325</v>
      </c>
      <c r="R309" s="705">
        <f t="shared" si="167"/>
        <v>1.5088415178655572</v>
      </c>
      <c r="S309" s="692">
        <f t="shared" si="145"/>
        <v>1.0057580650158762</v>
      </c>
      <c r="T309" s="695">
        <f t="shared" si="146"/>
        <v>0.10705672020093006</v>
      </c>
      <c r="U309" s="696">
        <f t="shared" si="158"/>
        <v>0.9765696648606772</v>
      </c>
      <c r="V309" s="697">
        <f t="shared" si="159"/>
        <v>-0.26559037632015198</v>
      </c>
      <c r="W309" s="698">
        <f t="shared" si="147"/>
        <v>2.6287115338942173</v>
      </c>
      <c r="X309" s="699">
        <f t="shared" si="148"/>
        <v>-113.05581294772482</v>
      </c>
      <c r="Y309" s="702">
        <f t="shared" si="149"/>
        <v>66.944187052275183</v>
      </c>
      <c r="AA309" s="174">
        <f t="shared" si="150"/>
        <v>1000000000</v>
      </c>
      <c r="AB309" s="174">
        <f t="shared" si="151"/>
        <v>457104400</v>
      </c>
      <c r="AD309" s="701">
        <f t="shared" si="152"/>
        <v>27.571034982874462</v>
      </c>
      <c r="AE309" s="702">
        <f t="shared" si="153"/>
        <v>-9.6821663618473064</v>
      </c>
      <c r="AG309" s="701">
        <f t="shared" si="154"/>
        <v>0.8574903194067236</v>
      </c>
      <c r="AH309" s="702">
        <f t="shared" si="155"/>
        <v>-72.939231266229157</v>
      </c>
      <c r="AJ309" s="174">
        <f t="shared" si="156"/>
        <v>0</v>
      </c>
      <c r="AK309" s="174">
        <f t="shared" si="168"/>
        <v>0</v>
      </c>
      <c r="AM309" s="174" t="str">
        <f t="shared" si="160"/>
        <v>0.072756379990911+0.374458634768169i</v>
      </c>
      <c r="AN309" s="174" t="str">
        <f t="shared" si="161"/>
        <v>0.38381286204i</v>
      </c>
      <c r="AO309" s="174" t="str">
        <f t="shared" si="162"/>
        <v>0.975628155809807-0.189562120467262i</v>
      </c>
      <c r="AP309" s="174" t="str">
        <f t="shared" si="163"/>
        <v>0.154540603334848-0.0624097724613615i</v>
      </c>
      <c r="AQ309" s="174" t="str">
        <f t="shared" si="164"/>
        <v>0.845459396665152+0.0624097724613615i</v>
      </c>
      <c r="AR309" s="174" t="str">
        <f t="shared" si="165"/>
        <v>0.979923525078513-0.0723355899418866i</v>
      </c>
    </row>
    <row r="310" spans="7:44" x14ac:dyDescent="0.2">
      <c r="G310" s="703">
        <v>21504.5</v>
      </c>
      <c r="H310" s="691">
        <f t="shared" si="157"/>
        <v>21.5045</v>
      </c>
      <c r="I310" s="692">
        <f t="shared" si="137"/>
        <v>21.004447952898584</v>
      </c>
      <c r="J310" s="693">
        <f t="shared" si="138"/>
        <v>1.5231693595457125</v>
      </c>
      <c r="K310" s="693">
        <f t="shared" si="139"/>
        <v>1.000067510400062</v>
      </c>
      <c r="L310" s="694">
        <f t="shared" si="140"/>
        <v>1.1619518254703939E-2</v>
      </c>
      <c r="M310" s="693">
        <f t="shared" si="141"/>
        <v>1.0003765593486458</v>
      </c>
      <c r="N310" s="694">
        <f t="shared" si="142"/>
        <v>-2.7438703412652941E-2</v>
      </c>
      <c r="O310" s="692">
        <f t="shared" si="143"/>
        <v>38913.626398597771</v>
      </c>
      <c r="P310" s="695">
        <f t="shared" si="144"/>
        <v>1.5707706288558285</v>
      </c>
      <c r="Q310" s="704">
        <f t="shared" si="166"/>
        <v>16.244819251551043</v>
      </c>
      <c r="R310" s="705">
        <f t="shared" si="167"/>
        <v>1.5091992951347755</v>
      </c>
      <c r="S310" s="692">
        <f t="shared" si="145"/>
        <v>1.0058251262303239</v>
      </c>
      <c r="T310" s="695">
        <f t="shared" si="146"/>
        <v>0.10767533916556846</v>
      </c>
      <c r="U310" s="696">
        <f t="shared" si="158"/>
        <v>0.97630948871324275</v>
      </c>
      <c r="V310" s="697">
        <f t="shared" si="159"/>
        <v>-0.26710180172894121</v>
      </c>
      <c r="W310" s="698">
        <f t="shared" si="147"/>
        <v>2.5753523120205077</v>
      </c>
      <c r="X310" s="699">
        <f t="shared" si="148"/>
        <v>-113.17847445226876</v>
      </c>
      <c r="Y310" s="702">
        <f t="shared" si="149"/>
        <v>66.821525547731241</v>
      </c>
      <c r="AA310" s="174">
        <f t="shared" si="150"/>
        <v>1000000000</v>
      </c>
      <c r="AB310" s="174">
        <f t="shared" si="151"/>
        <v>462443520.25</v>
      </c>
      <c r="AD310" s="701">
        <f t="shared" si="152"/>
        <v>27.570263630407105</v>
      </c>
      <c r="AE310" s="702">
        <f t="shared" si="153"/>
        <v>-9.6971200641152109</v>
      </c>
      <c r="AG310" s="701">
        <f t="shared" si="154"/>
        <v>0.80953122861641036</v>
      </c>
      <c r="AH310" s="702">
        <f t="shared" si="155"/>
        <v>-72.873742474362359</v>
      </c>
      <c r="AJ310" s="174">
        <f t="shared" si="156"/>
        <v>0</v>
      </c>
      <c r="AK310" s="174">
        <f t="shared" si="168"/>
        <v>0</v>
      </c>
      <c r="AM310" s="174" t="str">
        <f t="shared" si="160"/>
        <v>0.073595617304994+0.376530104670907i</v>
      </c>
      <c r="AN310" s="174" t="str">
        <f t="shared" si="161"/>
        <v>0.386047880811i</v>
      </c>
      <c r="AO310" s="174" t="str">
        <f t="shared" si="162"/>
        <v>0.975345607078328-0.190638573511623i</v>
      </c>
      <c r="AP310" s="174" t="str">
        <f t="shared" si="163"/>
        <v>0.154400730449168-0.0627550174451512i</v>
      </c>
      <c r="AQ310" s="174" t="str">
        <f t="shared" si="164"/>
        <v>0.845599269550832+0.0627550174451512i</v>
      </c>
      <c r="AR310" s="174" t="str">
        <f t="shared" si="165"/>
        <v>0.979704303186324-0.0727074429359492i</v>
      </c>
    </row>
    <row r="311" spans="7:44" x14ac:dyDescent="0.2">
      <c r="G311" s="703">
        <v>21629</v>
      </c>
      <c r="H311" s="691">
        <f t="shared" si="157"/>
        <v>21.629000000000001</v>
      </c>
      <c r="I311" s="692">
        <f t="shared" si="137"/>
        <v>21.125778068688422</v>
      </c>
      <c r="J311" s="693">
        <f t="shared" si="138"/>
        <v>1.5234430972035415</v>
      </c>
      <c r="K311" s="693">
        <f t="shared" si="139"/>
        <v>1.0000682943371386</v>
      </c>
      <c r="L311" s="694">
        <f t="shared" si="140"/>
        <v>1.1686783184555521E-2</v>
      </c>
      <c r="M311" s="693">
        <f t="shared" si="141"/>
        <v>1.0003809313077614</v>
      </c>
      <c r="N311" s="694">
        <f t="shared" si="142"/>
        <v>-2.7597478985283325E-2</v>
      </c>
      <c r="O311" s="692">
        <f t="shared" si="143"/>
        <v>39138.916290640613</v>
      </c>
      <c r="P311" s="695">
        <f t="shared" si="144"/>
        <v>1.5707707767772956</v>
      </c>
      <c r="Q311" s="704">
        <f t="shared" si="166"/>
        <v>16.338513036080393</v>
      </c>
      <c r="R311" s="705">
        <f t="shared" si="167"/>
        <v>1.5095529690758651</v>
      </c>
      <c r="S311" s="692">
        <f t="shared" si="145"/>
        <v>1.0058925723119998</v>
      </c>
      <c r="T311" s="695">
        <f t="shared" si="146"/>
        <v>0.10829387540887342</v>
      </c>
      <c r="U311" s="696">
        <f t="shared" si="158"/>
        <v>0.97604799976855627</v>
      </c>
      <c r="V311" s="697">
        <f t="shared" si="159"/>
        <v>-0.26861263755253767</v>
      </c>
      <c r="W311" s="698">
        <f t="shared" si="147"/>
        <v>2.5222702285743748</v>
      </c>
      <c r="X311" s="699">
        <f t="shared" si="148"/>
        <v>-113.30115012208216</v>
      </c>
      <c r="Y311" s="702">
        <f t="shared" si="149"/>
        <v>66.698849877917837</v>
      </c>
      <c r="AA311" s="174">
        <f t="shared" si="150"/>
        <v>1000000000</v>
      </c>
      <c r="AB311" s="174">
        <f t="shared" si="151"/>
        <v>467813641</v>
      </c>
      <c r="AD311" s="701">
        <f t="shared" si="152"/>
        <v>27.569492294718792</v>
      </c>
      <c r="AE311" s="702">
        <f t="shared" si="153"/>
        <v>-9.712304031477375</v>
      </c>
      <c r="AG311" s="701">
        <f t="shared" si="154"/>
        <v>0.7618738584128536</v>
      </c>
      <c r="AH311" s="702">
        <f t="shared" si="155"/>
        <v>-72.808105144157267</v>
      </c>
      <c r="AJ311" s="174">
        <f t="shared" si="156"/>
        <v>0</v>
      </c>
      <c r="AK311" s="174">
        <f t="shared" si="168"/>
        <v>0</v>
      </c>
      <c r="AM311" s="174" t="str">
        <f t="shared" si="160"/>
        <v>0.074439482293214+0.378599693690242i</v>
      </c>
      <c r="AN311" s="174" t="str">
        <f t="shared" si="161"/>
        <v>0.388282899582i</v>
      </c>
      <c r="AO311" s="174" t="str">
        <f t="shared" si="162"/>
        <v>0.975061467032974-0.191714552387835i</v>
      </c>
      <c r="AP311" s="174" t="str">
        <f t="shared" si="163"/>
        <v>0.154260086284464-0.0630999489483737i</v>
      </c>
      <c r="AQ311" s="174" t="str">
        <f t="shared" si="164"/>
        <v>0.845739913715536+0.0630999489483737i</v>
      </c>
      <c r="AR311" s="174" t="str">
        <f t="shared" si="165"/>
        <v>0.979484044413373-0.0730784868916789i</v>
      </c>
    </row>
    <row r="312" spans="7:44" x14ac:dyDescent="0.2">
      <c r="G312" s="703">
        <v>21753.5</v>
      </c>
      <c r="H312" s="691">
        <f t="shared" si="157"/>
        <v>21.753499999999999</v>
      </c>
      <c r="I312" s="692">
        <f t="shared" si="137"/>
        <v>21.247109749402192</v>
      </c>
      <c r="J312" s="693">
        <f t="shared" si="138"/>
        <v>1.5237137085221066</v>
      </c>
      <c r="K312" s="693">
        <f t="shared" si="139"/>
        <v>1.0000690827990879</v>
      </c>
      <c r="L312" s="694">
        <f t="shared" si="140"/>
        <v>1.1754048008647095E-2</v>
      </c>
      <c r="M312" s="693">
        <f t="shared" si="141"/>
        <v>1.0003853284859419</v>
      </c>
      <c r="N312" s="694">
        <f t="shared" si="142"/>
        <v>-2.7756253166125198E-2</v>
      </c>
      <c r="O312" s="692">
        <f t="shared" si="143"/>
        <v>39364.206182684298</v>
      </c>
      <c r="P312" s="695">
        <f t="shared" si="144"/>
        <v>1.5707709230055895</v>
      </c>
      <c r="Q312" s="704">
        <f t="shared" si="166"/>
        <v>16.432208841010919</v>
      </c>
      <c r="R312" s="705">
        <f t="shared" si="167"/>
        <v>1.5099026097906261</v>
      </c>
      <c r="S312" s="692">
        <f t="shared" si="145"/>
        <v>1.0059604031834917</v>
      </c>
      <c r="T312" s="695">
        <f t="shared" si="146"/>
        <v>0.10891232847424333</v>
      </c>
      <c r="U312" s="696">
        <f t="shared" si="158"/>
        <v>0.97578520120559076</v>
      </c>
      <c r="V312" s="697">
        <f t="shared" si="159"/>
        <v>-0.2701228810138977</v>
      </c>
      <c r="W312" s="698">
        <f t="shared" si="147"/>
        <v>2.4694619312647195</v>
      </c>
      <c r="X312" s="699">
        <f t="shared" si="148"/>
        <v>-113.4238388764005</v>
      </c>
      <c r="Y312" s="702">
        <f t="shared" si="149"/>
        <v>66.576161123599505</v>
      </c>
      <c r="AA312" s="174">
        <f t="shared" si="150"/>
        <v>1000000000</v>
      </c>
      <c r="AB312" s="174">
        <f t="shared" si="151"/>
        <v>473214762.25</v>
      </c>
      <c r="AD312" s="701">
        <f t="shared" si="152"/>
        <v>27.568720902010956</v>
      </c>
      <c r="AE312" s="702">
        <f t="shared" si="153"/>
        <v>-9.7277142229299525</v>
      </c>
      <c r="AG312" s="701">
        <f t="shared" si="154"/>
        <v>0.71451489315056282</v>
      </c>
      <c r="AH312" s="702">
        <f t="shared" si="155"/>
        <v>-72.742322554078953</v>
      </c>
      <c r="AJ312" s="174">
        <f t="shared" si="156"/>
        <v>0</v>
      </c>
      <c r="AK312" s="174">
        <f t="shared" si="168"/>
        <v>0</v>
      </c>
      <c r="AM312" s="174" t="str">
        <f t="shared" si="160"/>
        <v>0.075287970740206+0.380667391487943i</v>
      </c>
      <c r="AN312" s="174" t="str">
        <f t="shared" si="161"/>
        <v>0.390517918353i</v>
      </c>
      <c r="AO312" s="174" t="str">
        <f t="shared" si="162"/>
        <v>0.97477573652292-0.192790054442908i</v>
      </c>
      <c r="AP312" s="174" t="str">
        <f t="shared" si="163"/>
        <v>0.154118671543299-0.0634445652479905i</v>
      </c>
      <c r="AQ312" s="174" t="str">
        <f t="shared" si="164"/>
        <v>0.845881328456701+0.0634445652479905i</v>
      </c>
      <c r="AR312" s="174" t="str">
        <f t="shared" si="165"/>
        <v>0.979262752491245-0.0734487185202573i</v>
      </c>
    </row>
    <row r="313" spans="7:44" x14ac:dyDescent="0.2">
      <c r="G313" s="703">
        <v>21878</v>
      </c>
      <c r="H313" s="691">
        <f t="shared" si="157"/>
        <v>21.878</v>
      </c>
      <c r="I313" s="692">
        <f t="shared" si="137"/>
        <v>21.368442968382606</v>
      </c>
      <c r="J313" s="693">
        <f t="shared" si="138"/>
        <v>1.5239812467169003</v>
      </c>
      <c r="K313" s="693">
        <f t="shared" si="139"/>
        <v>1.0000698757858992</v>
      </c>
      <c r="L313" s="694">
        <f t="shared" si="140"/>
        <v>1.182131272637023E-2</v>
      </c>
      <c r="M313" s="693">
        <f t="shared" si="141"/>
        <v>1.0003897508828543</v>
      </c>
      <c r="N313" s="694">
        <f t="shared" si="142"/>
        <v>-2.7915025947191811E-2</v>
      </c>
      <c r="O313" s="692">
        <f t="shared" si="143"/>
        <v>39589.496074728813</v>
      </c>
      <c r="P313" s="695">
        <f t="shared" si="144"/>
        <v>1.5707710675696158</v>
      </c>
      <c r="Q313" s="704">
        <f t="shared" si="166"/>
        <v>16.525906631977826</v>
      </c>
      <c r="R313" s="705">
        <f t="shared" si="167"/>
        <v>1.5102482857950144</v>
      </c>
      <c r="S313" s="692">
        <f t="shared" si="145"/>
        <v>1.0060286187669669</v>
      </c>
      <c r="T313" s="695">
        <f t="shared" si="146"/>
        <v>0.10953069790545386</v>
      </c>
      <c r="U313" s="696">
        <f t="shared" si="158"/>
        <v>0.97552109621469874</v>
      </c>
      <c r="V313" s="697">
        <f t="shared" si="159"/>
        <v>-0.27163252934600868</v>
      </c>
      <c r="W313" s="698">
        <f t="shared" si="147"/>
        <v>2.4169241259502581</v>
      </c>
      <c r="X313" s="699">
        <f t="shared" si="148"/>
        <v>-113.54653965512728</v>
      </c>
      <c r="Y313" s="702">
        <f t="shared" si="149"/>
        <v>66.453460344872724</v>
      </c>
      <c r="AA313" s="174">
        <f t="shared" si="150"/>
        <v>1000000000</v>
      </c>
      <c r="AB313" s="174">
        <f t="shared" si="151"/>
        <v>478646884</v>
      </c>
      <c r="AD313" s="701">
        <f t="shared" si="152"/>
        <v>27.567949380615833</v>
      </c>
      <c r="AE313" s="702">
        <f t="shared" si="153"/>
        <v>-9.7433466883142668</v>
      </c>
      <c r="AG313" s="701">
        <f t="shared" si="154"/>
        <v>0.66745107305412932</v>
      </c>
      <c r="AH313" s="702">
        <f t="shared" si="155"/>
        <v>-72.676397911265923</v>
      </c>
      <c r="AJ313" s="174">
        <f t="shared" si="156"/>
        <v>0</v>
      </c>
      <c r="AK313" s="174">
        <f t="shared" si="168"/>
        <v>0</v>
      </c>
      <c r="AM313" s="174" t="str">
        <f t="shared" si="160"/>
        <v>0.0761410784075131+0.382733187735224i</v>
      </c>
      <c r="AN313" s="174" t="str">
        <f t="shared" si="161"/>
        <v>0.392752937124i</v>
      </c>
      <c r="AO313" s="174" t="str">
        <f t="shared" si="162"/>
        <v>0.974488416402059-0.193865077025443i</v>
      </c>
      <c r="AP313" s="174" t="str">
        <f t="shared" si="163"/>
        <v>0.153976486932081-0.0637888646225373i</v>
      </c>
      <c r="AQ313" s="174" t="str">
        <f t="shared" si="164"/>
        <v>0.846023513067919+0.0637888646225373i</v>
      </c>
      <c r="AR313" s="174" t="str">
        <f t="shared" si="165"/>
        <v>0.979040431163234-0.0738181345539606i</v>
      </c>
    </row>
    <row r="314" spans="7:44" x14ac:dyDescent="0.2">
      <c r="G314" s="703">
        <v>22005.25</v>
      </c>
      <c r="H314" s="691">
        <f t="shared" si="157"/>
        <v>22.00525</v>
      </c>
      <c r="I314" s="692">
        <f t="shared" si="137"/>
        <v>21.492457800873161</v>
      </c>
      <c r="J314" s="693">
        <f t="shared" si="138"/>
        <v>1.5242515728366048</v>
      </c>
      <c r="K314" s="693">
        <f t="shared" si="139"/>
        <v>1.0000706909643582</v>
      </c>
      <c r="L314" s="694">
        <f t="shared" si="140"/>
        <v>1.1890063100398692E-2</v>
      </c>
      <c r="M314" s="693">
        <f t="shared" si="141"/>
        <v>1.0003942970233297</v>
      </c>
      <c r="N314" s="694">
        <f t="shared" si="142"/>
        <v>-2.8077304302750627E-2</v>
      </c>
      <c r="O314" s="692">
        <f t="shared" si="143"/>
        <v>39819.762249530177</v>
      </c>
      <c r="P314" s="695">
        <f t="shared" si="144"/>
        <v>1.5707712136364143</v>
      </c>
      <c r="Q314" s="704">
        <f t="shared" si="166"/>
        <v>16.621676070226066</v>
      </c>
      <c r="R314" s="705">
        <f t="shared" si="167"/>
        <v>1.5105975698856613</v>
      </c>
      <c r="S314" s="692">
        <f t="shared" si="145"/>
        <v>1.0060987385912097</v>
      </c>
      <c r="T314" s="695">
        <f t="shared" si="146"/>
        <v>0.11016263919910244</v>
      </c>
      <c r="U314" s="696">
        <f t="shared" si="158"/>
        <v>0.97524981088046536</v>
      </c>
      <c r="V314" s="697">
        <f t="shared" si="159"/>
        <v>-0.27317490546153644</v>
      </c>
      <c r="W314" s="698">
        <f t="shared" si="147"/>
        <v>2.3635019974095708</v>
      </c>
      <c r="X314" s="699">
        <f t="shared" si="148"/>
        <v>-113.67196203526348</v>
      </c>
      <c r="Y314" s="702">
        <f t="shared" si="149"/>
        <v>66.328037964736524</v>
      </c>
      <c r="AA314" s="174">
        <f t="shared" si="150"/>
        <v>1000000000</v>
      </c>
      <c r="AB314" s="174">
        <f t="shared" si="151"/>
        <v>484231027.5625</v>
      </c>
      <c r="AD314" s="701">
        <f t="shared" si="152"/>
        <v>27.567160612151142</v>
      </c>
      <c r="AE314" s="702">
        <f t="shared" si="153"/>
        <v>-9.7595501221248284</v>
      </c>
      <c r="AG314" s="701">
        <f t="shared" si="154"/>
        <v>0.61964935052244108</v>
      </c>
      <c r="AH314" s="702">
        <f t="shared" si="155"/>
        <v>-72.608873573706518</v>
      </c>
      <c r="AJ314" s="174">
        <f t="shared" si="156"/>
        <v>0</v>
      </c>
      <c r="AK314" s="174">
        <f t="shared" si="168"/>
        <v>0</v>
      </c>
      <c r="AM314" s="174" t="str">
        <f t="shared" si="160"/>
        <v>0.077017798775765+0.384842638260453i</v>
      </c>
      <c r="AN314" s="174" t="str">
        <f t="shared" si="161"/>
        <v>0.3950373237795i</v>
      </c>
      <c r="AO314" s="174" t="str">
        <f t="shared" si="162"/>
        <v>0.974193108080245-0.194963346852649i</v>
      </c>
      <c r="AP314" s="174" t="str">
        <f t="shared" si="163"/>
        <v>0.153830366870706-0.0641404397100755i</v>
      </c>
      <c r="AQ314" s="174" t="str">
        <f t="shared" si="164"/>
        <v>0.846169633129294+0.0641404397100755i</v>
      </c>
      <c r="AR314" s="174" t="str">
        <f t="shared" si="165"/>
        <v>0.978812139268164-0.0741948641834878i</v>
      </c>
    </row>
    <row r="315" spans="7:44" x14ac:dyDescent="0.2">
      <c r="G315" s="703">
        <v>22132.5</v>
      </c>
      <c r="H315" s="691">
        <f t="shared" si="157"/>
        <v>22.1325</v>
      </c>
      <c r="I315" s="692">
        <f t="shared" si="137"/>
        <v>21.616474185929956</v>
      </c>
      <c r="J315" s="693">
        <f t="shared" si="138"/>
        <v>1.5245187971869074</v>
      </c>
      <c r="K315" s="693">
        <f t="shared" si="139"/>
        <v>1.0000715108697575</v>
      </c>
      <c r="L315" s="694">
        <f t="shared" si="140"/>
        <v>1.1958813362022565E-2</v>
      </c>
      <c r="M315" s="693">
        <f t="shared" si="141"/>
        <v>1.0003988695082131</v>
      </c>
      <c r="N315" s="694">
        <f t="shared" si="142"/>
        <v>-2.823958117914389E-2</v>
      </c>
      <c r="O315" s="692">
        <f t="shared" si="143"/>
        <v>40050.028424332391</v>
      </c>
      <c r="P315" s="695">
        <f t="shared" si="144"/>
        <v>1.5707713580236011</v>
      </c>
      <c r="Q315" s="704">
        <f t="shared" si="166"/>
        <v>16.717447513074521</v>
      </c>
      <c r="R315" s="705">
        <f t="shared" si="167"/>
        <v>1.5109428520385066</v>
      </c>
      <c r="S315" s="692">
        <f t="shared" si="145"/>
        <v>1.006169260144687</v>
      </c>
      <c r="T315" s="695">
        <f t="shared" si="146"/>
        <v>0.11079449216058909</v>
      </c>
      <c r="U315" s="696">
        <f t="shared" si="158"/>
        <v>0.9749771675425033</v>
      </c>
      <c r="V315" s="697">
        <f t="shared" si="159"/>
        <v>-0.27471665405371881</v>
      </c>
      <c r="W315" s="698">
        <f t="shared" si="147"/>
        <v>2.3103556639044305</v>
      </c>
      <c r="X315" s="699">
        <f t="shared" si="148"/>
        <v>-113.7973948012062</v>
      </c>
      <c r="Y315" s="702">
        <f t="shared" si="149"/>
        <v>66.202605198793805</v>
      </c>
      <c r="AA315" s="174">
        <f t="shared" si="150"/>
        <v>1000000000</v>
      </c>
      <c r="AB315" s="174">
        <f t="shared" si="151"/>
        <v>489847556.25</v>
      </c>
      <c r="AD315" s="701">
        <f t="shared" si="152"/>
        <v>27.566371564365721</v>
      </c>
      <c r="AE315" s="702">
        <f t="shared" si="153"/>
        <v>-9.7759776927868174</v>
      </c>
      <c r="AG315" s="701">
        <f t="shared" si="154"/>
        <v>0.57214924293782121</v>
      </c>
      <c r="AH315" s="702">
        <f t="shared" si="155"/>
        <v>-72.541207393980812</v>
      </c>
      <c r="AJ315" s="174">
        <f t="shared" si="156"/>
        <v>0</v>
      </c>
      <c r="AK315" s="174">
        <f t="shared" si="168"/>
        <v>0</v>
      </c>
      <c r="AM315" s="174" t="str">
        <f t="shared" si="160"/>
        <v>0.077899335652909+0.386950080515115i</v>
      </c>
      <c r="AN315" s="174" t="str">
        <f t="shared" si="161"/>
        <v>0.397321710435i</v>
      </c>
      <c r="AO315" s="174" t="str">
        <f t="shared" si="162"/>
        <v>0.973896140967153-0.196061110196124i</v>
      </c>
      <c r="AP315" s="174" t="str">
        <f t="shared" si="163"/>
        <v>0.153683444057849-0.0644916800858525i</v>
      </c>
      <c r="AQ315" s="174" t="str">
        <f t="shared" si="164"/>
        <v>0.846316555942151+0.0644916800858525i</v>
      </c>
      <c r="AR315" s="174" t="str">
        <f t="shared" si="165"/>
        <v>0.978582779933399-0.0745707349547618i</v>
      </c>
    </row>
    <row r="316" spans="7:44" x14ac:dyDescent="0.2">
      <c r="G316" s="703">
        <v>22259.75</v>
      </c>
      <c r="H316" s="691">
        <f t="shared" si="157"/>
        <v>22.25975</v>
      </c>
      <c r="I316" s="692">
        <f t="shared" si="137"/>
        <v>21.740492096983619</v>
      </c>
      <c r="J316" s="693">
        <f t="shared" si="138"/>
        <v>1.5247829728111331</v>
      </c>
      <c r="K316" s="693">
        <f t="shared" si="139"/>
        <v>1.0000723355020855</v>
      </c>
      <c r="L316" s="694">
        <f t="shared" si="140"/>
        <v>1.2027563510592218E-2</v>
      </c>
      <c r="M316" s="693">
        <f t="shared" si="141"/>
        <v>1.0004034683371439</v>
      </c>
      <c r="N316" s="694">
        <f t="shared" si="142"/>
        <v>-2.8401856567845222E-2</v>
      </c>
      <c r="O316" s="692">
        <f t="shared" si="143"/>
        <v>40280.294599135421</v>
      </c>
      <c r="P316" s="695">
        <f t="shared" si="144"/>
        <v>1.5707715007599816</v>
      </c>
      <c r="Q316" s="704">
        <f t="shared" si="166"/>
        <v>16.813220926267384</v>
      </c>
      <c r="R316" s="705">
        <f t="shared" si="167"/>
        <v>1.5112842005594123</v>
      </c>
      <c r="S316" s="692">
        <f t="shared" si="145"/>
        <v>1.006240183342934</v>
      </c>
      <c r="T316" s="695">
        <f t="shared" si="146"/>
        <v>0.11142625630401953</v>
      </c>
      <c r="U316" s="696">
        <f t="shared" si="158"/>
        <v>0.97470316964349502</v>
      </c>
      <c r="V316" s="697">
        <f t="shared" si="159"/>
        <v>-0.27625777220077963</v>
      </c>
      <c r="W316" s="698">
        <f t="shared" si="147"/>
        <v>2.2574817879604914</v>
      </c>
      <c r="X316" s="699">
        <f t="shared" si="148"/>
        <v>-113.92283688443052</v>
      </c>
      <c r="Y316" s="702">
        <f t="shared" si="149"/>
        <v>66.077163115569476</v>
      </c>
      <c r="AA316" s="174">
        <f t="shared" si="150"/>
        <v>1000000000</v>
      </c>
      <c r="AB316" s="174">
        <f t="shared" si="151"/>
        <v>495496470.0625</v>
      </c>
      <c r="AD316" s="701">
        <f t="shared" si="152"/>
        <v>27.5655821671822</v>
      </c>
      <c r="AE316" s="702">
        <f t="shared" si="153"/>
        <v>-9.7926254604733707</v>
      </c>
      <c r="AG316" s="701">
        <f t="shared" si="154"/>
        <v>0.52494744259832293</v>
      </c>
      <c r="AH316" s="702">
        <f t="shared" si="155"/>
        <v>-72.473402578201586</v>
      </c>
      <c r="AJ316" s="174">
        <f t="shared" si="156"/>
        <v>0</v>
      </c>
      <c r="AK316" s="174">
        <f t="shared" si="168"/>
        <v>0</v>
      </c>
      <c r="AM316" s="174" t="str">
        <f t="shared" si="160"/>
        <v>0.078785684438715+0.38905550350169i</v>
      </c>
      <c r="AN316" s="174" t="str">
        <f t="shared" si="161"/>
        <v>0.3996060970905i</v>
      </c>
      <c r="AO316" s="174" t="str">
        <f t="shared" si="162"/>
        <v>0.973597515989801-0.197158364230044i</v>
      </c>
      <c r="AP316" s="174" t="str">
        <f t="shared" si="163"/>
        <v>0.153535719260214-0.0648425839169483i</v>
      </c>
      <c r="AQ316" s="174" t="str">
        <f t="shared" si="164"/>
        <v>0.846464280739786+0.0648425839169483i</v>
      </c>
      <c r="AR316" s="174" t="str">
        <f t="shared" si="165"/>
        <v>0.978352357192828-0.0749457434472915i</v>
      </c>
    </row>
    <row r="317" spans="7:44" x14ac:dyDescent="0.2">
      <c r="G317" s="703">
        <v>22387</v>
      </c>
      <c r="H317" s="691">
        <f t="shared" si="157"/>
        <v>22.387</v>
      </c>
      <c r="I317" s="692">
        <f t="shared" si="137"/>
        <v>21.864511508067288</v>
      </c>
      <c r="J317" s="693">
        <f t="shared" si="138"/>
        <v>1.5250441515508466</v>
      </c>
      <c r="K317" s="693">
        <f t="shared" si="139"/>
        <v>1.0000731648613306</v>
      </c>
      <c r="L317" s="694">
        <f t="shared" si="140"/>
        <v>1.2096313545458022E-2</v>
      </c>
      <c r="M317" s="693">
        <f t="shared" si="141"/>
        <v>1.0004080935097583</v>
      </c>
      <c r="N317" s="694">
        <f t="shared" si="142"/>
        <v>-2.8564130460328702E-2</v>
      </c>
      <c r="O317" s="692">
        <f t="shared" si="143"/>
        <v>40510.560773939265</v>
      </c>
      <c r="P317" s="695">
        <f t="shared" si="144"/>
        <v>1.5707716418737059</v>
      </c>
      <c r="Q317" s="704">
        <f t="shared" si="166"/>
        <v>16.908996276324263</v>
      </c>
      <c r="R317" s="705">
        <f t="shared" si="167"/>
        <v>1.5116216822103723</v>
      </c>
      <c r="S317" s="692">
        <f t="shared" si="145"/>
        <v>1.0063115081010285</v>
      </c>
      <c r="T317" s="695">
        <f t="shared" si="146"/>
        <v>0.1120579311439197</v>
      </c>
      <c r="U317" s="696">
        <f t="shared" si="158"/>
        <v>0.97442782063810474</v>
      </c>
      <c r="V317" s="697">
        <f t="shared" si="159"/>
        <v>-0.27779825699201877</v>
      </c>
      <c r="W317" s="698">
        <f t="shared" si="147"/>
        <v>2.2048770899515198</v>
      </c>
      <c r="X317" s="699">
        <f t="shared" si="148"/>
        <v>-114.04828723663398</v>
      </c>
      <c r="Y317" s="702">
        <f t="shared" si="149"/>
        <v>65.951712763366018</v>
      </c>
      <c r="AA317" s="174">
        <f t="shared" si="150"/>
        <v>1000000000</v>
      </c>
      <c r="AB317" s="174">
        <f t="shared" si="151"/>
        <v>501177769</v>
      </c>
      <c r="AD317" s="701">
        <f t="shared" si="152"/>
        <v>27.564792352550857</v>
      </c>
      <c r="AE317" s="702">
        <f t="shared" si="153"/>
        <v>-9.809489573801228</v>
      </c>
      <c r="AG317" s="701">
        <f t="shared" si="154"/>
        <v>0.4780406974640532</v>
      </c>
      <c r="AH317" s="702">
        <f t="shared" si="155"/>
        <v>-72.40546226299125</v>
      </c>
      <c r="AJ317" s="174">
        <f t="shared" si="156"/>
        <v>0</v>
      </c>
      <c r="AK317" s="174">
        <f t="shared" si="168"/>
        <v>0</v>
      </c>
      <c r="AM317" s="174" t="str">
        <f t="shared" si="160"/>
        <v>0.079676840507843+0.391158896233197i</v>
      </c>
      <c r="AN317" s="174" t="str">
        <f t="shared" si="161"/>
        <v>0.401890483746i</v>
      </c>
      <c r="AO317" s="174" t="str">
        <f t="shared" si="162"/>
        <v>0.973297234080353-0.198255106130355i</v>
      </c>
      <c r="AP317" s="174" t="str">
        <f t="shared" si="163"/>
        <v>0.153387193248693-0.0651931493721995i</v>
      </c>
      <c r="AQ317" s="174" t="str">
        <f t="shared" si="164"/>
        <v>0.846612806751307+0.0651931493721995i</v>
      </c>
      <c r="AR317" s="174" t="str">
        <f t="shared" si="165"/>
        <v>0.978120875092502-0.0753198862637847i</v>
      </c>
    </row>
    <row r="318" spans="7:44" x14ac:dyDescent="0.2">
      <c r="G318" s="703">
        <v>22517.5</v>
      </c>
      <c r="H318" s="691">
        <f t="shared" si="157"/>
        <v>22.517499999999998</v>
      </c>
      <c r="I318" s="692">
        <f t="shared" si="137"/>
        <v>21.991699940424883</v>
      </c>
      <c r="J318" s="693">
        <f t="shared" si="138"/>
        <v>1.5253089412654903</v>
      </c>
      <c r="K318" s="693">
        <f t="shared" si="139"/>
        <v>1.0000740203121754</v>
      </c>
      <c r="L318" s="694">
        <f t="shared" si="140"/>
        <v>1.21668193563465E-2</v>
      </c>
      <c r="M318" s="693">
        <f t="shared" si="141"/>
        <v>1.0004128641716843</v>
      </c>
      <c r="N318" s="694">
        <f t="shared" si="142"/>
        <v>-2.8730547309702707E-2</v>
      </c>
      <c r="O318" s="692">
        <f t="shared" si="143"/>
        <v>40746.708010182934</v>
      </c>
      <c r="P318" s="695">
        <f t="shared" si="144"/>
        <v>1.5707717849349787</v>
      </c>
      <c r="Q318" s="704">
        <f t="shared" si="166"/>
        <v>17.00721973258662</v>
      </c>
      <c r="R318" s="705">
        <f t="shared" si="167"/>
        <v>1.511963835313185</v>
      </c>
      <c r="S318" s="692">
        <f t="shared" si="145"/>
        <v>1.0063850714983689</v>
      </c>
      <c r="T318" s="695">
        <f t="shared" si="146"/>
        <v>0.11270564587098184</v>
      </c>
      <c r="U318" s="696">
        <f t="shared" si="158"/>
        <v>0.9741440394660813</v>
      </c>
      <c r="V318" s="697">
        <f t="shared" si="159"/>
        <v>-0.27937742532484089</v>
      </c>
      <c r="W318" s="698">
        <f t="shared" si="147"/>
        <v>2.1512050557772318</v>
      </c>
      <c r="X318" s="699">
        <f t="shared" si="148"/>
        <v>-114.17694913647169</v>
      </c>
      <c r="Y318" s="702">
        <f t="shared" si="149"/>
        <v>65.823050863528309</v>
      </c>
      <c r="AA318" s="174">
        <f t="shared" si="150"/>
        <v>1000000000</v>
      </c>
      <c r="AB318" s="174">
        <f t="shared" si="151"/>
        <v>507037806.25</v>
      </c>
      <c r="AD318" s="701">
        <f t="shared" si="152"/>
        <v>27.563981863044802</v>
      </c>
      <c r="AE318" s="702">
        <f t="shared" si="153"/>
        <v>-9.8270051620790486</v>
      </c>
      <c r="AG318" s="701">
        <f t="shared" si="154"/>
        <v>0.43023904719222505</v>
      </c>
      <c r="AH318" s="702">
        <f t="shared" si="155"/>
        <v>-72.335649213121556</v>
      </c>
      <c r="AJ318" s="174">
        <f t="shared" si="156"/>
        <v>0</v>
      </c>
      <c r="AK318" s="174">
        <f t="shared" si="168"/>
        <v>0</v>
      </c>
      <c r="AM318" s="174" t="str">
        <f t="shared" si="160"/>
        <v>0.080595745096934+0.39331388999899i</v>
      </c>
      <c r="AN318" s="174" t="str">
        <f t="shared" si="161"/>
        <v>0.404233214265i</v>
      </c>
      <c r="AO318" s="174" t="str">
        <f t="shared" si="162"/>
        <v>0.972987562919924-0.199379324243501i</v>
      </c>
      <c r="AP318" s="174" t="str">
        <f t="shared" si="163"/>
        <v>0.153234042483844-0.0655523149998317i</v>
      </c>
      <c r="AQ318" s="174" t="str">
        <f t="shared" si="164"/>
        <v>0.846765957516156+0.0655523149998317i</v>
      </c>
      <c r="AR318" s="174" t="str">
        <f t="shared" si="165"/>
        <v>0.9778823848367-0.0757026821338397i</v>
      </c>
    </row>
    <row r="319" spans="7:44" x14ac:dyDescent="0.2">
      <c r="G319" s="703">
        <v>22648</v>
      </c>
      <c r="H319" s="691">
        <f t="shared" si="157"/>
        <v>22.648</v>
      </c>
      <c r="I319" s="692">
        <f t="shared" si="137"/>
        <v>22.118889896966792</v>
      </c>
      <c r="J319" s="693">
        <f t="shared" si="138"/>
        <v>1.5255706857648059</v>
      </c>
      <c r="K319" s="693">
        <f t="shared" si="139"/>
        <v>1.0000748807344491</v>
      </c>
      <c r="L319" s="694">
        <f t="shared" si="140"/>
        <v>1.2237325046265011E-2</v>
      </c>
      <c r="M319" s="693">
        <f t="shared" si="141"/>
        <v>1.0004176625393473</v>
      </c>
      <c r="N319" s="694">
        <f t="shared" si="142"/>
        <v>-2.8896962567293773E-2</v>
      </c>
      <c r="O319" s="692">
        <f t="shared" si="143"/>
        <v>40982.855246427425</v>
      </c>
      <c r="P319" s="695">
        <f t="shared" si="144"/>
        <v>1.5707719263475854</v>
      </c>
      <c r="Q319" s="704">
        <f t="shared" si="166"/>
        <v>17.105445156996996</v>
      </c>
      <c r="R319" s="705">
        <f t="shared" si="167"/>
        <v>1.5123020589306191</v>
      </c>
      <c r="S319" s="692">
        <f t="shared" si="145"/>
        <v>1.0064590570470102</v>
      </c>
      <c r="T319" s="695">
        <f t="shared" si="146"/>
        <v>0.11335326564173358</v>
      </c>
      <c r="U319" s="696">
        <f t="shared" si="158"/>
        <v>0.97385884468879702</v>
      </c>
      <c r="V319" s="697">
        <f t="shared" si="159"/>
        <v>-0.28095592137169462</v>
      </c>
      <c r="W319" s="698">
        <f t="shared" si="147"/>
        <v>2.0978093192132468</v>
      </c>
      <c r="X319" s="699">
        <f t="shared" si="148"/>
        <v>-114.30561756277383</v>
      </c>
      <c r="Y319" s="702">
        <f t="shared" si="149"/>
        <v>65.694382437226167</v>
      </c>
      <c r="AA319" s="174">
        <f t="shared" si="150"/>
        <v>1000000000</v>
      </c>
      <c r="AB319" s="174">
        <f t="shared" si="151"/>
        <v>512931904</v>
      </c>
      <c r="AD319" s="701">
        <f t="shared" si="152"/>
        <v>27.563170795778564</v>
      </c>
      <c r="AE319" s="702">
        <f t="shared" si="153"/>
        <v>-9.844740358227531</v>
      </c>
      <c r="AG319" s="701">
        <f t="shared" si="154"/>
        <v>0.38274096251648859</v>
      </c>
      <c r="AH319" s="702">
        <f t="shared" si="155"/>
        <v>-72.265700120142952</v>
      </c>
      <c r="AJ319" s="174">
        <f t="shared" si="156"/>
        <v>0</v>
      </c>
      <c r="AK319" s="174">
        <f t="shared" si="168"/>
        <v>0</v>
      </c>
      <c r="AM319" s="174" t="str">
        <f t="shared" si="160"/>
        <v>0.081519695729419+0.39546672510721i</v>
      </c>
      <c r="AN319" s="174" t="str">
        <f t="shared" si="161"/>
        <v>0.406575944784i</v>
      </c>
      <c r="AO319" s="174" t="str">
        <f t="shared" si="162"/>
        <v>0.97267615111196-0.200502997718489i</v>
      </c>
      <c r="AP319" s="174" t="str">
        <f t="shared" si="163"/>
        <v>0.153080050711764-0.0659111208512017i</v>
      </c>
      <c r="AQ319" s="174" t="str">
        <f t="shared" si="164"/>
        <v>0.846919949288236+0.0659111208512017i</v>
      </c>
      <c r="AR319" s="174" t="str">
        <f t="shared" si="165"/>
        <v>0.977642789075431-0.076084560381664i</v>
      </c>
    </row>
    <row r="320" spans="7:44" x14ac:dyDescent="0.2">
      <c r="G320" s="703">
        <v>22778.5</v>
      </c>
      <c r="H320" s="691">
        <f t="shared" si="157"/>
        <v>22.778500000000001</v>
      </c>
      <c r="I320" s="692">
        <f t="shared" si="137"/>
        <v>22.246081351549865</v>
      </c>
      <c r="J320" s="693">
        <f t="shared" si="138"/>
        <v>1.5258294372454622</v>
      </c>
      <c r="K320" s="693">
        <f t="shared" si="139"/>
        <v>1.0000757461281387</v>
      </c>
      <c r="L320" s="694">
        <f t="shared" si="140"/>
        <v>1.2307830614512891E-2</v>
      </c>
      <c r="M320" s="693">
        <f t="shared" si="141"/>
        <v>1.0004224886123487</v>
      </c>
      <c r="N320" s="694">
        <f t="shared" si="142"/>
        <v>-2.906337622390744E-2</v>
      </c>
      <c r="O320" s="692">
        <f t="shared" si="143"/>
        <v>41219.002482672724</v>
      </c>
      <c r="P320" s="695">
        <f t="shared" si="144"/>
        <v>1.5707720661398621</v>
      </c>
      <c r="Q320" s="704">
        <f t="shared" si="166"/>
        <v>17.2036725158436</v>
      </c>
      <c r="R320" s="705">
        <f t="shared" si="167"/>
        <v>1.5126364202928608</v>
      </c>
      <c r="S320" s="692">
        <f t="shared" si="145"/>
        <v>1.0065334646538615</v>
      </c>
      <c r="T320" s="695">
        <f t="shared" si="146"/>
        <v>0.11400078993393625</v>
      </c>
      <c r="U320" s="696">
        <f t="shared" si="158"/>
        <v>0.97357224007092036</v>
      </c>
      <c r="V320" s="697">
        <f t="shared" si="159"/>
        <v>-0.2825337420296482</v>
      </c>
      <c r="W320" s="698">
        <f t="shared" si="147"/>
        <v>2.0446865238780969</v>
      </c>
      <c r="X320" s="699">
        <f t="shared" si="148"/>
        <v>-114.43429144761325</v>
      </c>
      <c r="Y320" s="702">
        <f t="shared" si="149"/>
        <v>65.565708552386752</v>
      </c>
      <c r="AA320" s="174">
        <f t="shared" si="150"/>
        <v>1000000000</v>
      </c>
      <c r="AB320" s="174">
        <f t="shared" si="151"/>
        <v>518860062.25</v>
      </c>
      <c r="AD320" s="701">
        <f t="shared" si="152"/>
        <v>27.562359083560118</v>
      </c>
      <c r="AE320" s="702">
        <f t="shared" si="153"/>
        <v>-9.8626912819422117</v>
      </c>
      <c r="AG320" s="701">
        <f t="shared" si="154"/>
        <v>0.33554311009244653</v>
      </c>
      <c r="AH320" s="702">
        <f t="shared" si="155"/>
        <v>-72.195618152002467</v>
      </c>
      <c r="AJ320" s="174">
        <f t="shared" si="156"/>
        <v>0</v>
      </c>
      <c r="AK320" s="174">
        <f t="shared" si="168"/>
        <v>0</v>
      </c>
      <c r="AM320" s="174" t="str">
        <f t="shared" si="160"/>
        <v>0.082448687334304+0.397617389742272i</v>
      </c>
      <c r="AN320" s="174" t="str">
        <f t="shared" si="161"/>
        <v>0.408918675303i</v>
      </c>
      <c r="AO320" s="174" t="str">
        <f t="shared" si="162"/>
        <v>0.972362999678716-0.201626123515174i</v>
      </c>
      <c r="AP320" s="174" t="str">
        <f t="shared" si="163"/>
        <v>0.152925218777616-0.0662695649570453i</v>
      </c>
      <c r="AQ320" s="174" t="str">
        <f t="shared" si="164"/>
        <v>0.847074781222384+0.0662695649570453i</v>
      </c>
      <c r="AR320" s="174" t="str">
        <f t="shared" si="165"/>
        <v>0.977402092211564-0.0764655174192484i</v>
      </c>
    </row>
    <row r="321" spans="7:44" x14ac:dyDescent="0.2">
      <c r="G321" s="703">
        <v>22909</v>
      </c>
      <c r="H321" s="691">
        <f t="shared" si="157"/>
        <v>22.908999999999999</v>
      </c>
      <c r="I321" s="692">
        <f t="shared" si="137"/>
        <v>22.373274278625129</v>
      </c>
      <c r="J321" s="693">
        <f t="shared" si="138"/>
        <v>1.5260852467187915</v>
      </c>
      <c r="K321" s="693">
        <f t="shared" si="139"/>
        <v>1.0000766164932313</v>
      </c>
      <c r="L321" s="694">
        <f t="shared" si="140"/>
        <v>1.2378336060389489E-2</v>
      </c>
      <c r="M321" s="693">
        <f t="shared" si="141"/>
        <v>1.0004273423902876</v>
      </c>
      <c r="N321" s="694">
        <f t="shared" si="142"/>
        <v>-2.9229788270349798E-2</v>
      </c>
      <c r="O321" s="692">
        <f t="shared" si="143"/>
        <v>41455.149718918823</v>
      </c>
      <c r="P321" s="695">
        <f t="shared" si="144"/>
        <v>1.5707722043394989</v>
      </c>
      <c r="Q321" s="704">
        <f t="shared" si="166"/>
        <v>17.301901776179555</v>
      </c>
      <c r="R321" s="705">
        <f t="shared" si="167"/>
        <v>1.5129669851068348</v>
      </c>
      <c r="S321" s="692">
        <f t="shared" si="145"/>
        <v>1.0066082942253283</v>
      </c>
      <c r="T321" s="695">
        <f t="shared" si="146"/>
        <v>0.11464821822582551</v>
      </c>
      <c r="U321" s="696">
        <f t="shared" si="158"/>
        <v>0.97328422938986081</v>
      </c>
      <c r="V321" s="697">
        <f t="shared" si="159"/>
        <v>-0.28411088420816005</v>
      </c>
      <c r="W321" s="698">
        <f t="shared" si="147"/>
        <v>1.9918333717186421</v>
      </c>
      <c r="X321" s="699">
        <f t="shared" si="148"/>
        <v>-114.56296974312447</v>
      </c>
      <c r="Y321" s="702">
        <f t="shared" si="149"/>
        <v>65.437030256875531</v>
      </c>
      <c r="AA321" s="174">
        <f t="shared" si="150"/>
        <v>1000000000</v>
      </c>
      <c r="AB321" s="174">
        <f t="shared" si="151"/>
        <v>524822281</v>
      </c>
      <c r="AD321" s="701">
        <f t="shared" si="152"/>
        <v>27.561546661153088</v>
      </c>
      <c r="AE321" s="702">
        <f t="shared" si="153"/>
        <v>-9.8808541401852743</v>
      </c>
      <c r="AG321" s="701">
        <f t="shared" si="154"/>
        <v>0.28864221277812302</v>
      </c>
      <c r="AH321" s="702">
        <f t="shared" si="155"/>
        <v>-72.125406408022528</v>
      </c>
      <c r="AJ321" s="174">
        <f t="shared" si="156"/>
        <v>0</v>
      </c>
      <c r="AK321" s="174">
        <f t="shared" si="168"/>
        <v>0</v>
      </c>
      <c r="AM321" s="174" t="str">
        <f t="shared" si="160"/>
        <v>0.083382714812925+0.399765872100505i</v>
      </c>
      <c r="AN321" s="174" t="str">
        <f t="shared" si="161"/>
        <v>0.411261405822i</v>
      </c>
      <c r="AO321" s="174" t="str">
        <f t="shared" si="162"/>
        <v>0.972048109648124-0.2027486985954i</v>
      </c>
      <c r="AP321" s="174" t="str">
        <f t="shared" si="163"/>
        <v>0.152769547531179-0.0666276453500842i</v>
      </c>
      <c r="AQ321" s="174" t="str">
        <f t="shared" si="164"/>
        <v>0.847230452468821+0.0666276453500842i</v>
      </c>
      <c r="AR321" s="174" t="str">
        <f t="shared" si="165"/>
        <v>0.977160298660725-0.0768455496844232i</v>
      </c>
    </row>
    <row r="322" spans="7:44" x14ac:dyDescent="0.2">
      <c r="G322" s="703">
        <v>23042.25</v>
      </c>
      <c r="H322" s="691">
        <f t="shared" si="157"/>
        <v>23.042249999999999</v>
      </c>
      <c r="I322" s="692">
        <f t="shared" si="137"/>
        <v>22.503149009843291</v>
      </c>
      <c r="J322" s="693">
        <f t="shared" si="138"/>
        <v>1.5263434629599071</v>
      </c>
      <c r="K322" s="693">
        <f t="shared" si="139"/>
        <v>1.0000775103289865</v>
      </c>
      <c r="L322" s="694">
        <f t="shared" si="140"/>
        <v>1.2450327126215304E-2</v>
      </c>
      <c r="M322" s="693">
        <f t="shared" si="141"/>
        <v>1.0004323270373043</v>
      </c>
      <c r="N322" s="694">
        <f t="shared" si="142"/>
        <v>-2.9399705413076665E-2</v>
      </c>
      <c r="O322" s="692">
        <f t="shared" si="143"/>
        <v>41696.27323792188</v>
      </c>
      <c r="P322" s="695">
        <f t="shared" si="144"/>
        <v>1.5707723438361705</v>
      </c>
      <c r="Q322" s="704">
        <f t="shared" si="166"/>
        <v>17.402202930329686</v>
      </c>
      <c r="R322" s="705">
        <f t="shared" si="167"/>
        <v>1.5133006651774563</v>
      </c>
      <c r="S322" s="692">
        <f t="shared" si="145"/>
        <v>1.0066851359636488</v>
      </c>
      <c r="T322" s="695">
        <f t="shared" si="146"/>
        <v>0.11530919004486181</v>
      </c>
      <c r="U322" s="696">
        <f t="shared" si="158"/>
        <v>0.97298870263648229</v>
      </c>
      <c r="V322" s="697">
        <f t="shared" si="159"/>
        <v>-0.28572055790894668</v>
      </c>
      <c r="W322" s="698">
        <f t="shared" si="147"/>
        <v>1.9381413146564666</v>
      </c>
      <c r="X322" s="699">
        <f t="shared" si="148"/>
        <v>-114.69436313287541</v>
      </c>
      <c r="Y322" s="702">
        <f t="shared" si="149"/>
        <v>65.305636867124591</v>
      </c>
      <c r="AA322" s="174">
        <f t="shared" si="150"/>
        <v>1000000000</v>
      </c>
      <c r="AB322" s="174">
        <f t="shared" si="151"/>
        <v>530945285.0625</v>
      </c>
      <c r="AD322" s="701">
        <f t="shared" si="152"/>
        <v>27.560716320126932</v>
      </c>
      <c r="AE322" s="702">
        <f t="shared" si="153"/>
        <v>-9.8996145686308683</v>
      </c>
      <c r="AG322" s="701">
        <f t="shared" si="154"/>
        <v>0.24105604210355552</v>
      </c>
      <c r="AH322" s="702">
        <f t="shared" si="155"/>
        <v>-72.053584350220547</v>
      </c>
      <c r="AJ322" s="174">
        <f t="shared" si="156"/>
        <v>0</v>
      </c>
      <c r="AK322" s="174">
        <f t="shared" si="168"/>
        <v>0</v>
      </c>
      <c r="AM322" s="174" t="str">
        <f t="shared" si="160"/>
        <v>0.084341615707928+0.401957364997373i</v>
      </c>
      <c r="AN322" s="174" t="str">
        <f t="shared" si="161"/>
        <v>0.4136535042255i</v>
      </c>
      <c r="AO322" s="174" t="str">
        <f t="shared" si="162"/>
        <v>0.971724791138839-0.203894358071121i</v>
      </c>
      <c r="AP322" s="174" t="str">
        <f t="shared" si="163"/>
        <v>0.152609730715345-0.0669928941662288i</v>
      </c>
      <c r="AQ322" s="174" t="str">
        <f t="shared" si="164"/>
        <v>0.847390269284655+0.0669928941662288i</v>
      </c>
      <c r="AR322" s="174" t="str">
        <f t="shared" si="165"/>
        <v>0.976912282848937-0.0772326324089558i</v>
      </c>
    </row>
    <row r="323" spans="7:44" x14ac:dyDescent="0.2">
      <c r="G323" s="703">
        <v>23175.5</v>
      </c>
      <c r="H323" s="691">
        <f t="shared" si="157"/>
        <v>23.1755</v>
      </c>
      <c r="I323" s="692">
        <f t="shared" si="137"/>
        <v>22.633025224253391</v>
      </c>
      <c r="J323" s="693">
        <f t="shared" si="138"/>
        <v>1.526598715747679</v>
      </c>
      <c r="K323" s="693">
        <f t="shared" si="139"/>
        <v>1.0000784093478474</v>
      </c>
      <c r="L323" s="694">
        <f t="shared" si="140"/>
        <v>1.2522318062981725E-2</v>
      </c>
      <c r="M323" s="693">
        <f t="shared" si="141"/>
        <v>1.00043734056835</v>
      </c>
      <c r="N323" s="694">
        <f t="shared" si="142"/>
        <v>-2.9569620857684324E-2</v>
      </c>
      <c r="O323" s="692">
        <f t="shared" si="143"/>
        <v>41937.396756925729</v>
      </c>
      <c r="P323" s="695">
        <f t="shared" si="144"/>
        <v>1.5707724817287403</v>
      </c>
      <c r="Q323" s="704">
        <f t="shared" si="166"/>
        <v>17.502505999875009</v>
      </c>
      <c r="R323" s="705">
        <f t="shared" si="167"/>
        <v>1.5136305207880849</v>
      </c>
      <c r="S323" s="692">
        <f t="shared" si="145"/>
        <v>1.0067624174390932</v>
      </c>
      <c r="T323" s="695">
        <f t="shared" si="146"/>
        <v>0.11597006067705004</v>
      </c>
      <c r="U323" s="696">
        <f t="shared" si="158"/>
        <v>0.97269171793574083</v>
      </c>
      <c r="V323" s="697">
        <f t="shared" si="159"/>
        <v>-0.28732951776152915</v>
      </c>
      <c r="W323" s="698">
        <f t="shared" si="147"/>
        <v>1.8847236155016402</v>
      </c>
      <c r="X323" s="699">
        <f t="shared" si="148"/>
        <v>-114.82575897479605</v>
      </c>
      <c r="Y323" s="702">
        <f t="shared" si="149"/>
        <v>65.174241025203955</v>
      </c>
      <c r="AA323" s="174">
        <f t="shared" si="150"/>
        <v>1000000000</v>
      </c>
      <c r="AB323" s="174">
        <f t="shared" si="151"/>
        <v>537103800.25</v>
      </c>
      <c r="AD323" s="701">
        <f t="shared" si="152"/>
        <v>27.559885107156163</v>
      </c>
      <c r="AE323" s="702">
        <f t="shared" si="153"/>
        <v>-9.9185882330056234</v>
      </c>
      <c r="AG323" s="701">
        <f t="shared" si="154"/>
        <v>0.19377274204933481</v>
      </c>
      <c r="AH323" s="702">
        <f t="shared" si="155"/>
        <v>-71.981633309637843</v>
      </c>
      <c r="AJ323" s="174">
        <f t="shared" si="156"/>
        <v>0</v>
      </c>
      <c r="AK323" s="174">
        <f t="shared" si="168"/>
        <v>0</v>
      </c>
      <c r="AM323" s="174" t="str">
        <f t="shared" si="160"/>
        <v>0.085305756121111+0.404146557841123i</v>
      </c>
      <c r="AN323" s="174" t="str">
        <f t="shared" si="161"/>
        <v>0.416045602629i</v>
      </c>
      <c r="AO323" s="174" t="str">
        <f t="shared" si="162"/>
        <v>0.971399662169996-0.205039436980135i</v>
      </c>
      <c r="AP323" s="174" t="str">
        <f t="shared" si="163"/>
        <v>0.152449040646481-0.0673577596401872i</v>
      </c>
      <c r="AQ323" s="174" t="str">
        <f t="shared" si="164"/>
        <v>0.847550959353519+0.0673577596401872i</v>
      </c>
      <c r="AR323" s="174" t="str">
        <f t="shared" si="165"/>
        <v>0.976663132986903-0.0776187435518249i</v>
      </c>
    </row>
    <row r="324" spans="7:44" x14ac:dyDescent="0.2">
      <c r="G324" s="703">
        <v>23308.75</v>
      </c>
      <c r="H324" s="691">
        <f t="shared" si="157"/>
        <v>23.30875</v>
      </c>
      <c r="I324" s="692">
        <f t="shared" si="137"/>
        <v>22.762902896467889</v>
      </c>
      <c r="J324" s="693">
        <f t="shared" si="138"/>
        <v>1.5268510557740425</v>
      </c>
      <c r="K324" s="693">
        <f t="shared" si="139"/>
        <v>1.0000793135498003</v>
      </c>
      <c r="L324" s="694">
        <f t="shared" si="140"/>
        <v>1.2594308869942887E-2</v>
      </c>
      <c r="M324" s="693">
        <f t="shared" si="141"/>
        <v>1.0004423829829905</v>
      </c>
      <c r="N324" s="694">
        <f t="shared" si="142"/>
        <v>-2.9739534594387031E-2</v>
      </c>
      <c r="O324" s="692">
        <f t="shared" si="143"/>
        <v>42178.520275930379</v>
      </c>
      <c r="P324" s="695">
        <f t="shared" si="144"/>
        <v>1.5707726180447188</v>
      </c>
      <c r="Q324" s="704">
        <f t="shared" si="166"/>
        <v>17.602810952073021</v>
      </c>
      <c r="R324" s="705">
        <f t="shared" si="167"/>
        <v>1.5139566172443346</v>
      </c>
      <c r="S324" s="692">
        <f t="shared" si="145"/>
        <v>1.0068401385504038</v>
      </c>
      <c r="T324" s="695">
        <f t="shared" si="146"/>
        <v>0.11663082956848668</v>
      </c>
      <c r="U324" s="696">
        <f t="shared" si="158"/>
        <v>0.97239327934914843</v>
      </c>
      <c r="V324" s="697">
        <f t="shared" si="159"/>
        <v>-0.28893776051610276</v>
      </c>
      <c r="W324" s="698">
        <f t="shared" si="147"/>
        <v>1.8315769430139672</v>
      </c>
      <c r="X324" s="699">
        <f t="shared" si="148"/>
        <v>-114.95715621470616</v>
      </c>
      <c r="Y324" s="702">
        <f t="shared" si="149"/>
        <v>65.04284378529384</v>
      </c>
      <c r="AA324" s="174">
        <f t="shared" si="150"/>
        <v>1000000000</v>
      </c>
      <c r="AB324" s="174">
        <f t="shared" si="151"/>
        <v>543297826.5625</v>
      </c>
      <c r="AD324" s="701">
        <f t="shared" si="152"/>
        <v>27.559052958687367</v>
      </c>
      <c r="AE324" s="702">
        <f t="shared" si="153"/>
        <v>-9.9377713614133683</v>
      </c>
      <c r="AG324" s="701">
        <f t="shared" si="154"/>
        <v>0.14678899720121705</v>
      </c>
      <c r="AH324" s="702">
        <f t="shared" si="155"/>
        <v>-71.909556376390512</v>
      </c>
      <c r="AJ324" s="174">
        <f t="shared" si="156"/>
        <v>0</v>
      </c>
      <c r="AK324" s="174">
        <f t="shared" si="168"/>
        <v>0</v>
      </c>
      <c r="AM324" s="174" t="str">
        <f t="shared" si="160"/>
        <v>0.086275130535538+0.406333438104903i</v>
      </c>
      <c r="AN324" s="174" t="str">
        <f t="shared" si="161"/>
        <v>0.4184377010325i</v>
      </c>
      <c r="AO324" s="174" t="str">
        <f t="shared" si="162"/>
        <v>0.971072723854161-0.206183932094678i</v>
      </c>
      <c r="AP324" s="174" t="str">
        <f t="shared" si="163"/>
        <v>0.152287478244077-0.0677222396841505i</v>
      </c>
      <c r="AQ324" s="174" t="str">
        <f t="shared" si="164"/>
        <v>0.847712521755923+0.0677222396841505i</v>
      </c>
      <c r="AR324" s="174" t="str">
        <f t="shared" si="165"/>
        <v>0.976412853815308-0.0780038794045378i</v>
      </c>
    </row>
    <row r="325" spans="7:44" x14ac:dyDescent="0.2">
      <c r="G325" s="703">
        <v>23442</v>
      </c>
      <c r="H325" s="691">
        <f t="shared" si="157"/>
        <v>23.442</v>
      </c>
      <c r="I325" s="692">
        <f t="shared" si="137"/>
        <v>22.892782001675098</v>
      </c>
      <c r="J325" s="693">
        <f t="shared" si="138"/>
        <v>1.527100532582059</v>
      </c>
      <c r="K325" s="693">
        <f t="shared" si="139"/>
        <v>1.0000802229348313</v>
      </c>
      <c r="L325" s="694">
        <f t="shared" si="140"/>
        <v>1.2666299546352929E-2</v>
      </c>
      <c r="M325" s="693">
        <f t="shared" si="141"/>
        <v>1.0004474542807895</v>
      </c>
      <c r="N325" s="694">
        <f t="shared" si="142"/>
        <v>-2.9909446613399636E-2</v>
      </c>
      <c r="O325" s="692">
        <f t="shared" si="143"/>
        <v>42419.643794935793</v>
      </c>
      <c r="P325" s="695">
        <f t="shared" si="144"/>
        <v>1.5707727528109912</v>
      </c>
      <c r="Q325" s="704">
        <f t="shared" si="166"/>
        <v>17.703117754922687</v>
      </c>
      <c r="R325" s="705">
        <f t="shared" si="167"/>
        <v>1.5142790183749595</v>
      </c>
      <c r="S325" s="692">
        <f t="shared" si="145"/>
        <v>1.0069182991957779</v>
      </c>
      <c r="T325" s="695">
        <f t="shared" si="146"/>
        <v>0.11729149616579418</v>
      </c>
      <c r="U325" s="696">
        <f t="shared" si="158"/>
        <v>0.97209339095149772</v>
      </c>
      <c r="V325" s="697">
        <f t="shared" si="159"/>
        <v>-0.29054528293648474</v>
      </c>
      <c r="W325" s="698">
        <f t="shared" si="147"/>
        <v>1.7786980237493841</v>
      </c>
      <c r="X325" s="699">
        <f t="shared" si="148"/>
        <v>-115.08855381799258</v>
      </c>
      <c r="Y325" s="702">
        <f t="shared" si="149"/>
        <v>64.911446182007424</v>
      </c>
      <c r="AA325" s="174">
        <f t="shared" si="150"/>
        <v>1000000000</v>
      </c>
      <c r="AB325" s="174">
        <f t="shared" si="151"/>
        <v>549527364</v>
      </c>
      <c r="AD325" s="701">
        <f t="shared" si="152"/>
        <v>27.558219813020735</v>
      </c>
      <c r="AE325" s="702">
        <f t="shared" si="153"/>
        <v>-9.9571602665700993</v>
      </c>
      <c r="AG325" s="701">
        <f t="shared" si="154"/>
        <v>0.10010154790791834</v>
      </c>
      <c r="AH325" s="702">
        <f t="shared" si="155"/>
        <v>-71.837356573988586</v>
      </c>
      <c r="AJ325" s="174">
        <f t="shared" si="156"/>
        <v>0</v>
      </c>
      <c r="AK325" s="174">
        <f t="shared" si="168"/>
        <v>0</v>
      </c>
      <c r="AM325" s="174" t="str">
        <f t="shared" si="160"/>
        <v>0.087249733404319+0.408517993275098i</v>
      </c>
      <c r="AN325" s="174" t="str">
        <f t="shared" si="161"/>
        <v>0.420829799436i</v>
      </c>
      <c r="AO325" s="174" t="str">
        <f t="shared" si="162"/>
        <v>0.970743977310061-0.207327840189197i</v>
      </c>
      <c r="AP325" s="174" t="str">
        <f t="shared" si="163"/>
        <v>0.152125044432614-0.0680863322125163i</v>
      </c>
      <c r="AQ325" s="174" t="str">
        <f t="shared" si="164"/>
        <v>0.847874955567386+0.0680863322125163i</v>
      </c>
      <c r="AR325" s="174" t="str">
        <f t="shared" si="165"/>
        <v>0.976161450087915-0.0783880362868616i</v>
      </c>
    </row>
    <row r="326" spans="7:44" x14ac:dyDescent="0.2">
      <c r="G326" s="703">
        <v>23578.5</v>
      </c>
      <c r="H326" s="691">
        <f t="shared" si="157"/>
        <v>23.578499999999998</v>
      </c>
      <c r="I326" s="692">
        <f t="shared" si="137"/>
        <v>23.02583035043412</v>
      </c>
      <c r="J326" s="693">
        <f t="shared" si="138"/>
        <v>1.5273531759823102</v>
      </c>
      <c r="K326" s="693">
        <f t="shared" si="139"/>
        <v>1.0000811598742145</v>
      </c>
      <c r="L326" s="694">
        <f t="shared" si="140"/>
        <v>1.2740045956773461E-2</v>
      </c>
      <c r="M326" s="693">
        <f t="shared" si="141"/>
        <v>1.0004526792167694</v>
      </c>
      <c r="N326" s="694">
        <f t="shared" si="142"/>
        <v>-3.0083501036726662E-2</v>
      </c>
      <c r="O326" s="692">
        <f t="shared" si="143"/>
        <v>42666.648375381155</v>
      </c>
      <c r="P326" s="695">
        <f t="shared" si="144"/>
        <v>1.5707728892848467</v>
      </c>
      <c r="Q326" s="704">
        <f t="shared" si="166"/>
        <v>17.805872951374468</v>
      </c>
      <c r="R326" s="705">
        <f t="shared" si="167"/>
        <v>1.5146055165398198</v>
      </c>
      <c r="S326" s="692">
        <f t="shared" si="145"/>
        <v>1.0069988218366823</v>
      </c>
      <c r="T326" s="695">
        <f t="shared" si="146"/>
        <v>0.11796816993762753</v>
      </c>
      <c r="U326" s="696">
        <f t="shared" si="158"/>
        <v>0.97178468919173788</v>
      </c>
      <c r="V326" s="697">
        <f t="shared" si="159"/>
        <v>-0.29219126295020181</v>
      </c>
      <c r="W326" s="698">
        <f t="shared" si="147"/>
        <v>1.7248036410791301</v>
      </c>
      <c r="X326" s="699">
        <f t="shared" si="148"/>
        <v>-115.22315555618627</v>
      </c>
      <c r="Y326" s="702">
        <f t="shared" si="149"/>
        <v>64.776844443813729</v>
      </c>
      <c r="AA326" s="174">
        <f t="shared" si="150"/>
        <v>1000000000</v>
      </c>
      <c r="AB326" s="174">
        <f t="shared" si="151"/>
        <v>555945662.25</v>
      </c>
      <c r="AD326" s="701">
        <f t="shared" si="152"/>
        <v>27.557365250138901</v>
      </c>
      <c r="AE326" s="702">
        <f t="shared" si="153"/>
        <v>-9.9772316703369572</v>
      </c>
      <c r="AG326" s="701">
        <f t="shared" si="154"/>
        <v>5.2579254071936421E-2</v>
      </c>
      <c r="AH326" s="702">
        <f t="shared" si="155"/>
        <v>-71.763271492302167</v>
      </c>
      <c r="AJ326" s="174">
        <f t="shared" si="156"/>
        <v>0</v>
      </c>
      <c r="AK326" s="174">
        <f t="shared" si="168"/>
        <v>0</v>
      </c>
      <c r="AM326" s="174" t="str">
        <f t="shared" si="160"/>
        <v>0.088253522539512+0.410753406362493i</v>
      </c>
      <c r="AN326" s="174" t="str">
        <f t="shared" si="161"/>
        <v>0.423280241703i</v>
      </c>
      <c r="AO326" s="174" t="str">
        <f t="shared" si="162"/>
        <v>0.970405338812633-0.208499036440818i</v>
      </c>
      <c r="AP326" s="174" t="str">
        <f t="shared" si="163"/>
        <v>0.151957746243415-0.0684589010604155i</v>
      </c>
      <c r="AQ326" s="174" t="str">
        <f t="shared" si="164"/>
        <v>0.848042253756585+0.0684589010604155i</v>
      </c>
      <c r="AR326" s="174" t="str">
        <f t="shared" si="165"/>
        <v>0.975902753512429-0.0787805439544416i</v>
      </c>
    </row>
    <row r="327" spans="7:44" x14ac:dyDescent="0.2">
      <c r="G327" s="703">
        <v>23715</v>
      </c>
      <c r="H327" s="691">
        <f t="shared" si="157"/>
        <v>23.715</v>
      </c>
      <c r="I327" s="692">
        <f t="shared" si="137"/>
        <v>23.1588801520146</v>
      </c>
      <c r="J327" s="693">
        <f t="shared" si="138"/>
        <v>1.5276029164812783</v>
      </c>
      <c r="K327" s="693">
        <f t="shared" si="139"/>
        <v>1.0000821022525621</v>
      </c>
      <c r="L327" s="694">
        <f t="shared" si="140"/>
        <v>1.2813792228612432E-2</v>
      </c>
      <c r="M327" s="693">
        <f t="shared" si="141"/>
        <v>1.0004579344610884</v>
      </c>
      <c r="N327" s="694">
        <f t="shared" si="142"/>
        <v>-3.0257553636766878E-2</v>
      </c>
      <c r="O327" s="692">
        <f t="shared" si="143"/>
        <v>42913.652955827303</v>
      </c>
      <c r="P327" s="695">
        <f t="shared" si="144"/>
        <v>1.5707730241876561</v>
      </c>
      <c r="Q327" s="704">
        <f t="shared" si="166"/>
        <v>17.908630024168989</v>
      </c>
      <c r="R327" s="705">
        <f t="shared" si="167"/>
        <v>1.5149282679423082</v>
      </c>
      <c r="S327" s="692">
        <f t="shared" si="145"/>
        <v>1.0070798054957946</v>
      </c>
      <c r="T327" s="695">
        <f t="shared" si="146"/>
        <v>0.11864473519065903</v>
      </c>
      <c r="U327" s="696">
        <f t="shared" si="158"/>
        <v>0.97147447473425141</v>
      </c>
      <c r="V327" s="697">
        <f t="shared" si="159"/>
        <v>-0.29383648023221276</v>
      </c>
      <c r="W327" s="698">
        <f t="shared" si="147"/>
        <v>1.6711834583855232</v>
      </c>
      <c r="X327" s="699">
        <f t="shared" si="148"/>
        <v>-115.35775553854108</v>
      </c>
      <c r="Y327" s="702">
        <f t="shared" si="149"/>
        <v>64.642244461458915</v>
      </c>
      <c r="AA327" s="174">
        <f t="shared" si="150"/>
        <v>1000000000</v>
      </c>
      <c r="AB327" s="174">
        <f t="shared" si="151"/>
        <v>562401225</v>
      </c>
      <c r="AD327" s="701">
        <f t="shared" si="152"/>
        <v>27.556509515447061</v>
      </c>
      <c r="AE327" s="702">
        <f t="shared" si="153"/>
        <v>-9.997511440091138</v>
      </c>
      <c r="AG327" s="701">
        <f t="shared" si="154"/>
        <v>5.3611348661748229E-3</v>
      </c>
      <c r="AH327" s="702">
        <f t="shared" si="155"/>
        <v>-71.689063691404911</v>
      </c>
      <c r="AJ327" s="174">
        <f t="shared" si="156"/>
        <v>0</v>
      </c>
      <c r="AK327" s="174">
        <f t="shared" si="168"/>
        <v>0</v>
      </c>
      <c r="AM327" s="174" t="str">
        <f t="shared" si="160"/>
        <v>0.089262786406228+0.412986353013574i</v>
      </c>
      <c r="AN327" s="174" t="str">
        <f t="shared" si="161"/>
        <v>0.42573068397i</v>
      </c>
      <c r="AO327" s="174" t="str">
        <f t="shared" si="162"/>
        <v>0.970064805201299-0.209669609843105i</v>
      </c>
      <c r="AP327" s="174" t="str">
        <f t="shared" si="163"/>
        <v>0.151789535598962-0.0688310588355957i</v>
      </c>
      <c r="AQ327" s="174" t="str">
        <f t="shared" si="164"/>
        <v>0.848210464401038+0.0688310588355957i</v>
      </c>
      <c r="AR327" s="174" t="str">
        <f t="shared" si="165"/>
        <v>0.975642886995623-0.0791720165875897i</v>
      </c>
    </row>
    <row r="328" spans="7:44" x14ac:dyDescent="0.2">
      <c r="G328" s="703">
        <v>23851.5</v>
      </c>
      <c r="H328" s="691">
        <f t="shared" si="157"/>
        <v>23.851500000000001</v>
      </c>
      <c r="I328" s="692">
        <f t="shared" si="137"/>
        <v>23.291931381519806</v>
      </c>
      <c r="J328" s="693">
        <f t="shared" si="138"/>
        <v>1.5278498037945425</v>
      </c>
      <c r="K328" s="693">
        <f t="shared" si="139"/>
        <v>1.0000830500698583</v>
      </c>
      <c r="L328" s="694">
        <f t="shared" si="140"/>
        <v>1.2887538361068099E-2</v>
      </c>
      <c r="M328" s="693">
        <f t="shared" si="141"/>
        <v>1.000463220013269</v>
      </c>
      <c r="N328" s="694">
        <f t="shared" si="142"/>
        <v>-3.0431604403003489E-2</v>
      </c>
      <c r="O328" s="692">
        <f t="shared" si="143"/>
        <v>43160.65753627423</v>
      </c>
      <c r="P328" s="695">
        <f t="shared" si="144"/>
        <v>1.5707731575463919</v>
      </c>
      <c r="Q328" s="704">
        <f t="shared" si="166"/>
        <v>18.011388941191996</v>
      </c>
      <c r="R328" s="705">
        <f t="shared" si="167"/>
        <v>1.5152473366429</v>
      </c>
      <c r="S328" s="692">
        <f t="shared" si="145"/>
        <v>1.0071612500619063</v>
      </c>
      <c r="T328" s="695">
        <f t="shared" si="146"/>
        <v>0.11932119133175828</v>
      </c>
      <c r="U328" s="696">
        <f t="shared" si="158"/>
        <v>0.97116275200165836</v>
      </c>
      <c r="V328" s="697">
        <f t="shared" si="159"/>
        <v>-0.29548093134846792</v>
      </c>
      <c r="W328" s="698">
        <f t="shared" si="147"/>
        <v>1.6178341369559361</v>
      </c>
      <c r="X328" s="699">
        <f t="shared" si="148"/>
        <v>-115.49235271340326</v>
      </c>
      <c r="Y328" s="702">
        <f t="shared" si="149"/>
        <v>64.507647286596736</v>
      </c>
      <c r="AA328" s="174">
        <f t="shared" si="150"/>
        <v>1000000000</v>
      </c>
      <c r="AB328" s="174">
        <f t="shared" si="151"/>
        <v>568894052.25</v>
      </c>
      <c r="AD328" s="701">
        <f t="shared" si="152"/>
        <v>27.555652548271219</v>
      </c>
      <c r="AE328" s="702">
        <f t="shared" si="153"/>
        <v>-10.017995872999327</v>
      </c>
      <c r="AG328" s="701">
        <f t="shared" si="154"/>
        <v>-4.1556139822625307E-2</v>
      </c>
      <c r="AH328" s="702">
        <f t="shared" si="155"/>
        <v>-71.614736215989623</v>
      </c>
      <c r="AJ328" s="174">
        <f t="shared" si="156"/>
        <v>0</v>
      </c>
      <c r="AK328" s="174">
        <f t="shared" si="168"/>
        <v>0</v>
      </c>
      <c r="AM328" s="174" t="str">
        <f t="shared" si="160"/>
        <v>0.090277518944177+0.415216819820245i</v>
      </c>
      <c r="AN328" s="174" t="str">
        <f t="shared" si="161"/>
        <v>0.428181126237i</v>
      </c>
      <c r="AO328" s="174" t="str">
        <f t="shared" si="162"/>
        <v>0.969722377698686-0.210839556936024i</v>
      </c>
      <c r="AP328" s="174" t="str">
        <f t="shared" si="163"/>
        <v>0.151620413509304-0.0692028033033742i</v>
      </c>
      <c r="AQ328" s="174" t="str">
        <f t="shared" si="164"/>
        <v>0.848379586490696+0.0692028033033742i</v>
      </c>
      <c r="AR328" s="174" t="str">
        <f t="shared" si="165"/>
        <v>0.975381855689029-0.0795624503226637i</v>
      </c>
    </row>
    <row r="329" spans="7:44" x14ac:dyDescent="0.2">
      <c r="G329" s="703">
        <v>23988</v>
      </c>
      <c r="H329" s="691">
        <f t="shared" si="157"/>
        <v>23.988</v>
      </c>
      <c r="I329" s="692">
        <f t="shared" si="137"/>
        <v>23.424984014618392</v>
      </c>
      <c r="J329" s="693">
        <f t="shared" si="138"/>
        <v>1.5280938865095639</v>
      </c>
      <c r="K329" s="693">
        <f t="shared" si="139"/>
        <v>1.0000840033260883</v>
      </c>
      <c r="L329" s="694">
        <f t="shared" si="140"/>
        <v>1.2961284353338721E-2</v>
      </c>
      <c r="M329" s="693">
        <f t="shared" si="141"/>
        <v>1.0004685358728307</v>
      </c>
      <c r="N329" s="694">
        <f t="shared" si="142"/>
        <v>-3.0605653324920379E-2</v>
      </c>
      <c r="O329" s="692">
        <f t="shared" si="143"/>
        <v>43407.662116721905</v>
      </c>
      <c r="P329" s="695">
        <f t="shared" si="144"/>
        <v>1.5707732893874131</v>
      </c>
      <c r="Q329" s="704">
        <f t="shared" si="166"/>
        <v>18.114149671057366</v>
      </c>
      <c r="R329" s="705">
        <f t="shared" si="167"/>
        <v>1.5155627852514613</v>
      </c>
      <c r="S329" s="692">
        <f t="shared" si="145"/>
        <v>1.0072431554232124</v>
      </c>
      <c r="T329" s="695">
        <f t="shared" si="146"/>
        <v>0.11999753776838568</v>
      </c>
      <c r="U329" s="696">
        <f t="shared" si="158"/>
        <v>0.97084952543053649</v>
      </c>
      <c r="V329" s="697">
        <f t="shared" si="159"/>
        <v>-0.29712461288008968</v>
      </c>
      <c r="W329" s="698">
        <f t="shared" si="147"/>
        <v>1.5647523960988345</v>
      </c>
      <c r="X329" s="699">
        <f t="shared" si="148"/>
        <v>-115.62694604846465</v>
      </c>
      <c r="Y329" s="702">
        <f t="shared" si="149"/>
        <v>64.373053951535354</v>
      </c>
      <c r="AA329" s="174">
        <f t="shared" si="150"/>
        <v>1000000000</v>
      </c>
      <c r="AB329" s="174">
        <f t="shared" si="151"/>
        <v>575424144</v>
      </c>
      <c r="AD329" s="701">
        <f t="shared" si="152"/>
        <v>27.55479428971741</v>
      </c>
      <c r="AE329" s="702">
        <f t="shared" si="153"/>
        <v>-10.038681349340679</v>
      </c>
      <c r="AG329" s="701">
        <f t="shared" si="154"/>
        <v>-8.8175844057813507E-2</v>
      </c>
      <c r="AH329" s="702">
        <f t="shared" si="155"/>
        <v>-71.540292045243362</v>
      </c>
      <c r="AJ329" s="174">
        <f t="shared" si="156"/>
        <v>0</v>
      </c>
      <c r="AK329" s="174">
        <f t="shared" si="168"/>
        <v>0</v>
      </c>
      <c r="AM329" s="174" t="str">
        <f t="shared" si="160"/>
        <v>0.09129771406023+0.417444793389301i</v>
      </c>
      <c r="AN329" s="174" t="str">
        <f t="shared" si="161"/>
        <v>0.430631568504i</v>
      </c>
      <c r="AO329" s="174" t="str">
        <f t="shared" si="162"/>
        <v>0.969378057534172-0.212008874262041i</v>
      </c>
      <c r="AP329" s="174" t="str">
        <f t="shared" si="163"/>
        <v>0.151450380989962-0.0695741322315502i</v>
      </c>
      <c r="AQ329" s="174" t="str">
        <f t="shared" si="164"/>
        <v>0.848549619010038+0.0695741322315502i</v>
      </c>
      <c r="AR329" s="174" t="str">
        <f t="shared" si="165"/>
        <v>0.975119664757695-0.0799518413273063i</v>
      </c>
    </row>
    <row r="330" spans="7:44" x14ac:dyDescent="0.2">
      <c r="G330" s="703">
        <v>24127.75</v>
      </c>
      <c r="H330" s="691">
        <f t="shared" si="157"/>
        <v>24.127749999999999</v>
      </c>
      <c r="I330" s="692">
        <f t="shared" si="137"/>
        <v>23.561205996842006</v>
      </c>
      <c r="J330" s="693">
        <f t="shared" si="138"/>
        <v>1.5283409247449187</v>
      </c>
      <c r="K330" s="693">
        <f t="shared" si="139"/>
        <v>1.0000849849136013</v>
      </c>
      <c r="L330" s="694">
        <f t="shared" si="140"/>
        <v>1.3036786056499597E-2</v>
      </c>
      <c r="M330" s="693">
        <f t="shared" si="141"/>
        <v>1.0004740096983507</v>
      </c>
      <c r="N330" s="694">
        <f t="shared" si="142"/>
        <v>-3.0783844347096172E-2</v>
      </c>
      <c r="O330" s="692">
        <f t="shared" si="143"/>
        <v>43660.547758609588</v>
      </c>
      <c r="P330" s="695">
        <f t="shared" si="144"/>
        <v>1.5707734228220556</v>
      </c>
      <c r="Q330" s="704">
        <f t="shared" si="166"/>
        <v>18.219358931036968</v>
      </c>
      <c r="R330" s="705">
        <f t="shared" si="167"/>
        <v>1.5158820580317849</v>
      </c>
      <c r="S330" s="692">
        <f t="shared" si="145"/>
        <v>1.0073274881775696</v>
      </c>
      <c r="T330" s="695">
        <f t="shared" si="146"/>
        <v>0.12068987341989726</v>
      </c>
      <c r="U330" s="696">
        <f t="shared" si="158"/>
        <v>0.97052728775786146</v>
      </c>
      <c r="V330" s="697">
        <f t="shared" si="159"/>
        <v>-0.29880662884426112</v>
      </c>
      <c r="W330" s="698">
        <f t="shared" si="147"/>
        <v>1.5106806509229349</v>
      </c>
      <c r="X330" s="699">
        <f t="shared" si="148"/>
        <v>-115.76473895054154</v>
      </c>
      <c r="Y330" s="702">
        <f t="shared" si="149"/>
        <v>64.235261049458458</v>
      </c>
      <c r="AA330" s="174">
        <f t="shared" si="150"/>
        <v>1000000000</v>
      </c>
      <c r="AB330" s="174">
        <f t="shared" si="151"/>
        <v>582148320.0625</v>
      </c>
      <c r="AD330" s="701">
        <f t="shared" si="152"/>
        <v>27.553914198880062</v>
      </c>
      <c r="AE330" s="702">
        <f t="shared" si="153"/>
        <v>-10.06006392261907</v>
      </c>
      <c r="AG330" s="701">
        <f t="shared" si="154"/>
        <v>-0.13560062023283917</v>
      </c>
      <c r="AH330" s="702">
        <f t="shared" si="155"/>
        <v>-71.463957542180296</v>
      </c>
      <c r="AJ330" s="174">
        <f t="shared" si="156"/>
        <v>0</v>
      </c>
      <c r="AK330" s="174">
        <f t="shared" si="168"/>
        <v>0</v>
      </c>
      <c r="AM330" s="174" t="str">
        <f t="shared" si="160"/>
        <v>0.092347852357697+0.419723216989857i</v>
      </c>
      <c r="AN330" s="174" t="str">
        <f t="shared" si="161"/>
        <v>0.4331403546345i</v>
      </c>
      <c r="AO330" s="174" t="str">
        <f t="shared" si="162"/>
        <v>0.969023579767891-0.213205376431904i</v>
      </c>
      <c r="AP330" s="174" t="str">
        <f t="shared" si="163"/>
        <v>0.151275357940384-0.0699538694983095i</v>
      </c>
      <c r="AQ330" s="174" t="str">
        <f t="shared" si="164"/>
        <v>0.848724642059616+0.0699538694983095i</v>
      </c>
      <c r="AR330" s="174" t="str">
        <f t="shared" si="165"/>
        <v>0.974850035223948-0.0803494193110613i</v>
      </c>
    </row>
    <row r="331" spans="7:44" x14ac:dyDescent="0.2">
      <c r="G331" s="703">
        <v>24267.5</v>
      </c>
      <c r="H331" s="691">
        <f t="shared" si="157"/>
        <v>24.267499999999998</v>
      </c>
      <c r="I331" s="692">
        <f t="shared" si="137"/>
        <v>23.697429400425147</v>
      </c>
      <c r="J331" s="693">
        <f t="shared" si="138"/>
        <v>1.5285851228229066</v>
      </c>
      <c r="K331" s="693">
        <f t="shared" si="139"/>
        <v>1.0000859722020949</v>
      </c>
      <c r="L331" s="694">
        <f t="shared" si="140"/>
        <v>1.3112287611019759E-2</v>
      </c>
      <c r="M331" s="693">
        <f t="shared" si="141"/>
        <v>1.0004795152906136</v>
      </c>
      <c r="N331" s="694">
        <f t="shared" si="142"/>
        <v>-3.0962033413775958E-2</v>
      </c>
      <c r="O331" s="692">
        <f t="shared" si="143"/>
        <v>43913.433400498041</v>
      </c>
      <c r="P331" s="695">
        <f t="shared" si="144"/>
        <v>1.5707735547198698</v>
      </c>
      <c r="Q331" s="704">
        <f t="shared" si="166"/>
        <v>18.324570026882892</v>
      </c>
      <c r="R331" s="705">
        <f t="shared" si="167"/>
        <v>1.5161976646145285</v>
      </c>
      <c r="S331" s="692">
        <f t="shared" si="145"/>
        <v>1.0074123036918816</v>
      </c>
      <c r="T331" s="695">
        <f t="shared" si="146"/>
        <v>0.12138209282566212</v>
      </c>
      <c r="U331" s="696">
        <f t="shared" si="158"/>
        <v>0.97020348323835504</v>
      </c>
      <c r="V331" s="697">
        <f t="shared" si="159"/>
        <v>-0.30048783093697767</v>
      </c>
      <c r="W331" s="698">
        <f t="shared" si="147"/>
        <v>1.4568826011817495</v>
      </c>
      <c r="X331" s="699">
        <f t="shared" si="148"/>
        <v>-115.90252569786723</v>
      </c>
      <c r="Y331" s="702">
        <f t="shared" si="149"/>
        <v>64.097474302132767</v>
      </c>
      <c r="AA331" s="174">
        <f t="shared" si="150"/>
        <v>1000000000</v>
      </c>
      <c r="AB331" s="174">
        <f t="shared" si="151"/>
        <v>588911556.25</v>
      </c>
      <c r="AD331" s="701">
        <f t="shared" si="152"/>
        <v>27.553032634966534</v>
      </c>
      <c r="AE331" s="702">
        <f t="shared" si="153"/>
        <v>-10.081649805101437</v>
      </c>
      <c r="AG331" s="701">
        <f t="shared" si="154"/>
        <v>-0.18272025800950659</v>
      </c>
      <c r="AH331" s="702">
        <f t="shared" si="155"/>
        <v>-71.387506837961098</v>
      </c>
      <c r="AJ331" s="174">
        <f t="shared" si="156"/>
        <v>0</v>
      </c>
      <c r="AK331" s="174">
        <f t="shared" si="168"/>
        <v>0</v>
      </c>
      <c r="AM331" s="174" t="str">
        <f t="shared" si="160"/>
        <v>0.093403703421909+0.421998998850577i</v>
      </c>
      <c r="AN331" s="174" t="str">
        <f t="shared" si="161"/>
        <v>0.435649140765i</v>
      </c>
      <c r="AO331" s="174" t="str">
        <f t="shared" si="162"/>
        <v>0.968667120769587-0.214401211162478i</v>
      </c>
      <c r="AP331" s="174" t="str">
        <f t="shared" si="163"/>
        <v>0.151099382763015-0.0703331664750962i</v>
      </c>
      <c r="AQ331" s="174" t="str">
        <f t="shared" si="164"/>
        <v>0.848900617236985+0.0703331664750962i</v>
      </c>
      <c r="AR331" s="174" t="str">
        <f t="shared" si="165"/>
        <v>0.974579201187066-0.0807458962903788i</v>
      </c>
    </row>
    <row r="332" spans="7:44" x14ac:dyDescent="0.2">
      <c r="G332" s="703">
        <v>24407.25</v>
      </c>
      <c r="H332" s="691">
        <f t="shared" si="157"/>
        <v>24.407250000000001</v>
      </c>
      <c r="I332" s="692">
        <f t="shared" si="137"/>
        <v>23.83365420099609</v>
      </c>
      <c r="J332" s="693">
        <f t="shared" si="138"/>
        <v>1.5288265294141781</v>
      </c>
      <c r="K332" s="693">
        <f t="shared" si="139"/>
        <v>1.0000869651915518</v>
      </c>
      <c r="L332" s="694">
        <f t="shared" si="140"/>
        <v>1.3187789016038861E-2</v>
      </c>
      <c r="M332" s="693">
        <f t="shared" si="141"/>
        <v>1.0004850526490952</v>
      </c>
      <c r="N332" s="694">
        <f t="shared" si="142"/>
        <v>-3.1140220513676625E-2</v>
      </c>
      <c r="O332" s="692">
        <f t="shared" si="143"/>
        <v>44166.319042387244</v>
      </c>
      <c r="P332" s="695">
        <f t="shared" si="144"/>
        <v>1.570773685107254</v>
      </c>
      <c r="Q332" s="704">
        <f t="shared" si="166"/>
        <v>18.429782927153624</v>
      </c>
      <c r="R332" s="705">
        <f t="shared" si="167"/>
        <v>1.5165096677256107</v>
      </c>
      <c r="S332" s="692">
        <f t="shared" si="145"/>
        <v>1.0074976018442261</v>
      </c>
      <c r="T332" s="695">
        <f t="shared" si="146"/>
        <v>0.12207419535174426</v>
      </c>
      <c r="U332" s="696">
        <f t="shared" si="158"/>
        <v>0.96987811667750101</v>
      </c>
      <c r="V332" s="697">
        <f t="shared" si="159"/>
        <v>-0.30216821553898859</v>
      </c>
      <c r="W332" s="698">
        <f t="shared" si="147"/>
        <v>1.4033549067041498</v>
      </c>
      <c r="X332" s="699">
        <f t="shared" si="148"/>
        <v>-116.04030524235998</v>
      </c>
      <c r="Y332" s="702">
        <f t="shared" si="149"/>
        <v>63.959694757640023</v>
      </c>
      <c r="AA332" s="174">
        <f t="shared" si="150"/>
        <v>1000000000</v>
      </c>
      <c r="AB332" s="174">
        <f t="shared" si="151"/>
        <v>595713852.5625</v>
      </c>
      <c r="AD332" s="701">
        <f t="shared" si="152"/>
        <v>27.552149540191554</v>
      </c>
      <c r="AE332" s="702">
        <f t="shared" si="153"/>
        <v>-10.103435368048043</v>
      </c>
      <c r="AG332" s="701">
        <f t="shared" si="154"/>
        <v>-0.22953809647463438</v>
      </c>
      <c r="AH332" s="702">
        <f t="shared" si="155"/>
        <v>-71.310942927979184</v>
      </c>
      <c r="AJ332" s="174">
        <f t="shared" si="156"/>
        <v>0</v>
      </c>
      <c r="AK332" s="174">
        <f t="shared" si="168"/>
        <v>0</v>
      </c>
      <c r="AM332" s="174" t="str">
        <f t="shared" si="160"/>
        <v>0.094465260607334+0.424272124647679i</v>
      </c>
      <c r="AN332" s="174" t="str">
        <f t="shared" si="161"/>
        <v>0.4381579268955i</v>
      </c>
      <c r="AO332" s="174" t="str">
        <f t="shared" si="162"/>
        <v>0.968308681880511-0.215596374751572i</v>
      </c>
      <c r="AP332" s="174" t="str">
        <f t="shared" si="163"/>
        <v>0.150922456565444-0.0707120207746132i</v>
      </c>
      <c r="AQ332" s="174" t="str">
        <f t="shared" si="164"/>
        <v>0.849077543434556+0.0707120207746132i</v>
      </c>
      <c r="AR332" s="174" t="str">
        <f t="shared" si="165"/>
        <v>0.974307168232455-0.0811412682547505i</v>
      </c>
    </row>
    <row r="333" spans="7:44" x14ac:dyDescent="0.2">
      <c r="G333" s="703">
        <v>24547</v>
      </c>
      <c r="H333" s="691">
        <f t="shared" si="157"/>
        <v>24.547000000000001</v>
      </c>
      <c r="I333" s="692">
        <f t="shared" ref="I333:I396" si="169">SQRT(1+(G333/pole1)^2)</f>
        <v>23.969880374736888</v>
      </c>
      <c r="J333" s="693">
        <f t="shared" ref="J333:J396" si="170">ATAN(G333/pole1)</f>
        <v>1.5290651920842773</v>
      </c>
      <c r="K333" s="693">
        <f t="shared" ref="K333:K396" si="171">SQRT(1+(G333/Zero1)^2)</f>
        <v>1.0000879638819555</v>
      </c>
      <c r="L333" s="694">
        <f t="shared" ref="L333:L396" si="172">ATAN(G333/Zero1)</f>
        <v>1.3263290270696559E-2</v>
      </c>
      <c r="M333" s="693">
        <f t="shared" ref="M333:M396" si="173">SQRT(1+(G333/z_RHP)^2)</f>
        <v>1.0004906217732679</v>
      </c>
      <c r="N333" s="694">
        <f t="shared" ref="N333:N396" si="174">-ATAN(G333/z_RHP)</f>
        <v>-3.1318405635515821E-2</v>
      </c>
      <c r="O333" s="692">
        <f t="shared" ref="O333:O396" si="175">SQRT(1+(G333/Pole2)^2)</f>
        <v>44419.204684277196</v>
      </c>
      <c r="P333" s="695">
        <f t="shared" ref="P333:P396" si="176">ATAN(G333/Pole2)</f>
        <v>1.5707738140100056</v>
      </c>
      <c r="Q333" s="704">
        <f t="shared" si="166"/>
        <v>18.534997601121002</v>
      </c>
      <c r="R333" s="705">
        <f t="shared" si="167"/>
        <v>1.5168181286695273</v>
      </c>
      <c r="S333" s="692">
        <f t="shared" ref="S333:S396" si="177">SQRT(1+(G333/pole4)^2)</f>
        <v>1.0075833825120284</v>
      </c>
      <c r="T333" s="695">
        <f t="shared" ref="T333:T396" si="178">ATAN(G333/pole4)</f>
        <v>0.12276618036486961</v>
      </c>
      <c r="U333" s="696">
        <f t="shared" si="158"/>
        <v>0.96955119289539526</v>
      </c>
      <c r="V333" s="697">
        <f t="shared" si="159"/>
        <v>-0.3038477790478803</v>
      </c>
      <c r="W333" s="698">
        <f t="shared" ref="W333:W396" si="179">20*LOG10(((K333*Q333*M333*U333)/(I333*O333*S333))*Adc)</f>
        <v>1.3500942854315392</v>
      </c>
      <c r="X333" s="699">
        <f t="shared" ref="X333:X396" si="180">((L333+R333+N333+V333)-(J333+P333+T333))*radconv</f>
        <v>-116.17807655502962</v>
      </c>
      <c r="Y333" s="702">
        <f t="shared" ref="Y333:Y396" si="181">IF(X333&gt;0,X333,X333+180)</f>
        <v>63.821923444970381</v>
      </c>
      <c r="AA333" s="174">
        <f t="shared" ref="AA333:AA396" si="182">IF(W333&lt;0,G333,1000000000)</f>
        <v>1000000000</v>
      </c>
      <c r="AB333" s="174">
        <f t="shared" ref="AB333:AB396" si="183">G333^2</f>
        <v>602555209</v>
      </c>
      <c r="AD333" s="701">
        <f t="shared" ref="AD333:AD396" si="184">20*LOG10((Q333/(O333*S333))*Aea)</f>
        <v>27.551264858475321</v>
      </c>
      <c r="AE333" s="702">
        <f t="shared" ref="AE333:AE396" si="185">(R333-(P333+T333))*radconv</f>
        <v>-10.125417064164138</v>
      </c>
      <c r="AG333" s="701">
        <f t="shared" ref="AG333:AG396" si="186">20*LOG10((K333*M333/(I333*U333))*Acs*Am)</f>
        <v>-0.27605741851098964</v>
      </c>
      <c r="AH333" s="702">
        <f t="shared" ref="AH333:AH396" si="187">(L333+N333-(J333+V333))*radconv</f>
        <v>-71.234268743345467</v>
      </c>
      <c r="AJ333" s="174">
        <f t="shared" ref="AJ333:AJ396" si="188">SUM((W334&lt;0)*(W333&gt;0))*G333</f>
        <v>0</v>
      </c>
      <c r="AK333" s="174">
        <f t="shared" si="168"/>
        <v>0</v>
      </c>
      <c r="AM333" s="174" t="str">
        <f t="shared" si="160"/>
        <v>0.095532517232526+0.4265425800741i</v>
      </c>
      <c r="AN333" s="174" t="str">
        <f t="shared" si="161"/>
        <v>0.440666713026i</v>
      </c>
      <c r="AO333" s="174" t="str">
        <f t="shared" si="162"/>
        <v>0.967948264449313-0.216790863499802i</v>
      </c>
      <c r="AP333" s="174" t="str">
        <f t="shared" si="163"/>
        <v>0.150744580461246-0.07109043001235i</v>
      </c>
      <c r="AQ333" s="174" t="str">
        <f t="shared" si="164"/>
        <v>0.849255419538754+0.07109043001235i</v>
      </c>
      <c r="AR333" s="174" t="str">
        <f t="shared" si="165"/>
        <v>0.974033941959383-0.0815355312281961i</v>
      </c>
    </row>
    <row r="334" spans="7:44" x14ac:dyDescent="0.2">
      <c r="G334" s="703">
        <v>24690</v>
      </c>
      <c r="H334" s="691">
        <f t="shared" ref="H334:H397" si="189">G334/1000</f>
        <v>24.69</v>
      </c>
      <c r="I334" s="692">
        <f t="shared" si="169"/>
        <v>24.10927599619049</v>
      </c>
      <c r="J334" s="693">
        <f t="shared" si="170"/>
        <v>1.5293066131603612</v>
      </c>
      <c r="K334" s="693">
        <f t="shared" si="171"/>
        <v>1.0000889916990581</v>
      </c>
      <c r="L334" s="694">
        <f t="shared" si="172"/>
        <v>1.3340547211941129E-2</v>
      </c>
      <c r="M334" s="693">
        <f t="shared" si="173"/>
        <v>1.0004963532937892</v>
      </c>
      <c r="N334" s="694">
        <f t="shared" si="174"/>
        <v>-3.150073253803054E-2</v>
      </c>
      <c r="O334" s="692">
        <f t="shared" si="175"/>
        <v>44677.971387607198</v>
      </c>
      <c r="P334" s="695">
        <f t="shared" si="176"/>
        <v>1.5707739443999709</v>
      </c>
      <c r="Q334" s="704">
        <f t="shared" si="166"/>
        <v>18.642660932693126</v>
      </c>
      <c r="R334" s="705">
        <f t="shared" si="167"/>
        <v>1.5171301589370481</v>
      </c>
      <c r="S334" s="692">
        <f t="shared" si="177"/>
        <v>1.007671657428403</v>
      </c>
      <c r="T334" s="695">
        <f t="shared" si="178"/>
        <v>0.12347413574877544</v>
      </c>
      <c r="U334" s="696">
        <f t="shared" ref="U334:U397" si="190">IMABS(IMPRODUCT(AO334, AR334))</f>
        <v>0.96921505931395668</v>
      </c>
      <c r="V334" s="697">
        <f t="shared" ref="V334:V397" si="191">IMARGUMENT(IMPRODUCT(AO334, AR334))</f>
        <v>-0.30556554847508299</v>
      </c>
      <c r="W334" s="698">
        <f t="shared" si="179"/>
        <v>1.2958681427964369</v>
      </c>
      <c r="X334" s="699">
        <f t="shared" si="180"/>
        <v>-116.31904227659233</v>
      </c>
      <c r="Y334" s="702">
        <f t="shared" si="181"/>
        <v>63.680957723407673</v>
      </c>
      <c r="AA334" s="174">
        <f t="shared" si="182"/>
        <v>1000000000</v>
      </c>
      <c r="AB334" s="174">
        <f t="shared" si="183"/>
        <v>609596100</v>
      </c>
      <c r="AD334" s="701">
        <f t="shared" si="184"/>
        <v>27.550357903264846</v>
      </c>
      <c r="AE334" s="702">
        <f t="shared" si="185"/>
        <v>-10.148109373156853</v>
      </c>
      <c r="AG334" s="701">
        <f t="shared" si="186"/>
        <v>-0.32335294172555201</v>
      </c>
      <c r="AH334" s="702">
        <f t="shared" si="187"/>
        <v>-71.155700278979879</v>
      </c>
      <c r="AJ334" s="174">
        <f t="shared" si="188"/>
        <v>0</v>
      </c>
      <c r="AK334" s="174">
        <f t="shared" si="168"/>
        <v>0</v>
      </c>
      <c r="AM334" s="174" t="str">
        <f t="shared" ref="AM334:AM397" si="192">IMSUB(1,IMEXP(COMPLEX(0,-2*Pi*G334*Tsw)))</f>
        <v>0.096630486570311+0.428863057637059i</v>
      </c>
      <c r="AN334" s="174" t="str">
        <f t="shared" ref="AN334:AN397" si="193">COMPLEX(0, 2*Pi*G334*Tsw)</f>
        <v>0.44323384302i</v>
      </c>
      <c r="AO334" s="174" t="str">
        <f t="shared" ref="AO334:AO397" si="194">IMDIV(AM334, AN334)</f>
        <v>0.967577418535947-0.218012428635669i</v>
      </c>
      <c r="AP334" s="174" t="str">
        <f t="shared" ref="AP334:AP397" si="195">IMDIV(IMEXP(COMPLEX(0,-2*Pi*G334*Tsw)),6)</f>
        <v>0.150561585571615-0.0714771762728432i</v>
      </c>
      <c r="AQ334" s="174" t="str">
        <f t="shared" ref="AQ334:AQ397" si="196">IMSUB(1, AP334)</f>
        <v>0.849438414428385+0.0714771762728432i</v>
      </c>
      <c r="AR334" s="174" t="str">
        <f t="shared" ref="AR334:AR397" si="197">IMDIV(0.833, AQ334)</f>
        <v>0.973753132173708-0.081937811020061i</v>
      </c>
    </row>
    <row r="335" spans="7:44" x14ac:dyDescent="0.2">
      <c r="G335" s="703">
        <v>24833</v>
      </c>
      <c r="H335" s="691">
        <f t="shared" si="189"/>
        <v>24.832999999999998</v>
      </c>
      <c r="I335" s="692">
        <f t="shared" si="169"/>
        <v>24.248673006676661</v>
      </c>
      <c r="J335" s="693">
        <f t="shared" si="170"/>
        <v>1.5295452585621443</v>
      </c>
      <c r="K335" s="693">
        <f t="shared" si="171"/>
        <v>1.0000900254853142</v>
      </c>
      <c r="L335" s="694">
        <f t="shared" si="172"/>
        <v>1.3417803993926867E-2</v>
      </c>
      <c r="M335" s="693">
        <f t="shared" si="173"/>
        <v>1.0005021180735287</v>
      </c>
      <c r="N335" s="694">
        <f t="shared" si="174"/>
        <v>-3.1683057345512383E-2</v>
      </c>
      <c r="O335" s="692">
        <f t="shared" si="175"/>
        <v>44936.73809093795</v>
      </c>
      <c r="P335" s="695">
        <f t="shared" si="176"/>
        <v>1.5707740732882434</v>
      </c>
      <c r="Q335" s="704">
        <f t="shared" si="166"/>
        <v>18.750326058524006</v>
      </c>
      <c r="R335" s="705">
        <f t="shared" si="167"/>
        <v>1.5174386058536391</v>
      </c>
      <c r="S335" s="692">
        <f t="shared" si="177"/>
        <v>1.0077604373020177</v>
      </c>
      <c r="T335" s="695">
        <f t="shared" si="178"/>
        <v>0.12418196675102455</v>
      </c>
      <c r="U335" s="696">
        <f t="shared" si="190"/>
        <v>0.96887730549736917</v>
      </c>
      <c r="V335" s="697">
        <f t="shared" si="191"/>
        <v>-0.30728245059735687</v>
      </c>
      <c r="W335" s="698">
        <f t="shared" si="179"/>
        <v>1.2419148675905789</v>
      </c>
      <c r="X335" s="699">
        <f t="shared" si="180"/>
        <v>-116.45999725820877</v>
      </c>
      <c r="Y335" s="702">
        <f t="shared" si="181"/>
        <v>63.540002741791227</v>
      </c>
      <c r="AA335" s="174">
        <f t="shared" si="182"/>
        <v>1000000000</v>
      </c>
      <c r="AB335" s="174">
        <f t="shared" si="183"/>
        <v>616677889</v>
      </c>
      <c r="AD335" s="701">
        <f t="shared" si="184"/>
        <v>27.549449172865728</v>
      </c>
      <c r="AE335" s="702">
        <f t="shared" si="185"/>
        <v>-10.170999780449947</v>
      </c>
      <c r="AG335" s="701">
        <f t="shared" si="186"/>
        <v>-0.37034268241938317</v>
      </c>
      <c r="AH335" s="702">
        <f t="shared" si="187"/>
        <v>-71.077022362191713</v>
      </c>
      <c r="AJ335" s="174">
        <f t="shared" si="188"/>
        <v>0</v>
      </c>
      <c r="AK335" s="174">
        <f t="shared" si="168"/>
        <v>0</v>
      </c>
      <c r="AM335" s="174" t="str">
        <f t="shared" si="192"/>
        <v>0.097734409251213+0.431180708926944i</v>
      </c>
      <c r="AN335" s="174" t="str">
        <f t="shared" si="193"/>
        <v>0.445800973014i</v>
      </c>
      <c r="AO335" s="174" t="str">
        <f t="shared" si="194"/>
        <v>0.967204503865906-0.21923327934985i</v>
      </c>
      <c r="AP335" s="174" t="str">
        <f t="shared" si="195"/>
        <v>0.150377598458131-0.071863451487824i</v>
      </c>
      <c r="AQ335" s="174" t="str">
        <f t="shared" si="196"/>
        <v>0.849622401541869+0.071863451487824i</v>
      </c>
      <c r="AR335" s="174" t="str">
        <f t="shared" si="197"/>
        <v>0.973471084826164-0.0823389213281672i</v>
      </c>
    </row>
    <row r="336" spans="7:44" x14ac:dyDescent="0.2">
      <c r="G336" s="703">
        <v>24976</v>
      </c>
      <c r="H336" s="691">
        <f t="shared" si="189"/>
        <v>24.975999999999999</v>
      </c>
      <c r="I336" s="692">
        <f t="shared" si="169"/>
        <v>24.38807138237717</v>
      </c>
      <c r="J336" s="693">
        <f t="shared" si="170"/>
        <v>1.5297811758581601</v>
      </c>
      <c r="K336" s="693">
        <f t="shared" si="171"/>
        <v>1.0000910652407058</v>
      </c>
      <c r="L336" s="694">
        <f t="shared" si="172"/>
        <v>1.3495060615732036E-2</v>
      </c>
      <c r="M336" s="693">
        <f t="shared" si="173"/>
        <v>1.0005079161119113</v>
      </c>
      <c r="N336" s="694">
        <f t="shared" si="174"/>
        <v>-3.1865380045875843E-2</v>
      </c>
      <c r="O336" s="692">
        <f t="shared" si="175"/>
        <v>45195.504794269451</v>
      </c>
      <c r="P336" s="695">
        <f t="shared" si="176"/>
        <v>1.5707742007006174</v>
      </c>
      <c r="Q336" s="704">
        <f t="shared" si="166"/>
        <v>18.857992947881993</v>
      </c>
      <c r="R336" s="705">
        <f t="shared" si="167"/>
        <v>1.5177435307359193</v>
      </c>
      <c r="S336" s="692">
        <f t="shared" si="177"/>
        <v>1.0078497219994296</v>
      </c>
      <c r="T336" s="695">
        <f t="shared" si="178"/>
        <v>0.12488967269529919</v>
      </c>
      <c r="U336" s="696">
        <f t="shared" si="190"/>
        <v>0.96853793665617394</v>
      </c>
      <c r="V336" s="697">
        <f t="shared" si="191"/>
        <v>-0.30899848161010357</v>
      </c>
      <c r="W336" s="698">
        <f t="shared" si="179"/>
        <v>1.1882311238290659</v>
      </c>
      <c r="X336" s="699">
        <f t="shared" si="180"/>
        <v>-116.60094045627234</v>
      </c>
      <c r="Y336" s="702">
        <f t="shared" si="181"/>
        <v>63.39905954372766</v>
      </c>
      <c r="AA336" s="174">
        <f t="shared" si="182"/>
        <v>1000000000</v>
      </c>
      <c r="AB336" s="174">
        <f t="shared" si="183"/>
        <v>623800576</v>
      </c>
      <c r="AD336" s="701">
        <f t="shared" si="184"/>
        <v>27.548538612373704</v>
      </c>
      <c r="AE336" s="702">
        <f t="shared" si="185"/>
        <v>-10.194084735587701</v>
      </c>
      <c r="AG336" s="701">
        <f t="shared" si="186"/>
        <v>-0.41702998328796403</v>
      </c>
      <c r="AH336" s="702">
        <f t="shared" si="187"/>
        <v>-70.998237935804966</v>
      </c>
      <c r="AJ336" s="174">
        <f t="shared" si="188"/>
        <v>0</v>
      </c>
      <c r="AK336" s="174">
        <f t="shared" si="168"/>
        <v>0</v>
      </c>
      <c r="AM336" s="174" t="str">
        <f t="shared" si="192"/>
        <v>0.098844278000212+0.433495518670079i</v>
      </c>
      <c r="AN336" s="174" t="str">
        <f t="shared" si="193"/>
        <v>0.448368103008i</v>
      </c>
      <c r="AO336" s="174" t="str">
        <f t="shared" si="194"/>
        <v>0.966829521908128-0.220453411688049i</v>
      </c>
      <c r="AP336" s="174" t="str">
        <f t="shared" si="195"/>
        <v>0.150192620333298-0.0722492531116798i</v>
      </c>
      <c r="AQ336" s="174" t="str">
        <f t="shared" si="196"/>
        <v>0.849807379666702+0.0722492531116798i</v>
      </c>
      <c r="AR336" s="174" t="str">
        <f t="shared" si="197"/>
        <v>0.973187805959249-0.0827388580051244i</v>
      </c>
    </row>
    <row r="337" spans="7:44" x14ac:dyDescent="0.2">
      <c r="G337" s="703">
        <v>25119</v>
      </c>
      <c r="H337" s="691">
        <f t="shared" si="189"/>
        <v>25.119</v>
      </c>
      <c r="I337" s="692">
        <f t="shared" si="169"/>
        <v>24.527471100015013</v>
      </c>
      <c r="J337" s="693">
        <f t="shared" si="170"/>
        <v>1.5300144115367662</v>
      </c>
      <c r="K337" s="693">
        <f t="shared" si="171"/>
        <v>1.0000921109652141</v>
      </c>
      <c r="L337" s="694">
        <f t="shared" si="172"/>
        <v>1.3572317076434913E-2</v>
      </c>
      <c r="M337" s="693">
        <f t="shared" si="173"/>
        <v>1.0005137474083585</v>
      </c>
      <c r="N337" s="694">
        <f t="shared" si="174"/>
        <v>-3.2047700627036282E-2</v>
      </c>
      <c r="O337" s="692">
        <f t="shared" si="175"/>
        <v>45454.271497601665</v>
      </c>
      <c r="P337" s="695">
        <f t="shared" si="176"/>
        <v>1.5707743266622989</v>
      </c>
      <c r="Q337" s="704">
        <f t="shared" si="166"/>
        <v>18.965661570732774</v>
      </c>
      <c r="R337" s="705">
        <f t="shared" si="167"/>
        <v>1.518044993510776</v>
      </c>
      <c r="S337" s="692">
        <f t="shared" si="177"/>
        <v>1.0079395113864846</v>
      </c>
      <c r="T337" s="695">
        <f t="shared" si="178"/>
        <v>0.12559725290602158</v>
      </c>
      <c r="U337" s="696">
        <f t="shared" si="190"/>
        <v>0.96819695801611294</v>
      </c>
      <c r="V337" s="697">
        <f t="shared" si="191"/>
        <v>-0.3107136377273722</v>
      </c>
      <c r="W337" s="698">
        <f t="shared" si="179"/>
        <v>1.1348136336055621</v>
      </c>
      <c r="X337" s="699">
        <f t="shared" si="180"/>
        <v>-116.74187084598991</v>
      </c>
      <c r="Y337" s="702">
        <f t="shared" si="181"/>
        <v>63.258129154010092</v>
      </c>
      <c r="AA337" s="174">
        <f t="shared" si="182"/>
        <v>1000000000</v>
      </c>
      <c r="AB337" s="174">
        <f t="shared" si="183"/>
        <v>630964161</v>
      </c>
      <c r="AD337" s="701">
        <f t="shared" si="184"/>
        <v>27.547626168515134</v>
      </c>
      <c r="AE337" s="702">
        <f t="shared" si="185"/>
        <v>-10.217360767748804</v>
      </c>
      <c r="AG337" s="701">
        <f t="shared" si="186"/>
        <v>-0.46341813079336647</v>
      </c>
      <c r="AH337" s="702">
        <f t="shared" si="187"/>
        <v>-70.91934987968574</v>
      </c>
      <c r="AJ337" s="174">
        <f t="shared" si="188"/>
        <v>0</v>
      </c>
      <c r="AK337" s="174">
        <f t="shared" si="168"/>
        <v>0</v>
      </c>
      <c r="AM337" s="174" t="str">
        <f t="shared" si="192"/>
        <v>0.099960085503104+0.435807471611513i</v>
      </c>
      <c r="AN337" s="174" t="str">
        <f t="shared" si="193"/>
        <v>0.450935233002i</v>
      </c>
      <c r="AO337" s="174" t="str">
        <f t="shared" si="194"/>
        <v>0.966452474139629-0.221672821699121i</v>
      </c>
      <c r="AP337" s="174" t="str">
        <f t="shared" si="195"/>
        <v>0.150006652416149-0.0726345786019188i</v>
      </c>
      <c r="AQ337" s="174" t="str">
        <f t="shared" si="196"/>
        <v>0.849993347583851+0.0726345786019188i</v>
      </c>
      <c r="AR337" s="174" t="str">
        <f t="shared" si="197"/>
        <v>0.972903301629552-0.0831376169415336i</v>
      </c>
    </row>
    <row r="338" spans="7:44" x14ac:dyDescent="0.2">
      <c r="G338" s="703">
        <v>25265.25</v>
      </c>
      <c r="H338" s="691">
        <f t="shared" si="189"/>
        <v>25.265250000000002</v>
      </c>
      <c r="I338" s="692">
        <f t="shared" si="169"/>
        <v>24.670040357377733</v>
      </c>
      <c r="J338" s="693">
        <f t="shared" si="170"/>
        <v>1.5302502216469132</v>
      </c>
      <c r="K338" s="693">
        <f t="shared" si="171"/>
        <v>1.00009318663032</v>
      </c>
      <c r="L338" s="694">
        <f t="shared" si="172"/>
        <v>1.3651329198193507E-2</v>
      </c>
      <c r="M338" s="693">
        <f t="shared" si="173"/>
        <v>1.0005197456341164</v>
      </c>
      <c r="N338" s="694">
        <f t="shared" si="174"/>
        <v>-3.2234162653179112E-2</v>
      </c>
      <c r="O338" s="692">
        <f t="shared" si="175"/>
        <v>45718.919262373995</v>
      </c>
      <c r="P338" s="695">
        <f t="shared" si="176"/>
        <v>1.5707744540118953</v>
      </c>
      <c r="Q338" s="704">
        <f t="shared" si="166"/>
        <v>19.075778970185013</v>
      </c>
      <c r="R338" s="705">
        <f t="shared" si="167"/>
        <v>1.5183497877238858</v>
      </c>
      <c r="S338" s="692">
        <f t="shared" si="177"/>
        <v>1.0080318633261849</v>
      </c>
      <c r="T338" s="695">
        <f t="shared" si="178"/>
        <v>0.12632078372947603</v>
      </c>
      <c r="U338" s="696">
        <f t="shared" si="190"/>
        <v>0.96784657022927501</v>
      </c>
      <c r="V338" s="697">
        <f t="shared" si="191"/>
        <v>-0.31246686579199179</v>
      </c>
      <c r="W338" s="698">
        <f t="shared" si="179"/>
        <v>1.0804541519333493</v>
      </c>
      <c r="X338" s="699">
        <f t="shared" si="180"/>
        <v>-116.88598990198417</v>
      </c>
      <c r="Y338" s="702">
        <f t="shared" si="181"/>
        <v>63.114010098015825</v>
      </c>
      <c r="AA338" s="174">
        <f t="shared" si="182"/>
        <v>1000000000</v>
      </c>
      <c r="AB338" s="174">
        <f t="shared" si="183"/>
        <v>638332857.5625</v>
      </c>
      <c r="AD338" s="701">
        <f t="shared" si="184"/>
        <v>27.546690985368024</v>
      </c>
      <c r="AE338" s="702">
        <f t="shared" si="185"/>
        <v>-10.241359904870981</v>
      </c>
      <c r="AG338" s="701">
        <f t="shared" si="186"/>
        <v>-0.51055449284219856</v>
      </c>
      <c r="AH338" s="702">
        <f t="shared" si="187"/>
        <v>-70.838564661075083</v>
      </c>
      <c r="AJ338" s="174">
        <f t="shared" si="188"/>
        <v>0</v>
      </c>
      <c r="AK338" s="174">
        <f t="shared" si="168"/>
        <v>0</v>
      </c>
      <c r="AM338" s="174" t="str">
        <f t="shared" si="192"/>
        <v>0.10110738734883+0.438168998128752i</v>
      </c>
      <c r="AN338" s="174" t="str">
        <f t="shared" si="193"/>
        <v>0.4535607068595i</v>
      </c>
      <c r="AO338" s="174" t="str">
        <f t="shared" si="194"/>
        <v>0.966064721881836-0.222919194321104i</v>
      </c>
      <c r="AP338" s="174" t="str">
        <f t="shared" si="195"/>
        <v>0.149815435441862-0.073028166354792i</v>
      </c>
      <c r="AQ338" s="174" t="str">
        <f t="shared" si="196"/>
        <v>0.850184564558138+0.073028166354792i</v>
      </c>
      <c r="AR338" s="174" t="str">
        <f t="shared" si="197"/>
        <v>0.972611070062505-0.0835442161431758i</v>
      </c>
    </row>
    <row r="339" spans="7:44" x14ac:dyDescent="0.2">
      <c r="G339" s="703">
        <v>25411.5</v>
      </c>
      <c r="H339" s="691">
        <f t="shared" si="189"/>
        <v>25.4115</v>
      </c>
      <c r="I339" s="692">
        <f t="shared" si="169"/>
        <v>24.812610970788317</v>
      </c>
      <c r="J339" s="693">
        <f t="shared" si="170"/>
        <v>1.5304833218904665</v>
      </c>
      <c r="K339" s="693">
        <f t="shared" si="171"/>
        <v>1.0000942685389096</v>
      </c>
      <c r="L339" s="694">
        <f t="shared" si="172"/>
        <v>1.3730341149493694E-2</v>
      </c>
      <c r="M339" s="693">
        <f t="shared" si="173"/>
        <v>1.0005257786456143</v>
      </c>
      <c r="N339" s="694">
        <f t="shared" si="174"/>
        <v>-3.2420622437131938E-2</v>
      </c>
      <c r="O339" s="692">
        <f t="shared" si="175"/>
        <v>45983.567027147044</v>
      </c>
      <c r="P339" s="695">
        <f t="shared" si="176"/>
        <v>1.5707745798956296</v>
      </c>
      <c r="Q339" s="704">
        <f t="shared" si="166"/>
        <v>19.185898121425438</v>
      </c>
      <c r="R339" s="705">
        <f t="shared" si="167"/>
        <v>1.5186510831782831</v>
      </c>
      <c r="S339" s="692">
        <f t="shared" si="177"/>
        <v>1.0081247428705487</v>
      </c>
      <c r="T339" s="695">
        <f t="shared" si="178"/>
        <v>0.12704418161232706</v>
      </c>
      <c r="U339" s="696">
        <f t="shared" si="190"/>
        <v>0.96749450974332074</v>
      </c>
      <c r="V339" s="697">
        <f t="shared" si="191"/>
        <v>-0.31421917079112616</v>
      </c>
      <c r="W339" s="698">
        <f t="shared" si="179"/>
        <v>1.0263664089401814</v>
      </c>
      <c r="X339" s="699">
        <f t="shared" si="180"/>
        <v>-117.03009345078608</v>
      </c>
      <c r="Y339" s="702">
        <f t="shared" si="181"/>
        <v>62.969906549213917</v>
      </c>
      <c r="AA339" s="174">
        <f t="shared" si="182"/>
        <v>1000000000</v>
      </c>
      <c r="AB339" s="174">
        <f t="shared" si="183"/>
        <v>645744332.25</v>
      </c>
      <c r="AD339" s="701">
        <f t="shared" si="184"/>
        <v>27.545753724550138</v>
      </c>
      <c r="AE339" s="702">
        <f t="shared" si="185"/>
        <v>-10.265551805177939</v>
      </c>
      <c r="AG339" s="701">
        <f t="shared" si="186"/>
        <v>-0.55738472771368552</v>
      </c>
      <c r="AH339" s="702">
        <f t="shared" si="187"/>
        <v>-70.757676947600487</v>
      </c>
      <c r="AJ339" s="174">
        <f t="shared" si="188"/>
        <v>0</v>
      </c>
      <c r="AK339" s="174">
        <f t="shared" si="168"/>
        <v>0</v>
      </c>
      <c r="AM339" s="174" t="str">
        <f t="shared" si="192"/>
        <v>0.102260885359331+0.44052750429932i</v>
      </c>
      <c r="AN339" s="174" t="str">
        <f t="shared" si="193"/>
        <v>0.456186180717i</v>
      </c>
      <c r="AO339" s="174" t="str">
        <f t="shared" si="194"/>
        <v>0.965674811996565-0.224164803060463i</v>
      </c>
      <c r="AP339" s="174" t="str">
        <f t="shared" si="195"/>
        <v>0.149623185773445-0.0734212507165533i</v>
      </c>
      <c r="AQ339" s="174" t="str">
        <f t="shared" si="196"/>
        <v>0.850376814226555+0.0734212507165533i</v>
      </c>
      <c r="AR339" s="174" t="str">
        <f t="shared" si="197"/>
        <v>0.972317569554749-0.0839495748897145i</v>
      </c>
    </row>
    <row r="340" spans="7:44" x14ac:dyDescent="0.2">
      <c r="G340" s="703">
        <v>25557.75</v>
      </c>
      <c r="H340" s="691">
        <f t="shared" si="189"/>
        <v>25.557749999999999</v>
      </c>
      <c r="I340" s="692">
        <f t="shared" si="169"/>
        <v>24.955182917005185</v>
      </c>
      <c r="J340" s="693">
        <f t="shared" si="170"/>
        <v>1.5307137586872523</v>
      </c>
      <c r="K340" s="693">
        <f t="shared" si="171"/>
        <v>1.0000953566909625</v>
      </c>
      <c r="L340" s="694">
        <f t="shared" si="172"/>
        <v>1.3809352929349506E-2</v>
      </c>
      <c r="M340" s="693">
        <f t="shared" si="173"/>
        <v>1.000531846442223</v>
      </c>
      <c r="N340" s="694">
        <f t="shared" si="174"/>
        <v>-3.2607079965970044E-2</v>
      </c>
      <c r="O340" s="692">
        <f t="shared" si="175"/>
        <v>46248.214791920829</v>
      </c>
      <c r="P340" s="695">
        <f t="shared" si="176"/>
        <v>1.5707747043386662</v>
      </c>
      <c r="Q340" s="704">
        <f t="shared" si="166"/>
        <v>19.296018994462578</v>
      </c>
      <c r="R340" s="705">
        <f t="shared" si="167"/>
        <v>1.5189489397202194</v>
      </c>
      <c r="S340" s="692">
        <f t="shared" si="177"/>
        <v>1.008218149873763</v>
      </c>
      <c r="T340" s="695">
        <f t="shared" si="178"/>
        <v>0.12776744583430558</v>
      </c>
      <c r="U340" s="696">
        <f t="shared" si="190"/>
        <v>0.96714078219640509</v>
      </c>
      <c r="V340" s="697">
        <f t="shared" si="191"/>
        <v>-0.31597054873556413</v>
      </c>
      <c r="W340" s="698">
        <f t="shared" si="179"/>
        <v>0.97254707810178076</v>
      </c>
      <c r="X340" s="699">
        <f t="shared" si="180"/>
        <v>-117.17418045404267</v>
      </c>
      <c r="Y340" s="702">
        <f t="shared" si="181"/>
        <v>62.82581954595733</v>
      </c>
      <c r="AA340" s="174">
        <f t="shared" si="182"/>
        <v>1000000000</v>
      </c>
      <c r="AB340" s="174">
        <f t="shared" si="183"/>
        <v>653198585.0625</v>
      </c>
      <c r="AD340" s="701">
        <f t="shared" si="184"/>
        <v>27.544814334016074</v>
      </c>
      <c r="AE340" s="702">
        <f t="shared" si="185"/>
        <v>-10.289932999905458</v>
      </c>
      <c r="AG340" s="701">
        <f t="shared" si="186"/>
        <v>-0.60391217671076092</v>
      </c>
      <c r="AH340" s="702">
        <f t="shared" si="187"/>
        <v>-70.676689626802997</v>
      </c>
      <c r="AJ340" s="174">
        <f t="shared" si="188"/>
        <v>0</v>
      </c>
      <c r="AK340" s="174">
        <f t="shared" si="168"/>
        <v>0</v>
      </c>
      <c r="AM340" s="174" t="str">
        <f t="shared" si="192"/>
        <v>0.103420571583417+0.442882973865775i</v>
      </c>
      <c r="AN340" s="174" t="str">
        <f t="shared" si="193"/>
        <v>0.4588116545745i</v>
      </c>
      <c r="AO340" s="174" t="str">
        <f t="shared" si="194"/>
        <v>0.965282746090011-0.22540964370081i</v>
      </c>
      <c r="AP340" s="174" t="str">
        <f t="shared" si="195"/>
        <v>0.149429904736097-0.0738138289776292i</v>
      </c>
      <c r="AQ340" s="174" t="str">
        <f t="shared" si="196"/>
        <v>0.850570095263903+0.0738138289776292i</v>
      </c>
      <c r="AR340" s="174" t="str">
        <f t="shared" si="197"/>
        <v>0.972022806629177-0.0843536889086373i</v>
      </c>
    </row>
    <row r="341" spans="7:44" x14ac:dyDescent="0.2">
      <c r="G341" s="703">
        <v>25704</v>
      </c>
      <c r="H341" s="691">
        <f t="shared" si="189"/>
        <v>25.704000000000001</v>
      </c>
      <c r="I341" s="692">
        <f t="shared" si="169"/>
        <v>25.097756173314664</v>
      </c>
      <c r="J341" s="693">
        <f t="shared" si="170"/>
        <v>1.5309415774034505</v>
      </c>
      <c r="K341" s="693">
        <f t="shared" si="171"/>
        <v>1.0000964510864585</v>
      </c>
      <c r="L341" s="694">
        <f t="shared" si="172"/>
        <v>1.3888364536774979E-2</v>
      </c>
      <c r="M341" s="693">
        <f t="shared" si="173"/>
        <v>1.0005379490233095</v>
      </c>
      <c r="N341" s="694">
        <f t="shared" si="174"/>
        <v>-3.2793535226769664E-2</v>
      </c>
      <c r="O341" s="692">
        <f t="shared" si="175"/>
        <v>46512.862556695312</v>
      </c>
      <c r="P341" s="695">
        <f t="shared" si="176"/>
        <v>1.5707748273655966</v>
      </c>
      <c r="Q341" s="704">
        <f t="shared" si="166"/>
        <v>19.406141559985223</v>
      </c>
      <c r="R341" s="705">
        <f t="shared" si="167"/>
        <v>1.5192434158399994</v>
      </c>
      <c r="S341" s="692">
        <f t="shared" si="177"/>
        <v>1.0083120841892419</v>
      </c>
      <c r="T341" s="695">
        <f t="shared" si="178"/>
        <v>0.12849057567596789</v>
      </c>
      <c r="U341" s="696">
        <f t="shared" si="190"/>
        <v>0.96678539324240031</v>
      </c>
      <c r="V341" s="697">
        <f t="shared" si="191"/>
        <v>-0.31772099565667705</v>
      </c>
      <c r="W341" s="698">
        <f t="shared" si="179"/>
        <v>0.91899289082171642</v>
      </c>
      <c r="X341" s="699">
        <f t="shared" si="180"/>
        <v>-117.3182498919151</v>
      </c>
      <c r="Y341" s="702">
        <f t="shared" si="181"/>
        <v>62.681750108084898</v>
      </c>
      <c r="AA341" s="174">
        <f t="shared" si="182"/>
        <v>1000000000</v>
      </c>
      <c r="AB341" s="174">
        <f t="shared" si="183"/>
        <v>660695616</v>
      </c>
      <c r="AD341" s="701">
        <f t="shared" si="184"/>
        <v>27.543872763276443</v>
      </c>
      <c r="AE341" s="702">
        <f t="shared" si="185"/>
        <v>-10.314500097993838</v>
      </c>
      <c r="AG341" s="701">
        <f t="shared" si="186"/>
        <v>-0.65014012499027696</v>
      </c>
      <c r="AH341" s="702">
        <f t="shared" si="187"/>
        <v>-70.595605524674951</v>
      </c>
      <c r="AJ341" s="174">
        <f t="shared" si="188"/>
        <v>0</v>
      </c>
      <c r="AK341" s="174">
        <f t="shared" si="168"/>
        <v>0</v>
      </c>
      <c r="AM341" s="174" t="str">
        <f t="shared" si="192"/>
        <v>0.104586438027245+0.44523539059161i</v>
      </c>
      <c r="AN341" s="174" t="str">
        <f t="shared" si="193"/>
        <v>0.461437128432i</v>
      </c>
      <c r="AO341" s="174" t="str">
        <f t="shared" si="194"/>
        <v>0.964888525777185-0.226653712029281i</v>
      </c>
      <c r="AP341" s="174" t="str">
        <f t="shared" si="195"/>
        <v>0.149235593662126-0.074205898431935i</v>
      </c>
      <c r="AQ341" s="174" t="str">
        <f t="shared" si="196"/>
        <v>0.850764406337874+0.074205898431935i</v>
      </c>
      <c r="AR341" s="174" t="str">
        <f t="shared" si="197"/>
        <v>0.971726787822863-0.08475655396911i</v>
      </c>
    </row>
    <row r="342" spans="7:44" x14ac:dyDescent="0.2">
      <c r="G342" s="703">
        <v>25853.75</v>
      </c>
      <c r="H342" s="691">
        <f t="shared" si="189"/>
        <v>25.853750000000002</v>
      </c>
      <c r="I342" s="692">
        <f t="shared" si="169"/>
        <v>25.243742773489224</v>
      </c>
      <c r="J342" s="693">
        <f t="shared" si="170"/>
        <v>1.5311721816857939</v>
      </c>
      <c r="K342" s="693">
        <f t="shared" si="171"/>
        <v>1.0000975781419492</v>
      </c>
      <c r="L342" s="694">
        <f t="shared" si="172"/>
        <v>1.3969266840576302E-2</v>
      </c>
      <c r="M342" s="693">
        <f t="shared" si="173"/>
        <v>1.0005442336915191</v>
      </c>
      <c r="N342" s="694">
        <f t="shared" si="174"/>
        <v>-3.2984450301148847E-2</v>
      </c>
      <c r="O342" s="692">
        <f t="shared" si="175"/>
        <v>46783.84377225145</v>
      </c>
      <c r="P342" s="695">
        <f t="shared" si="176"/>
        <v>1.5707749518945155</v>
      </c>
      <c r="Q342" s="704">
        <f t="shared" si="166"/>
        <v>19.518901261138875</v>
      </c>
      <c r="R342" s="705">
        <f t="shared" si="167"/>
        <v>1.5195414962186278</v>
      </c>
      <c r="S342" s="692">
        <f t="shared" si="177"/>
        <v>1.0084088127439428</v>
      </c>
      <c r="T342" s="695">
        <f t="shared" si="178"/>
        <v>0.1292308711957971</v>
      </c>
      <c r="U342" s="696">
        <f t="shared" si="190"/>
        <v>0.96641978365192505</v>
      </c>
      <c r="V342" s="697">
        <f t="shared" si="191"/>
        <v>-0.31951236478057771</v>
      </c>
      <c r="W342" s="698">
        <f t="shared" si="179"/>
        <v>0.86442844791775375</v>
      </c>
      <c r="X342" s="699">
        <f t="shared" si="180"/>
        <v>-117.46574789820484</v>
      </c>
      <c r="Y342" s="702">
        <f t="shared" si="181"/>
        <v>62.534252101795161</v>
      </c>
      <c r="AA342" s="174">
        <f t="shared" si="182"/>
        <v>1000000000</v>
      </c>
      <c r="AB342" s="174">
        <f t="shared" si="183"/>
        <v>668416389.0625</v>
      </c>
      <c r="AD342" s="701">
        <f t="shared" si="184"/>
        <v>27.542906348972625</v>
      </c>
      <c r="AE342" s="702">
        <f t="shared" si="185"/>
        <v>-10.339844294231863</v>
      </c>
      <c r="AG342" s="701">
        <f t="shared" si="186"/>
        <v>-0.69716741887627831</v>
      </c>
      <c r="AH342" s="702">
        <f t="shared" si="187"/>
        <v>-70.51248355379299</v>
      </c>
      <c r="AJ342" s="174">
        <f t="shared" si="188"/>
        <v>0</v>
      </c>
      <c r="AK342" s="174">
        <f t="shared" si="168"/>
        <v>0</v>
      </c>
      <c r="AM342" s="174" t="str">
        <f t="shared" si="192"/>
        <v>0.105786600997994+0.447640924229767i</v>
      </c>
      <c r="AN342" s="174" t="str">
        <f t="shared" si="193"/>
        <v>0.4641254341425i</v>
      </c>
      <c r="AO342" s="174" t="str">
        <f t="shared" si="194"/>
        <v>0.96448264046725-0.227926748279678i</v>
      </c>
      <c r="AP342" s="174" t="str">
        <f t="shared" si="195"/>
        <v>0.149035566500334-0.0746068207049612i</v>
      </c>
      <c r="AQ342" s="174" t="str">
        <f t="shared" si="196"/>
        <v>0.850964433499666+0.0746068207049612i</v>
      </c>
      <c r="AR342" s="174" t="str">
        <f t="shared" si="197"/>
        <v>0.971422390324734-0.0851677617191162i</v>
      </c>
    </row>
    <row r="343" spans="7:44" x14ac:dyDescent="0.2">
      <c r="G343" s="703">
        <v>26003.5</v>
      </c>
      <c r="H343" s="691">
        <f t="shared" si="189"/>
        <v>26.003499999999999</v>
      </c>
      <c r="I343" s="692">
        <f t="shared" si="169"/>
        <v>25.389730700646584</v>
      </c>
      <c r="J343" s="693">
        <f t="shared" si="170"/>
        <v>1.5314001340858345</v>
      </c>
      <c r="K343" s="693">
        <f t="shared" si="171"/>
        <v>1.0000987117432465</v>
      </c>
      <c r="L343" s="694">
        <f t="shared" si="172"/>
        <v>1.4050168961503337E-2</v>
      </c>
      <c r="M343" s="693">
        <f t="shared" si="173"/>
        <v>1.0005505548276719</v>
      </c>
      <c r="N343" s="694">
        <f t="shared" si="174"/>
        <v>-3.3175362970214173E-2</v>
      </c>
      <c r="O343" s="692">
        <f t="shared" si="175"/>
        <v>47054.824987808308</v>
      </c>
      <c r="P343" s="695">
        <f t="shared" si="176"/>
        <v>1.5707750749891503</v>
      </c>
      <c r="Q343" s="704">
        <f t="shared" ref="Q343:Q406" si="198">SQRT(1+(G343/Zero2)^2)</f>
        <v>19.631662676661399</v>
      </c>
      <c r="R343" s="705">
        <f t="shared" ref="R343:R406" si="199">ATAN(G343/Zero2)</f>
        <v>1.5198361523624928</v>
      </c>
      <c r="S343" s="692">
        <f t="shared" si="177"/>
        <v>1.0085060938382566</v>
      </c>
      <c r="T343" s="695">
        <f t="shared" si="178"/>
        <v>0.12997102430250546</v>
      </c>
      <c r="U343" s="696">
        <f t="shared" si="190"/>
        <v>0.96605244422924885</v>
      </c>
      <c r="V343" s="697">
        <f t="shared" si="191"/>
        <v>-0.32130274943116927</v>
      </c>
      <c r="W343" s="698">
        <f t="shared" si="179"/>
        <v>0.81013523565996937</v>
      </c>
      <c r="X343" s="699">
        <f t="shared" si="180"/>
        <v>-117.61322538167957</v>
      </c>
      <c r="Y343" s="702">
        <f t="shared" si="181"/>
        <v>62.38677461832043</v>
      </c>
      <c r="AA343" s="174">
        <f t="shared" si="182"/>
        <v>1000000000</v>
      </c>
      <c r="AB343" s="174">
        <f t="shared" si="183"/>
        <v>676182012.25</v>
      </c>
      <c r="AD343" s="701">
        <f t="shared" si="184"/>
        <v>27.541937546502595</v>
      </c>
      <c r="AE343" s="702">
        <f t="shared" si="185"/>
        <v>-10.365376442820908</v>
      </c>
      <c r="AG343" s="701">
        <f t="shared" si="186"/>
        <v>-0.74388750146600746</v>
      </c>
      <c r="AH343" s="702">
        <f t="shared" si="187"/>
        <v>-70.42926592007646</v>
      </c>
      <c r="AJ343" s="174">
        <f t="shared" si="188"/>
        <v>0</v>
      </c>
      <c r="AK343" s="174">
        <f t="shared" si="168"/>
        <v>0</v>
      </c>
      <c r="AM343" s="174" t="str">
        <f t="shared" si="192"/>
        <v>0.106993226433992+0.450043222774467i</v>
      </c>
      <c r="AN343" s="174" t="str">
        <f t="shared" si="193"/>
        <v>0.466813739853i</v>
      </c>
      <c r="AO343" s="174" t="str">
        <f t="shared" si="194"/>
        <v>0.964074499855523-0.229198965882376i</v>
      </c>
      <c r="AP343" s="174" t="str">
        <f t="shared" si="195"/>
        <v>0.148834462261001-0.0750072037957445i</v>
      </c>
      <c r="AQ343" s="174" t="str">
        <f t="shared" si="196"/>
        <v>0.851165537738999+0.0750072037957445i</v>
      </c>
      <c r="AR343" s="174" t="str">
        <f t="shared" si="197"/>
        <v>0.971116690031696-0.0855776511724704i</v>
      </c>
    </row>
    <row r="344" spans="7:44" x14ac:dyDescent="0.2">
      <c r="G344" s="703">
        <v>26153.25</v>
      </c>
      <c r="H344" s="691">
        <f t="shared" si="189"/>
        <v>26.15325</v>
      </c>
      <c r="I344" s="692">
        <f t="shared" si="169"/>
        <v>25.535719932027625</v>
      </c>
      <c r="J344" s="693">
        <f t="shared" si="170"/>
        <v>1.5316254800625846</v>
      </c>
      <c r="K344" s="693">
        <f t="shared" si="171"/>
        <v>1.0000998518903279</v>
      </c>
      <c r="L344" s="694">
        <f t="shared" si="172"/>
        <v>1.4131070898497669E-2</v>
      </c>
      <c r="M344" s="693">
        <f t="shared" si="173"/>
        <v>1.0005569124310769</v>
      </c>
      <c r="N344" s="694">
        <f t="shared" si="174"/>
        <v>-3.3366273220094743E-2</v>
      </c>
      <c r="O344" s="692">
        <f t="shared" si="175"/>
        <v>47325.806203365864</v>
      </c>
      <c r="P344" s="695">
        <f t="shared" si="176"/>
        <v>1.5707751966741381</v>
      </c>
      <c r="Q344" s="704">
        <f t="shared" si="198"/>
        <v>19.744425777180261</v>
      </c>
      <c r="R344" s="705">
        <f t="shared" si="199"/>
        <v>1.5201274428887963</v>
      </c>
      <c r="S344" s="692">
        <f t="shared" si="177"/>
        <v>1.008603927312304</v>
      </c>
      <c r="T344" s="695">
        <f t="shared" si="178"/>
        <v>0.13071103422646743</v>
      </c>
      <c r="U344" s="696">
        <f t="shared" si="190"/>
        <v>0.96568338109360841</v>
      </c>
      <c r="V344" s="697">
        <f t="shared" si="191"/>
        <v>-0.323092145415385</v>
      </c>
      <c r="W344" s="698">
        <f t="shared" si="179"/>
        <v>0.75610992539385424</v>
      </c>
      <c r="X344" s="699">
        <f t="shared" si="180"/>
        <v>-117.76068130476673</v>
      </c>
      <c r="Y344" s="702">
        <f t="shared" si="181"/>
        <v>62.239318695233266</v>
      </c>
      <c r="AA344" s="174">
        <f t="shared" si="182"/>
        <v>1000000000</v>
      </c>
      <c r="AB344" s="174">
        <f t="shared" si="183"/>
        <v>683992485.5625</v>
      </c>
      <c r="AD344" s="701">
        <f t="shared" si="184"/>
        <v>27.540966306402023</v>
      </c>
      <c r="AE344" s="702">
        <f t="shared" si="185"/>
        <v>-10.391093142558015</v>
      </c>
      <c r="AG344" s="701">
        <f t="shared" si="186"/>
        <v>-0.79030372464930598</v>
      </c>
      <c r="AH344" s="702">
        <f t="shared" si="187"/>
        <v>-70.345955467645808</v>
      </c>
      <c r="AJ344" s="174">
        <f t="shared" si="188"/>
        <v>0</v>
      </c>
      <c r="AK344" s="174">
        <f t="shared" si="168"/>
        <v>0</v>
      </c>
      <c r="AM344" s="174" t="str">
        <f t="shared" si="192"/>
        <v>0.108206305614976+0.452442268864338i</v>
      </c>
      <c r="AN344" s="174" t="str">
        <f t="shared" si="193"/>
        <v>0.4695020455635i</v>
      </c>
      <c r="AO344" s="174" t="str">
        <f t="shared" si="194"/>
        <v>0.963664105704403-0.230470360326345i</v>
      </c>
      <c r="AP344" s="174" t="str">
        <f t="shared" si="195"/>
        <v>0.148632282397504-0.075407044810723i</v>
      </c>
      <c r="AQ344" s="174" t="str">
        <f t="shared" si="196"/>
        <v>0.851367717602496+0.075407044810723i</v>
      </c>
      <c r="AR344" s="174" t="str">
        <f t="shared" si="197"/>
        <v>0.970809694005639-0.0859862179232257i</v>
      </c>
    </row>
    <row r="345" spans="7:44" x14ac:dyDescent="0.2">
      <c r="G345" s="703">
        <v>26303</v>
      </c>
      <c r="H345" s="691">
        <f t="shared" si="189"/>
        <v>26.303000000000001</v>
      </c>
      <c r="I345" s="692">
        <f t="shared" si="169"/>
        <v>25.681710445390529</v>
      </c>
      <c r="J345" s="693">
        <f t="shared" si="170"/>
        <v>1.5318482640424611</v>
      </c>
      <c r="K345" s="693">
        <f t="shared" si="171"/>
        <v>1.0001009985831717</v>
      </c>
      <c r="L345" s="694">
        <f t="shared" si="172"/>
        <v>1.4211972650500905E-2</v>
      </c>
      <c r="M345" s="693">
        <f t="shared" si="173"/>
        <v>1.0005633065010386</v>
      </c>
      <c r="N345" s="694">
        <f t="shared" si="174"/>
        <v>-3.3557181036920694E-2</v>
      </c>
      <c r="O345" s="692">
        <f t="shared" si="175"/>
        <v>47596.787418924112</v>
      </c>
      <c r="P345" s="695">
        <f t="shared" si="176"/>
        <v>1.5707753169735557</v>
      </c>
      <c r="Q345" s="704">
        <f t="shared" si="198"/>
        <v>19.857190533989669</v>
      </c>
      <c r="R345" s="705">
        <f t="shared" si="199"/>
        <v>1.5204154250855568</v>
      </c>
      <c r="S345" s="692">
        <f t="shared" si="177"/>
        <v>1.0087023130053598</v>
      </c>
      <c r="T345" s="695">
        <f t="shared" si="178"/>
        <v>0.13145090019898259</v>
      </c>
      <c r="U345" s="696">
        <f t="shared" si="190"/>
        <v>0.96531260038047939</v>
      </c>
      <c r="V345" s="697">
        <f t="shared" si="191"/>
        <v>-0.32488054856297399</v>
      </c>
      <c r="W345" s="698">
        <f t="shared" si="179"/>
        <v>0.70234924651609032</v>
      </c>
      <c r="X345" s="699">
        <f t="shared" si="180"/>
        <v>-117.90811464821529</v>
      </c>
      <c r="Y345" s="702">
        <f t="shared" si="181"/>
        <v>62.091885351784711</v>
      </c>
      <c r="AA345" s="174">
        <f t="shared" si="182"/>
        <v>1000000000</v>
      </c>
      <c r="AB345" s="174">
        <f t="shared" si="183"/>
        <v>691847809</v>
      </c>
      <c r="AD345" s="701">
        <f t="shared" si="184"/>
        <v>27.539992580698605</v>
      </c>
      <c r="AE345" s="702">
        <f t="shared" si="185"/>
        <v>-10.416991068417683</v>
      </c>
      <c r="AG345" s="701">
        <f t="shared" si="186"/>
        <v>-0.83641938399468163</v>
      </c>
      <c r="AH345" s="702">
        <f t="shared" si="187"/>
        <v>-70.262554980150981</v>
      </c>
      <c r="AJ345" s="174">
        <f t="shared" si="188"/>
        <v>0</v>
      </c>
      <c r="AK345" s="174">
        <f t="shared" si="168"/>
        <v>0</v>
      </c>
      <c r="AM345" s="174" t="str">
        <f t="shared" si="192"/>
        <v>0.109425829774043+0.454838045161514i</v>
      </c>
      <c r="AN345" s="174" t="str">
        <f t="shared" si="193"/>
        <v>0.472190351274i</v>
      </c>
      <c r="AO345" s="174" t="str">
        <f t="shared" si="194"/>
        <v>0.963251459785935-0.231740927104514i</v>
      </c>
      <c r="AP345" s="174" t="str">
        <f t="shared" si="195"/>
        <v>0.148429028370993-0.0758063408602523i</v>
      </c>
      <c r="AQ345" s="174" t="str">
        <f t="shared" si="196"/>
        <v>0.851570971629007+0.0758063408602523i</v>
      </c>
      <c r="AR345" s="174" t="str">
        <f t="shared" si="197"/>
        <v>0.970501409322662-0.0863934576113291i</v>
      </c>
    </row>
    <row r="346" spans="7:44" x14ac:dyDescent="0.2">
      <c r="G346" s="703">
        <v>26456</v>
      </c>
      <c r="H346" s="691">
        <f t="shared" si="189"/>
        <v>26.456</v>
      </c>
      <c r="I346" s="692">
        <f t="shared" si="169"/>
        <v>25.830870668629903</v>
      </c>
      <c r="J346" s="693">
        <f t="shared" si="170"/>
        <v>1.5320732822285201</v>
      </c>
      <c r="K346" s="693">
        <f t="shared" si="171"/>
        <v>1.0001021769228768</v>
      </c>
      <c r="L346" s="694">
        <f t="shared" si="172"/>
        <v>1.4294630007969013E-2</v>
      </c>
      <c r="M346" s="693">
        <f t="shared" si="173"/>
        <v>1.000569877002025</v>
      </c>
      <c r="N346" s="694">
        <f t="shared" si="174"/>
        <v>-3.3752229567919172E-2</v>
      </c>
      <c r="O346" s="692">
        <f t="shared" si="175"/>
        <v>47873.649695922555</v>
      </c>
      <c r="P346" s="695">
        <f t="shared" si="176"/>
        <v>1.570775438477285</v>
      </c>
      <c r="Q346" s="704">
        <f t="shared" si="198"/>
        <v>19.972404287471402</v>
      </c>
      <c r="R346" s="705">
        <f t="shared" si="199"/>
        <v>1.5207062987480318</v>
      </c>
      <c r="S346" s="692">
        <f t="shared" si="177"/>
        <v>1.0088034041052401</v>
      </c>
      <c r="T346" s="695">
        <f t="shared" si="178"/>
        <v>0.1322066738926298</v>
      </c>
      <c r="U346" s="696">
        <f t="shared" si="190"/>
        <v>0.96493200517633515</v>
      </c>
      <c r="V346" s="697">
        <f t="shared" si="191"/>
        <v>-0.32670673542872292</v>
      </c>
      <c r="W346" s="698">
        <f t="shared" si="179"/>
        <v>0.64769177396398203</v>
      </c>
      <c r="X346" s="699">
        <f t="shared" si="180"/>
        <v>-118.05872335200226</v>
      </c>
      <c r="Y346" s="702">
        <f t="shared" si="181"/>
        <v>61.941276647997739</v>
      </c>
      <c r="AA346" s="174">
        <f t="shared" si="182"/>
        <v>1000000000</v>
      </c>
      <c r="AB346" s="174">
        <f t="shared" si="183"/>
        <v>699919936</v>
      </c>
      <c r="AD346" s="701">
        <f t="shared" si="184"/>
        <v>27.538995106883092</v>
      </c>
      <c r="AE346" s="702">
        <f t="shared" si="185"/>
        <v>-10.443634839780684</v>
      </c>
      <c r="AG346" s="701">
        <f t="shared" si="186"/>
        <v>-0.88322883545182918</v>
      </c>
      <c r="AH346" s="702">
        <f t="shared" si="187"/>
        <v>-70.177254312316549</v>
      </c>
      <c r="AJ346" s="174">
        <f t="shared" si="188"/>
        <v>0</v>
      </c>
      <c r="AK346" s="174">
        <f t="shared" ref="AK346:AK409" si="200">IF(AJ346&gt;0,Y346,0)</f>
        <v>0</v>
      </c>
      <c r="AM346" s="174" t="str">
        <f t="shared" si="192"/>
        <v>0.110678468207255+0.457282421584087i</v>
      </c>
      <c r="AN346" s="174" t="str">
        <f t="shared" si="193"/>
        <v>0.474937000848i</v>
      </c>
      <c r="AO346" s="174" t="str">
        <f t="shared" si="194"/>
        <v>0.962827534531126-0.233038209298578i</v>
      </c>
      <c r="AP346" s="174" t="str">
        <f t="shared" si="195"/>
        <v>0.148220255298791-0.0762137369306812i</v>
      </c>
      <c r="AQ346" s="174" t="str">
        <f t="shared" si="196"/>
        <v>0.851779744701209+0.0762137369306812i</v>
      </c>
      <c r="AR346" s="174" t="str">
        <f t="shared" si="197"/>
        <v>0.97018511045094-0.0868081604921344i</v>
      </c>
    </row>
    <row r="347" spans="7:44" x14ac:dyDescent="0.2">
      <c r="G347" s="703">
        <v>26609</v>
      </c>
      <c r="H347" s="691">
        <f t="shared" si="189"/>
        <v>26.609000000000002</v>
      </c>
      <c r="I347" s="692">
        <f t="shared" si="169"/>
        <v>25.980032184750282</v>
      </c>
      <c r="J347" s="693">
        <f t="shared" si="170"/>
        <v>1.5322957165910764</v>
      </c>
      <c r="K347" s="693">
        <f t="shared" si="171"/>
        <v>1.0001033620955029</v>
      </c>
      <c r="L347" s="694">
        <f t="shared" si="172"/>
        <v>1.4377287170095628E-2</v>
      </c>
      <c r="M347" s="693">
        <f t="shared" si="173"/>
        <v>1.0005764855681203</v>
      </c>
      <c r="N347" s="694">
        <f t="shared" si="174"/>
        <v>-3.394727552984099E-2</v>
      </c>
      <c r="O347" s="692">
        <f t="shared" si="175"/>
        <v>48150.511972921711</v>
      </c>
      <c r="P347" s="695">
        <f t="shared" si="176"/>
        <v>1.5707755585837375</v>
      </c>
      <c r="Q347" s="704">
        <f t="shared" si="198"/>
        <v>20.087619711383923</v>
      </c>
      <c r="R347" s="705">
        <f t="shared" si="199"/>
        <v>1.5209938357393835</v>
      </c>
      <c r="S347" s="692">
        <f t="shared" si="177"/>
        <v>1.0089050713117811</v>
      </c>
      <c r="T347" s="695">
        <f t="shared" si="178"/>
        <v>0.132962295699417</v>
      </c>
      <c r="U347" s="696">
        <f t="shared" si="190"/>
        <v>0.96454963003216099</v>
      </c>
      <c r="V347" s="697">
        <f t="shared" si="191"/>
        <v>-0.32853187716755639</v>
      </c>
      <c r="W347" s="698">
        <f t="shared" si="179"/>
        <v>0.59330382132975223</v>
      </c>
      <c r="X347" s="699">
        <f t="shared" si="180"/>
        <v>-118.20930639088006</v>
      </c>
      <c r="Y347" s="702">
        <f t="shared" si="181"/>
        <v>61.790693609119941</v>
      </c>
      <c r="AA347" s="174">
        <f t="shared" si="182"/>
        <v>1000000000</v>
      </c>
      <c r="AB347" s="174">
        <f t="shared" si="183"/>
        <v>708038881</v>
      </c>
      <c r="AD347" s="701">
        <f t="shared" si="184"/>
        <v>27.537994941714707</v>
      </c>
      <c r="AE347" s="702">
        <f t="shared" si="185"/>
        <v>-10.470461005782775</v>
      </c>
      <c r="AG347" s="701">
        <f t="shared" si="186"/>
        <v>-0.92973131593053593</v>
      </c>
      <c r="AH347" s="702">
        <f t="shared" si="187"/>
        <v>-70.091865347656622</v>
      </c>
      <c r="AJ347" s="174">
        <f t="shared" si="188"/>
        <v>0</v>
      </c>
      <c r="AK347" s="174">
        <f t="shared" si="200"/>
        <v>0</v>
      </c>
      <c r="AM347" s="174" t="str">
        <f t="shared" si="192"/>
        <v>0.111937815752485+0.459723348231882i</v>
      </c>
      <c r="AN347" s="174" t="str">
        <f t="shared" si="193"/>
        <v>0.477683650422i</v>
      </c>
      <c r="AO347" s="174" t="str">
        <f t="shared" si="194"/>
        <v>0.96240126247936-0.234334618012561i</v>
      </c>
      <c r="AP347" s="174" t="str">
        <f t="shared" si="195"/>
        <v>0.148010364041253-0.076620558038647i</v>
      </c>
      <c r="AQ347" s="174" t="str">
        <f t="shared" si="196"/>
        <v>0.851989635958747+0.076620558038647i</v>
      </c>
      <c r="AR347" s="174" t="str">
        <f t="shared" si="197"/>
        <v>0.96986748135762-0.0872214690282407i</v>
      </c>
    </row>
    <row r="348" spans="7:44" x14ac:dyDescent="0.2">
      <c r="G348" s="703">
        <v>26762</v>
      </c>
      <c r="H348" s="691">
        <f t="shared" si="189"/>
        <v>26.762</v>
      </c>
      <c r="I348" s="692">
        <f t="shared" si="169"/>
        <v>26.129194971609977</v>
      </c>
      <c r="J348" s="693">
        <f t="shared" si="170"/>
        <v>1.5325156113584666</v>
      </c>
      <c r="K348" s="693">
        <f t="shared" si="171"/>
        <v>1.0001045541010252</v>
      </c>
      <c r="L348" s="694">
        <f t="shared" si="172"/>
        <v>1.4459944135751985E-2</v>
      </c>
      <c r="M348" s="693">
        <f t="shared" si="173"/>
        <v>1.0005831321985703</v>
      </c>
      <c r="N348" s="694">
        <f t="shared" si="174"/>
        <v>-3.414231890789695E-2</v>
      </c>
      <c r="O348" s="692">
        <f t="shared" si="175"/>
        <v>48427.374249921537</v>
      </c>
      <c r="P348" s="695">
        <f t="shared" si="176"/>
        <v>1.5707756773168779</v>
      </c>
      <c r="Q348" s="704">
        <f t="shared" si="198"/>
        <v>20.202836777148178</v>
      </c>
      <c r="R348" s="705">
        <f t="shared" si="199"/>
        <v>1.5212780930989034</v>
      </c>
      <c r="S348" s="692">
        <f t="shared" si="177"/>
        <v>1.0090073144508382</v>
      </c>
      <c r="T348" s="695">
        <f t="shared" si="178"/>
        <v>0.13371776480252123</v>
      </c>
      <c r="U348" s="696">
        <f t="shared" si="190"/>
        <v>0.96416548154244375</v>
      </c>
      <c r="V348" s="697">
        <f t="shared" si="191"/>
        <v>-0.33035596940583956</v>
      </c>
      <c r="W348" s="698">
        <f t="shared" si="179"/>
        <v>0.53918207969586807</v>
      </c>
      <c r="X348" s="699">
        <f t="shared" si="180"/>
        <v>-118.35986273403408</v>
      </c>
      <c r="Y348" s="702">
        <f t="shared" si="181"/>
        <v>61.640137265965919</v>
      </c>
      <c r="AA348" s="174">
        <f t="shared" si="182"/>
        <v>1000000000</v>
      </c>
      <c r="AB348" s="174">
        <f t="shared" si="183"/>
        <v>716204644</v>
      </c>
      <c r="AD348" s="701">
        <f t="shared" si="184"/>
        <v>27.536992038537772</v>
      </c>
      <c r="AE348" s="702">
        <f t="shared" si="185"/>
        <v>-10.49746625288585</v>
      </c>
      <c r="AG348" s="701">
        <f t="shared" si="186"/>
        <v>-0.97593016623493611</v>
      </c>
      <c r="AH348" s="702">
        <f t="shared" si="187"/>
        <v>-70.006390870076345</v>
      </c>
      <c r="AJ348" s="174">
        <f t="shared" si="188"/>
        <v>0</v>
      </c>
      <c r="AK348" s="174">
        <f t="shared" si="200"/>
        <v>0</v>
      </c>
      <c r="AM348" s="174" t="str">
        <f t="shared" si="192"/>
        <v>0.113203862909112+0.462160806690355i</v>
      </c>
      <c r="AN348" s="174" t="str">
        <f t="shared" si="193"/>
        <v>0.480430299996i</v>
      </c>
      <c r="AO348" s="174" t="str">
        <f t="shared" si="194"/>
        <v>0.961972645551712-0.235630148452449i</v>
      </c>
      <c r="AP348" s="174" t="str">
        <f t="shared" si="195"/>
        <v>0.147799356181815-0.0770268011150592i</v>
      </c>
      <c r="AQ348" s="174" t="str">
        <f t="shared" si="196"/>
        <v>0.852200643818185+0.0770268011150592i</v>
      </c>
      <c r="AR348" s="174" t="str">
        <f t="shared" si="197"/>
        <v>0.969548529633269-0.0876333787180205i</v>
      </c>
    </row>
    <row r="349" spans="7:44" x14ac:dyDescent="0.2">
      <c r="G349" s="703">
        <v>26915</v>
      </c>
      <c r="H349" s="691">
        <f t="shared" si="189"/>
        <v>26.914999999999999</v>
      </c>
      <c r="I349" s="692">
        <f t="shared" si="169"/>
        <v>26.278359007569851</v>
      </c>
      <c r="J349" s="693">
        <f t="shared" si="170"/>
        <v>1.5327330097558081</v>
      </c>
      <c r="K349" s="693">
        <f t="shared" si="171"/>
        <v>1.0001057529394197</v>
      </c>
      <c r="L349" s="694">
        <f t="shared" si="172"/>
        <v>1.4542600903809336E-2</v>
      </c>
      <c r="M349" s="693">
        <f t="shared" si="173"/>
        <v>1.0005898168926166</v>
      </c>
      <c r="N349" s="694">
        <f t="shared" si="174"/>
        <v>-3.4337359687299049E-2</v>
      </c>
      <c r="O349" s="692">
        <f t="shared" si="175"/>
        <v>48704.236526922054</v>
      </c>
      <c r="P349" s="695">
        <f t="shared" si="176"/>
        <v>1.5707757947001266</v>
      </c>
      <c r="Q349" s="704">
        <f t="shared" si="198"/>
        <v>20.318055456832941</v>
      </c>
      <c r="R349" s="705">
        <f t="shared" si="199"/>
        <v>1.5215591265742079</v>
      </c>
      <c r="S349" s="692">
        <f t="shared" si="177"/>
        <v>1.0091101333473509</v>
      </c>
      <c r="T349" s="695">
        <f t="shared" si="178"/>
        <v>0.1344730803861468</v>
      </c>
      <c r="U349" s="696">
        <f t="shared" si="190"/>
        <v>0.96377956631822204</v>
      </c>
      <c r="V349" s="697">
        <f t="shared" si="191"/>
        <v>-0.3321790077950022</v>
      </c>
      <c r="W349" s="698">
        <f t="shared" si="179"/>
        <v>0.48532329781853656</v>
      </c>
      <c r="X349" s="699">
        <f t="shared" si="180"/>
        <v>-118.51039136864091</v>
      </c>
      <c r="Y349" s="702">
        <f t="shared" si="181"/>
        <v>61.48960863135909</v>
      </c>
      <c r="AA349" s="174">
        <f t="shared" si="182"/>
        <v>1000000000</v>
      </c>
      <c r="AB349" s="174">
        <f t="shared" si="183"/>
        <v>724417225</v>
      </c>
      <c r="AD349" s="701">
        <f t="shared" si="184"/>
        <v>27.535986352115103</v>
      </c>
      <c r="AE349" s="702">
        <f t="shared" si="185"/>
        <v>-10.524647341587006</v>
      </c>
      <c r="AG349" s="701">
        <f t="shared" si="186"/>
        <v>-1.0218286711617663</v>
      </c>
      <c r="AH349" s="702">
        <f t="shared" si="187"/>
        <v>-69.920833604564606</v>
      </c>
      <c r="AJ349" s="174">
        <f t="shared" si="188"/>
        <v>0</v>
      </c>
      <c r="AK349" s="174">
        <f t="shared" si="200"/>
        <v>0</v>
      </c>
      <c r="AM349" s="174" t="str">
        <f t="shared" si="192"/>
        <v>0.114476600125979+0.464594778571127i</v>
      </c>
      <c r="AN349" s="174" t="str">
        <f t="shared" si="193"/>
        <v>0.48317694957i</v>
      </c>
      <c r="AO349" s="174" t="str">
        <f t="shared" si="194"/>
        <v>0.961541685679729-0.236924795828643i</v>
      </c>
      <c r="AP349" s="174" t="str">
        <f t="shared" si="195"/>
        <v>0.147587233312337-0.0774324630951878i</v>
      </c>
      <c r="AQ349" s="174" t="str">
        <f t="shared" si="196"/>
        <v>0.852412766687663+0.0774324630951878i</v>
      </c>
      <c r="AR349" s="174" t="str">
        <f t="shared" si="197"/>
        <v>0.969228262882408-0.0880438851098935i</v>
      </c>
    </row>
    <row r="350" spans="7:44" x14ac:dyDescent="0.2">
      <c r="G350" s="703">
        <v>27071.75</v>
      </c>
      <c r="H350" s="691">
        <f t="shared" si="189"/>
        <v>27.071750000000002</v>
      </c>
      <c r="I350" s="692">
        <f t="shared" si="169"/>
        <v>26.431180298090556</v>
      </c>
      <c r="J350" s="693">
        <f t="shared" si="170"/>
        <v>1.5329531918151051</v>
      </c>
      <c r="K350" s="693">
        <f t="shared" si="171"/>
        <v>1.0001069882472151</v>
      </c>
      <c r="L350" s="694">
        <f t="shared" si="172"/>
        <v>1.46272833669414E-2</v>
      </c>
      <c r="M350" s="693">
        <f t="shared" si="173"/>
        <v>1.000596704900832</v>
      </c>
      <c r="N350" s="694">
        <f t="shared" si="174"/>
        <v>-3.4537178167527667E-2</v>
      </c>
      <c r="O350" s="692">
        <f t="shared" si="175"/>
        <v>48987.884644045807</v>
      </c>
      <c r="P350" s="695">
        <f t="shared" si="176"/>
        <v>1.5707759135844195</v>
      </c>
      <c r="Q350" s="704">
        <f t="shared" si="198"/>
        <v>20.436099768964546</v>
      </c>
      <c r="R350" s="705">
        <f t="shared" si="199"/>
        <v>1.5218437617130425</v>
      </c>
      <c r="S350" s="692">
        <f t="shared" si="177"/>
        <v>1.0092160692288088</v>
      </c>
      <c r="T350" s="695">
        <f t="shared" si="178"/>
        <v>0.13524674854507757</v>
      </c>
      <c r="U350" s="696">
        <f t="shared" si="190"/>
        <v>0.96338236709806602</v>
      </c>
      <c r="V350" s="697">
        <f t="shared" si="191"/>
        <v>-0.33404563106731194</v>
      </c>
      <c r="W350" s="698">
        <f t="shared" si="179"/>
        <v>0.43041381412072865</v>
      </c>
      <c r="X350" s="699">
        <f t="shared" si="180"/>
        <v>-118.66457965449541</v>
      </c>
      <c r="Y350" s="702">
        <f t="shared" si="181"/>
        <v>61.335420345504588</v>
      </c>
      <c r="AA350" s="174">
        <f t="shared" si="182"/>
        <v>1000000000</v>
      </c>
      <c r="AB350" s="174">
        <f t="shared" si="183"/>
        <v>732879648.0625</v>
      </c>
      <c r="AD350" s="701">
        <f t="shared" si="184"/>
        <v>27.534953084253463</v>
      </c>
      <c r="AE350" s="702">
        <f t="shared" si="185"/>
        <v>-10.552673681281307</v>
      </c>
      <c r="AG350" s="701">
        <f t="shared" si="186"/>
        <v>-1.0685440385406615</v>
      </c>
      <c r="AH350" s="702">
        <f t="shared" si="187"/>
        <v>-69.833096279591913</v>
      </c>
      <c r="AJ350" s="174">
        <f t="shared" si="188"/>
        <v>0</v>
      </c>
      <c r="AK350" s="174">
        <f t="shared" si="200"/>
        <v>0</v>
      </c>
      <c r="AM350" s="174" t="str">
        <f t="shared" si="192"/>
        <v>0.115787459871082+0.46708477161942i</v>
      </c>
      <c r="AN350" s="174" t="str">
        <f t="shared" si="193"/>
        <v>0.4859909189865i</v>
      </c>
      <c r="AO350" s="174" t="str">
        <f t="shared" si="194"/>
        <v>0.961097735310554-0.238250253960606i</v>
      </c>
      <c r="AP350" s="174" t="str">
        <f t="shared" si="195"/>
        <v>0.147368756688153-0.07784746193657i</v>
      </c>
      <c r="AQ350" s="174" t="str">
        <f t="shared" si="196"/>
        <v>0.852631243311847+0.07784746193657i</v>
      </c>
      <c r="AR350" s="174" t="str">
        <f t="shared" si="197"/>
        <v>0.96889879065331-0.0884629930200497i</v>
      </c>
    </row>
    <row r="351" spans="7:44" x14ac:dyDescent="0.2">
      <c r="G351" s="703">
        <v>27228.5</v>
      </c>
      <c r="H351" s="691">
        <f t="shared" si="189"/>
        <v>27.2285</v>
      </c>
      <c r="I351" s="692">
        <f t="shared" si="169"/>
        <v>26.584002855266103</v>
      </c>
      <c r="J351" s="693">
        <f t="shared" si="170"/>
        <v>1.5331708423785537</v>
      </c>
      <c r="K351" s="693">
        <f t="shared" si="171"/>
        <v>1.0001082307268798</v>
      </c>
      <c r="L351" s="694">
        <f t="shared" si="172"/>
        <v>1.4711965620271026E-2</v>
      </c>
      <c r="M351" s="693">
        <f t="shared" si="173"/>
        <v>1.0006036328597461</v>
      </c>
      <c r="N351" s="694">
        <f t="shared" si="174"/>
        <v>-3.4736993888736127E-2</v>
      </c>
      <c r="O351" s="692">
        <f t="shared" si="175"/>
        <v>49271.532761170252</v>
      </c>
      <c r="P351" s="695">
        <f t="shared" si="176"/>
        <v>1.5707760310999177</v>
      </c>
      <c r="Q351" s="704">
        <f t="shared" si="198"/>
        <v>20.554145717753503</v>
      </c>
      <c r="R351" s="705">
        <f t="shared" si="199"/>
        <v>1.5221251274585927</v>
      </c>
      <c r="S351" s="692">
        <f t="shared" si="177"/>
        <v>1.0093226090620635</v>
      </c>
      <c r="T351" s="695">
        <f t="shared" si="178"/>
        <v>0.13602025383662938</v>
      </c>
      <c r="U351" s="696">
        <f t="shared" si="190"/>
        <v>0.96298332757766103</v>
      </c>
      <c r="V351" s="697">
        <f t="shared" si="191"/>
        <v>-0.33591113903837533</v>
      </c>
      <c r="W351" s="698">
        <f t="shared" si="179"/>
        <v>0.37577360949853178</v>
      </c>
      <c r="X351" s="699">
        <f t="shared" si="180"/>
        <v>-118.81873676060538</v>
      </c>
      <c r="Y351" s="702">
        <f t="shared" si="181"/>
        <v>61.181263239394625</v>
      </c>
      <c r="AA351" s="174">
        <f t="shared" si="182"/>
        <v>1000000000</v>
      </c>
      <c r="AB351" s="174">
        <f t="shared" si="183"/>
        <v>741391212.25</v>
      </c>
      <c r="AD351" s="701">
        <f t="shared" si="184"/>
        <v>27.533916803274856</v>
      </c>
      <c r="AE351" s="702">
        <f t="shared" si="185"/>
        <v>-10.580877933372987</v>
      </c>
      <c r="AG351" s="701">
        <f t="shared" si="186"/>
        <v>-1.1149509625810747</v>
      </c>
      <c r="AH351" s="702">
        <f t="shared" si="187"/>
        <v>-69.74527766658602</v>
      </c>
      <c r="AJ351" s="174">
        <f t="shared" si="188"/>
        <v>0</v>
      </c>
      <c r="AK351" s="174">
        <f t="shared" si="200"/>
        <v>0</v>
      </c>
      <c r="AM351" s="174" t="str">
        <f t="shared" si="192"/>
        <v>0.117105321181254+0.469571066094946i</v>
      </c>
      <c r="AN351" s="174" t="str">
        <f t="shared" si="193"/>
        <v>0.488804888403i</v>
      </c>
      <c r="AO351" s="174" t="str">
        <f t="shared" si="194"/>
        <v>0.960651329877461-0.239574775047473i</v>
      </c>
      <c r="AP351" s="174" t="str">
        <f t="shared" si="195"/>
        <v>0.147149113136458-0.0782618443491577i</v>
      </c>
      <c r="AQ351" s="174" t="str">
        <f t="shared" si="196"/>
        <v>0.852850886863542+0.0782618443491577i</v>
      </c>
      <c r="AR351" s="174" t="str">
        <f t="shared" si="197"/>
        <v>0.968567954348242-0.0888806187017692i</v>
      </c>
    </row>
    <row r="352" spans="7:44" x14ac:dyDescent="0.2">
      <c r="G352" s="703">
        <v>27385.25</v>
      </c>
      <c r="H352" s="691">
        <f t="shared" si="189"/>
        <v>27.385249999999999</v>
      </c>
      <c r="I352" s="692">
        <f t="shared" si="169"/>
        <v>26.736826657376643</v>
      </c>
      <c r="J352" s="693">
        <f t="shared" si="170"/>
        <v>1.5333860048343371</v>
      </c>
      <c r="K352" s="693">
        <f t="shared" si="171"/>
        <v>1.0001094803783868</v>
      </c>
      <c r="L352" s="694">
        <f t="shared" si="172"/>
        <v>1.479664766258447E-2</v>
      </c>
      <c r="M352" s="693">
        <f t="shared" si="173"/>
        <v>1.0006106007685294</v>
      </c>
      <c r="N352" s="694">
        <f t="shared" si="174"/>
        <v>-3.4936806835026084E-2</v>
      </c>
      <c r="O352" s="692">
        <f t="shared" si="175"/>
        <v>49555.180878295367</v>
      </c>
      <c r="P352" s="695">
        <f t="shared" si="176"/>
        <v>1.5707761472701256</v>
      </c>
      <c r="Q352" s="704">
        <f t="shared" si="198"/>
        <v>20.672193275162037</v>
      </c>
      <c r="R352" s="705">
        <f t="shared" si="199"/>
        <v>1.5224032797750582</v>
      </c>
      <c r="S352" s="692">
        <f t="shared" si="177"/>
        <v>1.0094297526558833</v>
      </c>
      <c r="T352" s="695">
        <f t="shared" si="178"/>
        <v>0.13679359538692629</v>
      </c>
      <c r="U352" s="696">
        <f t="shared" si="190"/>
        <v>0.96258245491828709</v>
      </c>
      <c r="V352" s="697">
        <f t="shared" si="191"/>
        <v>-0.33777552711407383</v>
      </c>
      <c r="W352" s="698">
        <f t="shared" si="179"/>
        <v>0.32139936758437188</v>
      </c>
      <c r="X352" s="699">
        <f t="shared" si="180"/>
        <v>-118.97286165363045</v>
      </c>
      <c r="Y352" s="702">
        <f t="shared" si="181"/>
        <v>61.027138346369554</v>
      </c>
      <c r="AA352" s="174">
        <f t="shared" si="182"/>
        <v>1000000000</v>
      </c>
      <c r="AB352" s="174">
        <f t="shared" si="183"/>
        <v>749951917.5625</v>
      </c>
      <c r="AD352" s="701">
        <f t="shared" si="184"/>
        <v>27.532877464861699</v>
      </c>
      <c r="AE352" s="702">
        <f t="shared" si="185"/>
        <v>-10.6092568426269</v>
      </c>
      <c r="AG352" s="701">
        <f t="shared" si="186"/>
        <v>-1.1610528008496317</v>
      </c>
      <c r="AH352" s="702">
        <f t="shared" si="187"/>
        <v>-69.657380513888981</v>
      </c>
      <c r="AJ352" s="174">
        <f t="shared" si="188"/>
        <v>0</v>
      </c>
      <c r="AK352" s="174">
        <f t="shared" si="200"/>
        <v>0</v>
      </c>
      <c r="AM352" s="174" t="str">
        <f t="shared" si="192"/>
        <v>0.11843017362112+0.472053642310183i</v>
      </c>
      <c r="AN352" s="174" t="str">
        <f t="shared" si="193"/>
        <v>0.4916188578195i</v>
      </c>
      <c r="AO352" s="174" t="str">
        <f t="shared" si="194"/>
        <v>0.960202471491644-0.240898353953302i</v>
      </c>
      <c r="AP352" s="174" t="str">
        <f t="shared" si="195"/>
        <v>0.14692830439648-0.0786756070516972i</v>
      </c>
      <c r="AQ352" s="174" t="str">
        <f t="shared" si="196"/>
        <v>0.85307169560352+0.0786756070516972i</v>
      </c>
      <c r="AR352" s="174" t="str">
        <f t="shared" si="197"/>
        <v>0.96823576218774-0.0892967575314883i</v>
      </c>
    </row>
    <row r="353" spans="7:44" x14ac:dyDescent="0.2">
      <c r="G353" s="703">
        <v>27542</v>
      </c>
      <c r="H353" s="691">
        <f t="shared" si="189"/>
        <v>27.542000000000002</v>
      </c>
      <c r="I353" s="692">
        <f t="shared" si="169"/>
        <v>26.88965168319589</v>
      </c>
      <c r="J353" s="693">
        <f t="shared" si="170"/>
        <v>1.5335987215852003</v>
      </c>
      <c r="K353" s="693">
        <f t="shared" si="171"/>
        <v>1.0001107372017091</v>
      </c>
      <c r="L353" s="694">
        <f t="shared" si="172"/>
        <v>1.4881329492668006E-2</v>
      </c>
      <c r="M353" s="693">
        <f t="shared" si="173"/>
        <v>1.0006176086263472</v>
      </c>
      <c r="N353" s="694">
        <f t="shared" si="174"/>
        <v>-3.5136616990500545E-2</v>
      </c>
      <c r="O353" s="692">
        <f t="shared" si="175"/>
        <v>49838.828995421136</v>
      </c>
      <c r="P353" s="695">
        <f t="shared" si="176"/>
        <v>1.5707762621180126</v>
      </c>
      <c r="Q353" s="704">
        <f t="shared" si="198"/>
        <v>20.790242413788796</v>
      </c>
      <c r="R353" s="705">
        <f t="shared" si="199"/>
        <v>1.5226782733575721</v>
      </c>
      <c r="S353" s="692">
        <f t="shared" si="177"/>
        <v>1.0095374998180351</v>
      </c>
      <c r="T353" s="695">
        <f t="shared" si="178"/>
        <v>0.13756677232324543</v>
      </c>
      <c r="U353" s="696">
        <f t="shared" si="190"/>
        <v>0.96217975629816654</v>
      </c>
      <c r="V353" s="697">
        <f t="shared" si="191"/>
        <v>-0.33963879072807146</v>
      </c>
      <c r="W353" s="698">
        <f t="shared" si="179"/>
        <v>0.26728782994359856</v>
      </c>
      <c r="X353" s="699">
        <f t="shared" si="180"/>
        <v>-119.12695331810833</v>
      </c>
      <c r="Y353" s="702">
        <f t="shared" si="181"/>
        <v>60.873046681891665</v>
      </c>
      <c r="AA353" s="174">
        <f t="shared" si="182"/>
        <v>1000000000</v>
      </c>
      <c r="AB353" s="174">
        <f t="shared" si="183"/>
        <v>758561764</v>
      </c>
      <c r="AD353" s="701">
        <f t="shared" si="184"/>
        <v>27.531835026060165</v>
      </c>
      <c r="AE353" s="702">
        <f t="shared" si="185"/>
        <v>-10.637807226555442</v>
      </c>
      <c r="AG353" s="701">
        <f t="shared" si="186"/>
        <v>-1.2068528546038806</v>
      </c>
      <c r="AH353" s="702">
        <f t="shared" si="187"/>
        <v>-69.569407511789606</v>
      </c>
      <c r="AJ353" s="174">
        <f t="shared" si="188"/>
        <v>0</v>
      </c>
      <c r="AK353" s="174">
        <f t="shared" si="200"/>
        <v>0</v>
      </c>
      <c r="AM353" s="174" t="str">
        <f t="shared" si="192"/>
        <v>0.119762006699941+0.474532480607055i</v>
      </c>
      <c r="AN353" s="174" t="str">
        <f t="shared" si="193"/>
        <v>0.494432827236i</v>
      </c>
      <c r="AO353" s="174" t="str">
        <f t="shared" si="194"/>
        <v>0.959751162275788-0.242220985547096i</v>
      </c>
      <c r="AP353" s="174" t="str">
        <f t="shared" si="195"/>
        <v>0.146706332216677-0.0790887467678425i</v>
      </c>
      <c r="AQ353" s="174" t="str">
        <f t="shared" si="196"/>
        <v>0.853293667783323+0.0790887467678425i</v>
      </c>
      <c r="AR353" s="174" t="str">
        <f t="shared" si="197"/>
        <v>0.967902222406008-0.0897114049407655i</v>
      </c>
    </row>
    <row r="354" spans="7:44" x14ac:dyDescent="0.2">
      <c r="G354" s="703">
        <v>27702.5</v>
      </c>
      <c r="H354" s="691">
        <f t="shared" si="189"/>
        <v>27.702500000000001</v>
      </c>
      <c r="I354" s="692">
        <f t="shared" si="169"/>
        <v>27.046134056417628</v>
      </c>
      <c r="J354" s="693">
        <f t="shared" si="170"/>
        <v>1.5338140363650703</v>
      </c>
      <c r="K354" s="693">
        <f t="shared" si="171"/>
        <v>1.0001120315237761</v>
      </c>
      <c r="L354" s="694">
        <f t="shared" si="172"/>
        <v>1.4968036982679841E-2</v>
      </c>
      <c r="M354" s="693">
        <f t="shared" si="173"/>
        <v>1.0006248255294337</v>
      </c>
      <c r="N354" s="694">
        <f t="shared" si="174"/>
        <v>-3.5341204384870151E-2</v>
      </c>
      <c r="O354" s="692">
        <f t="shared" si="175"/>
        <v>50129.262952670215</v>
      </c>
      <c r="P354" s="695">
        <f t="shared" si="176"/>
        <v>1.5707763783667497</v>
      </c>
      <c r="Q354" s="704">
        <f t="shared" si="198"/>
        <v>20.911117304931775</v>
      </c>
      <c r="R354" s="705">
        <f t="shared" si="199"/>
        <v>1.5229566285741709</v>
      </c>
      <c r="S354" s="692">
        <f t="shared" si="177"/>
        <v>1.0096484498618674</v>
      </c>
      <c r="T354" s="695">
        <f t="shared" si="178"/>
        <v>0.13835827483688867</v>
      </c>
      <c r="U354" s="696">
        <f t="shared" si="190"/>
        <v>0.9617655392462211</v>
      </c>
      <c r="V354" s="697">
        <f t="shared" si="191"/>
        <v>-0.34154546015165377</v>
      </c>
      <c r="W354" s="698">
        <f t="shared" si="179"/>
        <v>0.21215062080211772</v>
      </c>
      <c r="X354" s="699">
        <f t="shared" si="180"/>
        <v>-119.2846959133001</v>
      </c>
      <c r="Y354" s="702">
        <f t="shared" si="181"/>
        <v>60.715304086699902</v>
      </c>
      <c r="AA354" s="174">
        <f t="shared" si="182"/>
        <v>1000000000</v>
      </c>
      <c r="AB354" s="174">
        <f t="shared" si="183"/>
        <v>767428506.25</v>
      </c>
      <c r="AD354" s="701">
        <f t="shared" si="184"/>
        <v>27.530764392520112</v>
      </c>
      <c r="AE354" s="702">
        <f t="shared" si="185"/>
        <v>-10.667215061540251</v>
      </c>
      <c r="AG354" s="701">
        <f t="shared" si="186"/>
        <v>-1.2534392930863922</v>
      </c>
      <c r="AH354" s="702">
        <f t="shared" si="187"/>
        <v>-69.479254049951123</v>
      </c>
      <c r="AJ354" s="174">
        <f t="shared" si="188"/>
        <v>0</v>
      </c>
      <c r="AK354" s="174">
        <f t="shared" si="200"/>
        <v>0</v>
      </c>
      <c r="AM354" s="174" t="str">
        <f t="shared" si="192"/>
        <v>0.121132923937152+0.477066727631199i</v>
      </c>
      <c r="AN354" s="174" t="str">
        <f t="shared" si="193"/>
        <v>0.497314116495i</v>
      </c>
      <c r="AO354" s="174" t="str">
        <f t="shared" si="194"/>
        <v>0.959286518937967-0.243574272113729i</v>
      </c>
      <c r="AP354" s="174" t="str">
        <f t="shared" si="195"/>
        <v>0.146477846010475-0.0795111212718665i</v>
      </c>
      <c r="AQ354" s="174" t="str">
        <f t="shared" si="196"/>
        <v>0.853522153989525+0.0795111212718665i</v>
      </c>
      <c r="AR354" s="174" t="str">
        <f t="shared" si="197"/>
        <v>0.967559315451166-0.0901344220638776i</v>
      </c>
    </row>
    <row r="355" spans="7:44" x14ac:dyDescent="0.2">
      <c r="G355" s="703">
        <v>27863</v>
      </c>
      <c r="H355" s="691">
        <f t="shared" si="189"/>
        <v>27.863</v>
      </c>
      <c r="I355" s="692">
        <f t="shared" si="169"/>
        <v>27.202617669084674</v>
      </c>
      <c r="J355" s="693">
        <f t="shared" si="170"/>
        <v>1.5340268739493925</v>
      </c>
      <c r="K355" s="693">
        <f t="shared" si="171"/>
        <v>1.0001133333648551</v>
      </c>
      <c r="L355" s="694">
        <f t="shared" si="172"/>
        <v>1.5054744247610392E-2</v>
      </c>
      <c r="M355" s="693">
        <f t="shared" si="173"/>
        <v>1.0006320843140697</v>
      </c>
      <c r="N355" s="694">
        <f t="shared" si="174"/>
        <v>-3.5545788819567249E-2</v>
      </c>
      <c r="O355" s="692">
        <f t="shared" si="175"/>
        <v>50419.696909919963</v>
      </c>
      <c r="P355" s="695">
        <f t="shared" si="176"/>
        <v>1.5707764932762254</v>
      </c>
      <c r="Q355" s="704">
        <f t="shared" si="198"/>
        <v>21.031993797678549</v>
      </c>
      <c r="R355" s="705">
        <f t="shared" si="199"/>
        <v>1.52323178424815</v>
      </c>
      <c r="S355" s="692">
        <f t="shared" si="177"/>
        <v>1.0097600322872227</v>
      </c>
      <c r="T355" s="695">
        <f t="shared" si="178"/>
        <v>0.139149602917954</v>
      </c>
      <c r="U355" s="696">
        <f t="shared" si="190"/>
        <v>0.96134942310657445</v>
      </c>
      <c r="V355" s="697">
        <f t="shared" si="191"/>
        <v>-0.34345094106807089</v>
      </c>
      <c r="W355" s="698">
        <f t="shared" si="179"/>
        <v>0.15728210218799399</v>
      </c>
      <c r="X355" s="699">
        <f t="shared" si="180"/>
        <v>-119.44240157182088</v>
      </c>
      <c r="Y355" s="702">
        <f t="shared" si="181"/>
        <v>60.557598428179119</v>
      </c>
      <c r="AA355" s="174">
        <f t="shared" si="182"/>
        <v>1000000000</v>
      </c>
      <c r="AB355" s="174">
        <f t="shared" si="183"/>
        <v>776346769</v>
      </c>
      <c r="AD355" s="701">
        <f t="shared" si="184"/>
        <v>27.529690421515205</v>
      </c>
      <c r="AE355" s="702">
        <f t="shared" si="185"/>
        <v>-10.696796145829181</v>
      </c>
      <c r="AG355" s="701">
        <f t="shared" si="186"/>
        <v>-1.2997161644406776</v>
      </c>
      <c r="AH355" s="702">
        <f t="shared" si="187"/>
        <v>-69.389026595026607</v>
      </c>
      <c r="AJ355" s="174">
        <f t="shared" si="188"/>
        <v>0</v>
      </c>
      <c r="AK355" s="174">
        <f t="shared" si="200"/>
        <v>0</v>
      </c>
      <c r="AM355" s="174" t="str">
        <f t="shared" si="192"/>
        <v>0.122511137372436+0.479597014132265i</v>
      </c>
      <c r="AN355" s="174" t="str">
        <f t="shared" si="193"/>
        <v>0.500195405754i</v>
      </c>
      <c r="AO355" s="174" t="str">
        <f t="shared" si="194"/>
        <v>0.958819310643838-0.244926554628708i</v>
      </c>
      <c r="AP355" s="174" t="str">
        <f t="shared" si="195"/>
        <v>0.146248143771261-0.0799328356887108i</v>
      </c>
      <c r="AQ355" s="174" t="str">
        <f t="shared" si="196"/>
        <v>0.853751856228739+0.0799328356887108i</v>
      </c>
      <c r="AR355" s="174" t="str">
        <f t="shared" si="197"/>
        <v>0.967215013138705-0.0905558660362745i</v>
      </c>
    </row>
    <row r="356" spans="7:44" x14ac:dyDescent="0.2">
      <c r="G356" s="703">
        <v>28023.5</v>
      </c>
      <c r="H356" s="691">
        <f t="shared" si="189"/>
        <v>28.023499999999999</v>
      </c>
      <c r="I356" s="692">
        <f t="shared" si="169"/>
        <v>27.359102499929573</v>
      </c>
      <c r="J356" s="693">
        <f t="shared" si="170"/>
        <v>1.5342372768248833</v>
      </c>
      <c r="K356" s="693">
        <f t="shared" si="171"/>
        <v>1.0001146427249161</v>
      </c>
      <c r="L356" s="694">
        <f t="shared" si="172"/>
        <v>1.5141451286156788E-2</v>
      </c>
      <c r="M356" s="693">
        <f t="shared" si="173"/>
        <v>1.0006393849793436</v>
      </c>
      <c r="N356" s="694">
        <f t="shared" si="174"/>
        <v>-3.5750370277530759E-2</v>
      </c>
      <c r="O356" s="692">
        <f t="shared" si="175"/>
        <v>50710.130867170366</v>
      </c>
      <c r="P356" s="695">
        <f t="shared" si="176"/>
        <v>1.5707766068694504</v>
      </c>
      <c r="Q356" s="704">
        <f t="shared" si="198"/>
        <v>21.15287186457239</v>
      </c>
      <c r="R356" s="705">
        <f t="shared" si="199"/>
        <v>1.5235037951888337</v>
      </c>
      <c r="S356" s="692">
        <f t="shared" si="177"/>
        <v>1.0098722468844819</v>
      </c>
      <c r="T356" s="695">
        <f t="shared" si="178"/>
        <v>0.13994075563336691</v>
      </c>
      <c r="U356" s="696">
        <f t="shared" si="190"/>
        <v>0.96093141563813433</v>
      </c>
      <c r="V356" s="697">
        <f t="shared" si="191"/>
        <v>-0.34535522866622925</v>
      </c>
      <c r="W356" s="698">
        <f t="shared" si="179"/>
        <v>0.10267895645355747</v>
      </c>
      <c r="X356" s="699">
        <f t="shared" si="180"/>
        <v>-119.60006925893609</v>
      </c>
      <c r="Y356" s="702">
        <f t="shared" si="181"/>
        <v>60.399930741063912</v>
      </c>
      <c r="AA356" s="174">
        <f t="shared" si="182"/>
        <v>1000000000</v>
      </c>
      <c r="AB356" s="174">
        <f t="shared" si="183"/>
        <v>785316552.25</v>
      </c>
      <c r="AD356" s="701">
        <f t="shared" si="184"/>
        <v>27.528613071087147</v>
      </c>
      <c r="AE356" s="702">
        <f t="shared" si="185"/>
        <v>-10.726547286936469</v>
      </c>
      <c r="AG356" s="701">
        <f t="shared" si="186"/>
        <v>-1.3456868372637931</v>
      </c>
      <c r="AH356" s="702">
        <f t="shared" si="187"/>
        <v>-69.298727856078031</v>
      </c>
      <c r="AJ356" s="174">
        <f t="shared" si="188"/>
        <v>0</v>
      </c>
      <c r="AK356" s="174">
        <f t="shared" si="200"/>
        <v>0</v>
      </c>
      <c r="AM356" s="174" t="str">
        <f t="shared" si="192"/>
        <v>0.123896635564108+0.482123319104262i</v>
      </c>
      <c r="AN356" s="174" t="str">
        <f t="shared" si="193"/>
        <v>0.503076695013i</v>
      </c>
      <c r="AO356" s="174" t="str">
        <f t="shared" si="194"/>
        <v>0.958349539709454-0.246277827600236i</v>
      </c>
      <c r="AP356" s="174" t="str">
        <f t="shared" si="195"/>
        <v>0.146017227405982-0.080353886517377i</v>
      </c>
      <c r="AQ356" s="174" t="str">
        <f t="shared" si="196"/>
        <v>0.853982772594018+0.080353886517377i</v>
      </c>
      <c r="AR356" s="174" t="str">
        <f t="shared" si="197"/>
        <v>0.966869324349778-0.0909757321332635i</v>
      </c>
    </row>
    <row r="357" spans="7:44" x14ac:dyDescent="0.2">
      <c r="G357" s="703">
        <v>28184</v>
      </c>
      <c r="H357" s="691">
        <f t="shared" si="189"/>
        <v>28.184000000000001</v>
      </c>
      <c r="I357" s="692">
        <f t="shared" si="169"/>
        <v>27.515588528168493</v>
      </c>
      <c r="J357" s="693">
        <f t="shared" si="170"/>
        <v>1.534445286512615</v>
      </c>
      <c r="K357" s="693">
        <f t="shared" si="171"/>
        <v>1.00011595960393</v>
      </c>
      <c r="L357" s="694">
        <f t="shared" si="172"/>
        <v>1.5228158097016173E-2</v>
      </c>
      <c r="M357" s="693">
        <f t="shared" si="173"/>
        <v>1.0006467275243389</v>
      </c>
      <c r="N357" s="694">
        <f t="shared" si="174"/>
        <v>-3.5954948741701076E-2</v>
      </c>
      <c r="O357" s="692">
        <f t="shared" si="175"/>
        <v>51000.564824421417</v>
      </c>
      <c r="P357" s="695">
        <f t="shared" si="176"/>
        <v>1.5707767191689124</v>
      </c>
      <c r="Q357" s="704">
        <f t="shared" si="198"/>
        <v>21.273751478780248</v>
      </c>
      <c r="R357" s="705">
        <f t="shared" si="199"/>
        <v>1.5237727149617037</v>
      </c>
      <c r="S357" s="692">
        <f t="shared" si="177"/>
        <v>1.0099850934429324</v>
      </c>
      <c r="T357" s="695">
        <f t="shared" si="178"/>
        <v>0.14073173205134462</v>
      </c>
      <c r="U357" s="696">
        <f t="shared" si="190"/>
        <v>0.96051152461700551</v>
      </c>
      <c r="V357" s="697">
        <f t="shared" si="191"/>
        <v>-0.34725831816578273</v>
      </c>
      <c r="W357" s="698">
        <f t="shared" si="179"/>
        <v>4.8337924007621359E-2</v>
      </c>
      <c r="X357" s="699">
        <f t="shared" si="180"/>
        <v>-119.75769795765676</v>
      </c>
      <c r="Y357" s="702">
        <f t="shared" si="181"/>
        <v>60.24230204234324</v>
      </c>
      <c r="AA357" s="174">
        <f t="shared" si="182"/>
        <v>1000000000</v>
      </c>
      <c r="AB357" s="174">
        <f t="shared" si="183"/>
        <v>794337856</v>
      </c>
      <c r="AD357" s="701">
        <f t="shared" si="184"/>
        <v>27.527532300585804</v>
      </c>
      <c r="AE357" s="702">
        <f t="shared" si="185"/>
        <v>-10.756465363687292</v>
      </c>
      <c r="AG357" s="701">
        <f t="shared" si="186"/>
        <v>-1.3913546236761996</v>
      </c>
      <c r="AH357" s="702">
        <f t="shared" si="187"/>
        <v>-69.208360485078501</v>
      </c>
      <c r="AJ357" s="174">
        <f t="shared" si="188"/>
        <v>28184</v>
      </c>
      <c r="AK357" s="174">
        <f t="shared" si="200"/>
        <v>60.24230204234324</v>
      </c>
      <c r="AM357" s="174" t="str">
        <f t="shared" si="192"/>
        <v>0.12528940701001+0.484645621574259i</v>
      </c>
      <c r="AN357" s="174" t="str">
        <f t="shared" si="193"/>
        <v>0.505957984272i</v>
      </c>
      <c r="AO357" s="174" t="str">
        <f t="shared" si="194"/>
        <v>0.957877208463453-0.24762808554209i</v>
      </c>
      <c r="AP357" s="174" t="str">
        <f t="shared" si="195"/>
        <v>0.145785098831665-0.0807742702623765i</v>
      </c>
      <c r="AQ357" s="174" t="str">
        <f t="shared" si="196"/>
        <v>0.854214901168335+0.0807742702623765i</v>
      </c>
      <c r="AR357" s="174" t="str">
        <f t="shared" si="197"/>
        <v>0.966522257978662-0.0913940156906559i</v>
      </c>
    </row>
    <row r="358" spans="7:44" x14ac:dyDescent="0.2">
      <c r="G358" s="703">
        <v>28348</v>
      </c>
      <c r="H358" s="691">
        <f t="shared" si="189"/>
        <v>28.347999999999999</v>
      </c>
      <c r="I358" s="692">
        <f t="shared" si="169"/>
        <v>27.675488240025697</v>
      </c>
      <c r="J358" s="693">
        <f t="shared" si="170"/>
        <v>1.5346554024178491</v>
      </c>
      <c r="K358" s="693">
        <f t="shared" si="171"/>
        <v>1.0001173129665883</v>
      </c>
      <c r="L358" s="694">
        <f t="shared" si="172"/>
        <v>1.5316755474060183E-2</v>
      </c>
      <c r="M358" s="693">
        <f t="shared" si="173"/>
        <v>1.0006542734457551</v>
      </c>
      <c r="N358" s="694">
        <f t="shared" si="174"/>
        <v>-3.616398530830469E-2</v>
      </c>
      <c r="O358" s="692">
        <f t="shared" si="175"/>
        <v>51297.332232454297</v>
      </c>
      <c r="P358" s="695">
        <f t="shared" si="176"/>
        <v>1.5707768326037459</v>
      </c>
      <c r="Q358" s="704">
        <f t="shared" si="198"/>
        <v>21.397268668046596</v>
      </c>
      <c r="R358" s="705">
        <f t="shared" si="199"/>
        <v>1.5240443604810878</v>
      </c>
      <c r="S358" s="692">
        <f t="shared" si="177"/>
        <v>1.0101010533924606</v>
      </c>
      <c r="T358" s="695">
        <f t="shared" si="178"/>
        <v>0.14153977410204244</v>
      </c>
      <c r="U358" s="696">
        <f t="shared" si="190"/>
        <v>0.96008053959005968</v>
      </c>
      <c r="V358" s="697">
        <f t="shared" si="191"/>
        <v>-0.34920166554425136</v>
      </c>
      <c r="W358" s="698">
        <f t="shared" si="179"/>
        <v>-6.9206980844769821E-3</v>
      </c>
      <c r="X358" s="699">
        <f t="shared" si="180"/>
        <v>-119.91872272930996</v>
      </c>
      <c r="Y358" s="702">
        <f t="shared" si="181"/>
        <v>60.081277270690038</v>
      </c>
      <c r="AA358" s="174">
        <f t="shared" si="182"/>
        <v>28348</v>
      </c>
      <c r="AB358" s="174">
        <f t="shared" si="183"/>
        <v>803609104</v>
      </c>
      <c r="AD358" s="701">
        <f t="shared" si="184"/>
        <v>27.526424388150335</v>
      </c>
      <c r="AE358" s="702">
        <f t="shared" si="185"/>
        <v>-10.787205120449357</v>
      </c>
      <c r="AG358" s="701">
        <f t="shared" si="186"/>
        <v>-1.4377088032683483</v>
      </c>
      <c r="AH358" s="702">
        <f t="shared" si="187"/>
        <v>-69.115954293887086</v>
      </c>
      <c r="AJ358" s="174">
        <f t="shared" si="188"/>
        <v>0</v>
      </c>
      <c r="AK358" s="174">
        <f t="shared" si="200"/>
        <v>0</v>
      </c>
      <c r="AM358" s="174" t="str">
        <f t="shared" si="192"/>
        <v>0.126720051282016+0.487218771361608i</v>
      </c>
      <c r="AN358" s="174" t="str">
        <f t="shared" si="193"/>
        <v>0.508902105384i</v>
      </c>
      <c r="AO358" s="174" t="str">
        <f t="shared" si="194"/>
        <v>0.957391934926206-0.249006734185934i</v>
      </c>
      <c r="AP358" s="174" t="str">
        <f t="shared" si="195"/>
        <v>0.145546658119664-0.081203128560268i</v>
      </c>
      <c r="AQ358" s="174" t="str">
        <f t="shared" si="196"/>
        <v>0.854453341880336+0.081203128560268i</v>
      </c>
      <c r="AR358" s="174" t="str">
        <f t="shared" si="197"/>
        <v>0.966166209478508-0.0918197812255238i</v>
      </c>
    </row>
    <row r="359" spans="7:44" x14ac:dyDescent="0.2">
      <c r="G359" s="703">
        <v>28512</v>
      </c>
      <c r="H359" s="691">
        <f t="shared" si="189"/>
        <v>28.512</v>
      </c>
      <c r="I359" s="692">
        <f t="shared" si="169"/>
        <v>27.835389159681895</v>
      </c>
      <c r="J359" s="693">
        <f t="shared" si="170"/>
        <v>1.5348631043025796</v>
      </c>
      <c r="K359" s="693">
        <f t="shared" si="171"/>
        <v>1.0001186741796413</v>
      </c>
      <c r="L359" s="694">
        <f t="shared" si="172"/>
        <v>1.5405352610628443E-2</v>
      </c>
      <c r="M359" s="693">
        <f t="shared" si="173"/>
        <v>1.0006618630913864</v>
      </c>
      <c r="N359" s="694">
        <f t="shared" si="174"/>
        <v>-3.6373018713113978E-2</v>
      </c>
      <c r="O359" s="692">
        <f t="shared" si="175"/>
        <v>51594.099640487831</v>
      </c>
      <c r="P359" s="695">
        <f t="shared" si="176"/>
        <v>1.5707769447336333</v>
      </c>
      <c r="Q359" s="704">
        <f t="shared" si="198"/>
        <v>21.520787418120538</v>
      </c>
      <c r="R359" s="705">
        <f t="shared" si="199"/>
        <v>1.5243128877963668</v>
      </c>
      <c r="S359" s="692">
        <f t="shared" si="177"/>
        <v>1.0102176727175833</v>
      </c>
      <c r="T359" s="695">
        <f t="shared" si="178"/>
        <v>0.14234763011969015</v>
      </c>
      <c r="U359" s="696">
        <f t="shared" si="190"/>
        <v>0.95964760443425023</v>
      </c>
      <c r="V359" s="697">
        <f t="shared" si="191"/>
        <v>-0.3511437520081509</v>
      </c>
      <c r="W359" s="698">
        <f t="shared" si="179"/>
        <v>-6.19123515747068E-2</v>
      </c>
      <c r="X359" s="699">
        <f t="shared" si="180"/>
        <v>-120.07970470157261</v>
      </c>
      <c r="Y359" s="702">
        <f t="shared" si="181"/>
        <v>59.920295298427391</v>
      </c>
      <c r="AA359" s="174">
        <f t="shared" si="182"/>
        <v>28512</v>
      </c>
      <c r="AB359" s="174">
        <f t="shared" si="183"/>
        <v>812934144</v>
      </c>
      <c r="AD359" s="701">
        <f t="shared" si="184"/>
        <v>27.525312823035009</v>
      </c>
      <c r="AE359" s="702">
        <f t="shared" si="185"/>
        <v>-10.818112803469987</v>
      </c>
      <c r="AG359" s="701">
        <f t="shared" si="186"/>
        <v>-1.4837535592098485</v>
      </c>
      <c r="AH359" s="702">
        <f t="shared" si="187"/>
        <v>-69.023481867212965</v>
      </c>
      <c r="AJ359" s="174">
        <f t="shared" si="188"/>
        <v>0</v>
      </c>
      <c r="AK359" s="174">
        <f t="shared" si="200"/>
        <v>0</v>
      </c>
      <c r="AM359" s="174" t="str">
        <f t="shared" si="192"/>
        <v>0.128158265007391+0.489787698013208i</v>
      </c>
      <c r="AN359" s="174" t="str">
        <f t="shared" si="193"/>
        <v>0.511846226496i</v>
      </c>
      <c r="AO359" s="174" t="str">
        <f t="shared" si="194"/>
        <v>0.956903993150833-0.25038431148499i</v>
      </c>
      <c r="AP359" s="174" t="str">
        <f t="shared" si="195"/>
        <v>0.145306955832101-0.0816312830022013i</v>
      </c>
      <c r="AQ359" s="174" t="str">
        <f t="shared" si="196"/>
        <v>0.854693044167899+0.0816312830022013i</v>
      </c>
      <c r="AR359" s="174" t="str">
        <f t="shared" si="197"/>
        <v>0.965808741474813-0.092243884795022i</v>
      </c>
    </row>
    <row r="360" spans="7:44" x14ac:dyDescent="0.2">
      <c r="G360" s="703">
        <v>28676</v>
      </c>
      <c r="H360" s="691">
        <f t="shared" si="189"/>
        <v>28.675999999999998</v>
      </c>
      <c r="I360" s="692">
        <f t="shared" si="169"/>
        <v>27.99529126644131</v>
      </c>
      <c r="J360" s="693">
        <f t="shared" si="170"/>
        <v>1.535068433513576</v>
      </c>
      <c r="K360" s="693">
        <f t="shared" si="171"/>
        <v>1.000120043243057</v>
      </c>
      <c r="L360" s="694">
        <f t="shared" si="172"/>
        <v>1.549394950533106E-2</v>
      </c>
      <c r="M360" s="693">
        <f t="shared" si="173"/>
        <v>1.0006694964602374</v>
      </c>
      <c r="N360" s="694">
        <f t="shared" si="174"/>
        <v>-3.6582048937933646E-2</v>
      </c>
      <c r="O360" s="692">
        <f t="shared" si="175"/>
        <v>51890.867048522014</v>
      </c>
      <c r="P360" s="695">
        <f t="shared" si="176"/>
        <v>1.5707770555809637</v>
      </c>
      <c r="Q360" s="704">
        <f t="shared" si="198"/>
        <v>21.644307702280631</v>
      </c>
      <c r="R360" s="705">
        <f t="shared" si="199"/>
        <v>1.524578350253619</v>
      </c>
      <c r="S360" s="692">
        <f t="shared" si="177"/>
        <v>1.0103349511899729</v>
      </c>
      <c r="T360" s="695">
        <f t="shared" si="178"/>
        <v>0.1431552991144262</v>
      </c>
      <c r="U360" s="696">
        <f t="shared" si="190"/>
        <v>0.95921272749879394</v>
      </c>
      <c r="V360" s="697">
        <f t="shared" si="191"/>
        <v>-0.35308457255727754</v>
      </c>
      <c r="W360" s="698">
        <f t="shared" si="179"/>
        <v>-0.11664033461567969</v>
      </c>
      <c r="X360" s="699">
        <f t="shared" si="180"/>
        <v>-120.24064284404942</v>
      </c>
      <c r="Y360" s="702">
        <f t="shared" si="181"/>
        <v>59.759357155950582</v>
      </c>
      <c r="AA360" s="174">
        <f t="shared" si="182"/>
        <v>28676</v>
      </c>
      <c r="AB360" s="174">
        <f t="shared" si="183"/>
        <v>822312976</v>
      </c>
      <c r="AD360" s="701">
        <f t="shared" si="184"/>
        <v>27.524197565827031</v>
      </c>
      <c r="AE360" s="702">
        <f t="shared" si="185"/>
        <v>-10.849185300811921</v>
      </c>
      <c r="AG360" s="701">
        <f t="shared" si="186"/>
        <v>-1.5294922505040591</v>
      </c>
      <c r="AH360" s="702">
        <f t="shared" si="187"/>
        <v>-68.930945859579268</v>
      </c>
      <c r="AJ360" s="174">
        <f t="shared" si="188"/>
        <v>0</v>
      </c>
      <c r="AK360" s="174">
        <f t="shared" si="200"/>
        <v>0</v>
      </c>
      <c r="AM360" s="174" t="str">
        <f t="shared" si="192"/>
        <v>0.129604035719925+0.492352379262006i</v>
      </c>
      <c r="AN360" s="174" t="str">
        <f t="shared" si="193"/>
        <v>0.514790347608i</v>
      </c>
      <c r="AO360" s="174" t="str">
        <f t="shared" si="194"/>
        <v>0.956413385662235-0.251760811604446i</v>
      </c>
      <c r="AP360" s="174" t="str">
        <f t="shared" si="195"/>
        <v>0.145065994046679-0.082058729877001i</v>
      </c>
      <c r="AQ360" s="174" t="str">
        <f t="shared" si="196"/>
        <v>0.854934005953321+0.082058729877001i</v>
      </c>
      <c r="AR360" s="174" t="str">
        <f t="shared" si="197"/>
        <v>0.965449863495857-0.0926663216186532i</v>
      </c>
    </row>
    <row r="361" spans="7:44" x14ac:dyDescent="0.2">
      <c r="G361" s="703">
        <v>28840</v>
      </c>
      <c r="H361" s="691">
        <f t="shared" si="189"/>
        <v>28.84</v>
      </c>
      <c r="I361" s="692">
        <f t="shared" si="169"/>
        <v>28.155194540078153</v>
      </c>
      <c r="J361" s="693">
        <f t="shared" si="170"/>
        <v>1.5352714304591268</v>
      </c>
      <c r="K361" s="693">
        <f t="shared" si="171"/>
        <v>1.0001214201568034</v>
      </c>
      <c r="L361" s="694">
        <f t="shared" si="172"/>
        <v>1.5582546156778163E-2</v>
      </c>
      <c r="M361" s="693">
        <f t="shared" si="173"/>
        <v>1.000677173551308</v>
      </c>
      <c r="N361" s="694">
        <f t="shared" si="174"/>
        <v>-3.6791075964570118E-2</v>
      </c>
      <c r="O361" s="692">
        <f t="shared" si="175"/>
        <v>52187.634456556814</v>
      </c>
      <c r="P361" s="695">
        <f t="shared" si="176"/>
        <v>1.570777165167617</v>
      </c>
      <c r="Q361" s="704">
        <f t="shared" si="198"/>
        <v>21.76782949441164</v>
      </c>
      <c r="R361" s="705">
        <f t="shared" si="199"/>
        <v>1.524840799989821</v>
      </c>
      <c r="S361" s="692">
        <f t="shared" si="177"/>
        <v>1.0104528885801165</v>
      </c>
      <c r="T361" s="695">
        <f t="shared" si="178"/>
        <v>0.14396278009782332</v>
      </c>
      <c r="U361" s="696">
        <f t="shared" si="190"/>
        <v>0.95877591715005239</v>
      </c>
      <c r="V361" s="697">
        <f t="shared" si="191"/>
        <v>-0.35502412222513136</v>
      </c>
      <c r="W361" s="698">
        <f t="shared" si="179"/>
        <v>-0.17110788765634038</v>
      </c>
      <c r="X361" s="699">
        <f t="shared" si="180"/>
        <v>-120.4015361438347</v>
      </c>
      <c r="Y361" s="702">
        <f t="shared" si="181"/>
        <v>59.598463856165296</v>
      </c>
      <c r="AA361" s="174">
        <f t="shared" si="182"/>
        <v>28840</v>
      </c>
      <c r="AB361" s="174">
        <f t="shared" si="183"/>
        <v>831745600</v>
      </c>
      <c r="AD361" s="701">
        <f t="shared" si="184"/>
        <v>27.523078578358437</v>
      </c>
      <c r="AE361" s="702">
        <f t="shared" si="185"/>
        <v>-10.880419569867366</v>
      </c>
      <c r="AG361" s="701">
        <f t="shared" si="186"/>
        <v>-1.5749281799755632</v>
      </c>
      <c r="AH361" s="702">
        <f t="shared" si="187"/>
        <v>-68.838348869807078</v>
      </c>
      <c r="AJ361" s="174">
        <f t="shared" si="188"/>
        <v>0</v>
      </c>
      <c r="AK361" s="174">
        <f t="shared" si="200"/>
        <v>0</v>
      </c>
      <c r="AM361" s="174" t="str">
        <f t="shared" si="192"/>
        <v>0.131057350887904+0.494912792877749i</v>
      </c>
      <c r="AN361" s="174" t="str">
        <f t="shared" si="193"/>
        <v>0.51773446872i</v>
      </c>
      <c r="AO361" s="174" t="str">
        <f t="shared" si="194"/>
        <v>0.955920114998962-0.253136228715694i</v>
      </c>
      <c r="AP361" s="174" t="str">
        <f t="shared" si="195"/>
        <v>0.144823774852016-0.0824854654796248i</v>
      </c>
      <c r="AQ361" s="174" t="str">
        <f t="shared" si="196"/>
        <v>0.855176225147984+0.0824854654796248i</v>
      </c>
      <c r="AR361" s="174" t="str">
        <f t="shared" si="197"/>
        <v>0.965089585082132-0.0930870869817063i</v>
      </c>
    </row>
    <row r="362" spans="7:44" x14ac:dyDescent="0.2">
      <c r="G362" s="703">
        <v>29008</v>
      </c>
      <c r="H362" s="691">
        <f t="shared" si="189"/>
        <v>29.007999999999999</v>
      </c>
      <c r="I362" s="692">
        <f t="shared" si="169"/>
        <v>28.318999082812947</v>
      </c>
      <c r="J362" s="693">
        <f t="shared" si="170"/>
        <v>1.5354770015440244</v>
      </c>
      <c r="K362" s="693">
        <f t="shared" si="171"/>
        <v>1.0001228387936505</v>
      </c>
      <c r="L362" s="694">
        <f t="shared" si="172"/>
        <v>1.5673303448482716E-2</v>
      </c>
      <c r="M362" s="693">
        <f t="shared" si="173"/>
        <v>1.0006850832222682</v>
      </c>
      <c r="N362" s="694">
        <f t="shared" si="174"/>
        <v>-3.7005197876211038E-2</v>
      </c>
      <c r="O362" s="692">
        <f t="shared" si="175"/>
        <v>52491.640094056529</v>
      </c>
      <c r="P362" s="695">
        <f t="shared" si="176"/>
        <v>1.5707772761422922</v>
      </c>
      <c r="Q362" s="704">
        <f t="shared" si="198"/>
        <v>21.894365550089955</v>
      </c>
      <c r="R362" s="705">
        <f t="shared" si="199"/>
        <v>1.5251065803642585</v>
      </c>
      <c r="S362" s="692">
        <f t="shared" si="177"/>
        <v>1.010574385471307</v>
      </c>
      <c r="T362" s="695">
        <f t="shared" si="178"/>
        <v>0.14478975976192671</v>
      </c>
      <c r="U362" s="696">
        <f t="shared" si="190"/>
        <v>0.95832645693043439</v>
      </c>
      <c r="V362" s="697">
        <f t="shared" si="191"/>
        <v>-0.35700965507143645</v>
      </c>
      <c r="W362" s="698">
        <f t="shared" si="179"/>
        <v>-0.22663721019414665</v>
      </c>
      <c r="X362" s="699">
        <f t="shared" si="180"/>
        <v>-120.56630613296311</v>
      </c>
      <c r="Y362" s="702">
        <f t="shared" si="181"/>
        <v>59.433693867036894</v>
      </c>
      <c r="AA362" s="174">
        <f t="shared" si="182"/>
        <v>29008</v>
      </c>
      <c r="AB362" s="174">
        <f t="shared" si="183"/>
        <v>841464064</v>
      </c>
      <c r="AD362" s="701">
        <f t="shared" si="184"/>
        <v>27.521928392037417</v>
      </c>
      <c r="AE362" s="702">
        <f t="shared" si="185"/>
        <v>-10.912580279048235</v>
      </c>
      <c r="AG362" s="701">
        <f t="shared" si="186"/>
        <v>-1.6211617690611968</v>
      </c>
      <c r="AH362" s="702">
        <f t="shared" si="187"/>
        <v>-68.743432845138884</v>
      </c>
      <c r="AJ362" s="174">
        <f t="shared" si="188"/>
        <v>0</v>
      </c>
      <c r="AK362" s="174">
        <f t="shared" si="200"/>
        <v>0</v>
      </c>
      <c r="AM362" s="174" t="str">
        <f t="shared" si="192"/>
        <v>0.13255392231511+0.497531207372061i</v>
      </c>
      <c r="AN362" s="174" t="str">
        <f t="shared" si="193"/>
        <v>0.520750397664i</v>
      </c>
      <c r="AO362" s="174" t="str">
        <f t="shared" si="194"/>
        <v>0.955412054611775-0.254544063546999i</v>
      </c>
      <c r="AP362" s="174" t="str">
        <f t="shared" si="195"/>
        <v>0.144574346280815-0.0829218678953435i</v>
      </c>
      <c r="AQ362" s="174" t="str">
        <f t="shared" si="196"/>
        <v>0.855425653719185+0.0829218678953435i</v>
      </c>
      <c r="AR362" s="174" t="str">
        <f t="shared" si="197"/>
        <v>0.964719077288378-0.0935163769466346i</v>
      </c>
    </row>
    <row r="363" spans="7:44" x14ac:dyDescent="0.2">
      <c r="G363" s="703">
        <v>29176</v>
      </c>
      <c r="H363" s="691">
        <f t="shared" si="189"/>
        <v>29.175999999999998</v>
      </c>
      <c r="I363" s="692">
        <f t="shared" si="169"/>
        <v>28.482804808528666</v>
      </c>
      <c r="J363" s="693">
        <f t="shared" si="170"/>
        <v>1.5356802081427103</v>
      </c>
      <c r="K363" s="693">
        <f t="shared" si="171"/>
        <v>1.0001242656683722</v>
      </c>
      <c r="L363" s="694">
        <f t="shared" si="172"/>
        <v>1.5764060481968427E-2</v>
      </c>
      <c r="M363" s="693">
        <f t="shared" si="173"/>
        <v>1.0006930387721047</v>
      </c>
      <c r="N363" s="694">
        <f t="shared" si="174"/>
        <v>-3.721931639311319E-2</v>
      </c>
      <c r="O363" s="692">
        <f t="shared" si="175"/>
        <v>52795.645731556884</v>
      </c>
      <c r="P363" s="695">
        <f t="shared" si="176"/>
        <v>1.5707773858389484</v>
      </c>
      <c r="Q363" s="704">
        <f t="shared" si="198"/>
        <v>22.020903134594754</v>
      </c>
      <c r="R363" s="705">
        <f t="shared" si="199"/>
        <v>1.5253693062768516</v>
      </c>
      <c r="S363" s="692">
        <f t="shared" si="177"/>
        <v>1.0106965733231974</v>
      </c>
      <c r="T363" s="695">
        <f t="shared" si="178"/>
        <v>0.14561654003644253</v>
      </c>
      <c r="U363" s="696">
        <f t="shared" si="190"/>
        <v>0.95787498566096851</v>
      </c>
      <c r="V363" s="697">
        <f t="shared" si="191"/>
        <v>-0.35899384384424365</v>
      </c>
      <c r="W363" s="698">
        <f t="shared" si="179"/>
        <v>-0.28189994775105198</v>
      </c>
      <c r="X363" s="699">
        <f t="shared" si="180"/>
        <v>-120.73102696792813</v>
      </c>
      <c r="Y363" s="702">
        <f t="shared" si="181"/>
        <v>59.26897303207187</v>
      </c>
      <c r="AA363" s="174">
        <f t="shared" si="182"/>
        <v>29176</v>
      </c>
      <c r="AB363" s="174">
        <f t="shared" si="183"/>
        <v>851238976</v>
      </c>
      <c r="AD363" s="701">
        <f t="shared" si="184"/>
        <v>27.520774214018001</v>
      </c>
      <c r="AE363" s="702">
        <f t="shared" si="185"/>
        <v>-10.944904498594717</v>
      </c>
      <c r="AG363" s="701">
        <f t="shared" si="186"/>
        <v>-1.6670844884114533</v>
      </c>
      <c r="AH363" s="702">
        <f t="shared" si="187"/>
        <v>-68.648458175419407</v>
      </c>
      <c r="AJ363" s="174">
        <f t="shared" si="188"/>
        <v>0</v>
      </c>
      <c r="AK363" s="174">
        <f t="shared" si="200"/>
        <v>0</v>
      </c>
      <c r="AM363" s="174" t="str">
        <f t="shared" si="192"/>
        <v>0.134058383876133+0.500145096411817i</v>
      </c>
      <c r="AN363" s="174" t="str">
        <f t="shared" si="193"/>
        <v>0.523766326608i</v>
      </c>
      <c r="AO363" s="174" t="str">
        <f t="shared" si="194"/>
        <v>0.954901204991245-0.255950749534278i</v>
      </c>
      <c r="AP363" s="174" t="str">
        <f t="shared" si="195"/>
        <v>0.144323602687311-0.0833575160686362i</v>
      </c>
      <c r="AQ363" s="174" t="str">
        <f t="shared" si="196"/>
        <v>0.855676397312689+0.0833575160686362i</v>
      </c>
      <c r="AR363" s="174" t="str">
        <f t="shared" si="197"/>
        <v>0.964347120217195-0.0939439031177024i</v>
      </c>
    </row>
    <row r="364" spans="7:44" x14ac:dyDescent="0.2">
      <c r="G364" s="703">
        <v>29344</v>
      </c>
      <c r="H364" s="691">
        <f t="shared" si="189"/>
        <v>29.344000000000001</v>
      </c>
      <c r="I364" s="692">
        <f t="shared" si="169"/>
        <v>28.64661169693191</v>
      </c>
      <c r="J364" s="693">
        <f t="shared" si="170"/>
        <v>1.5358810908000309</v>
      </c>
      <c r="K364" s="693">
        <f t="shared" si="171"/>
        <v>1.0001257007809328</v>
      </c>
      <c r="L364" s="694">
        <f t="shared" si="172"/>
        <v>1.585481725574131E-2</v>
      </c>
      <c r="M364" s="693">
        <f t="shared" si="173"/>
        <v>1.0007010401997232</v>
      </c>
      <c r="N364" s="694">
        <f t="shared" si="174"/>
        <v>-3.7433431495724492E-2</v>
      </c>
      <c r="O364" s="692">
        <f t="shared" si="175"/>
        <v>53099.651369057865</v>
      </c>
      <c r="P364" s="695">
        <f t="shared" si="176"/>
        <v>1.5707774942795358</v>
      </c>
      <c r="Q364" s="704">
        <f t="shared" si="198"/>
        <v>22.147442221721551</v>
      </c>
      <c r="R364" s="705">
        <f t="shared" si="199"/>
        <v>1.5256290300458859</v>
      </c>
      <c r="S364" s="692">
        <f t="shared" si="177"/>
        <v>1.0108194518852183</v>
      </c>
      <c r="T364" s="695">
        <f t="shared" si="178"/>
        <v>0.14644311986356615</v>
      </c>
      <c r="U364" s="696">
        <f t="shared" si="190"/>
        <v>0.95742151238854645</v>
      </c>
      <c r="V364" s="697">
        <f t="shared" si="191"/>
        <v>-0.36097668331498228</v>
      </c>
      <c r="W364" s="698">
        <f t="shared" si="179"/>
        <v>-0.33689940384565009</v>
      </c>
      <c r="X364" s="699">
        <f t="shared" si="180"/>
        <v>-120.89569761420158</v>
      </c>
      <c r="Y364" s="702">
        <f t="shared" si="181"/>
        <v>59.10430238579842</v>
      </c>
      <c r="AA364" s="174">
        <f t="shared" si="182"/>
        <v>29344</v>
      </c>
      <c r="AB364" s="174">
        <f t="shared" si="183"/>
        <v>861070336</v>
      </c>
      <c r="AD364" s="701">
        <f t="shared" si="184"/>
        <v>27.51961600706835</v>
      </c>
      <c r="AE364" s="702">
        <f t="shared" si="185"/>
        <v>-10.977389171539752</v>
      </c>
      <c r="AG364" s="701">
        <f t="shared" si="186"/>
        <v>-1.7126997132814545</v>
      </c>
      <c r="AH364" s="702">
        <f t="shared" si="187"/>
        <v>-68.553427482237609</v>
      </c>
      <c r="AJ364" s="174">
        <f t="shared" si="188"/>
        <v>0</v>
      </c>
      <c r="AK364" s="174">
        <f t="shared" si="200"/>
        <v>0</v>
      </c>
      <c r="AM364" s="174" t="str">
        <f t="shared" si="192"/>
        <v>0.13557072188666+0.502754436221552i</v>
      </c>
      <c r="AN364" s="174" t="str">
        <f t="shared" si="193"/>
        <v>0.526782255552i</v>
      </c>
      <c r="AO364" s="174" t="str">
        <f t="shared" si="194"/>
        <v>0.954387568910669-0.257356280432414i</v>
      </c>
      <c r="AP364" s="174" t="str">
        <f t="shared" si="195"/>
        <v>0.144071546352223-0.0837924060369253i</v>
      </c>
      <c r="AQ364" s="174" t="str">
        <f t="shared" si="196"/>
        <v>0.855928453647777+0.0837924060369253i</v>
      </c>
      <c r="AR364" s="174" t="str">
        <f t="shared" si="197"/>
        <v>0.963973724160743-0.0943696606411021i</v>
      </c>
    </row>
    <row r="365" spans="7:44" x14ac:dyDescent="0.2">
      <c r="G365" s="703">
        <v>29512</v>
      </c>
      <c r="H365" s="691">
        <f t="shared" si="189"/>
        <v>29.512</v>
      </c>
      <c r="I365" s="692">
        <f t="shared" si="169"/>
        <v>28.810419728190663</v>
      </c>
      <c r="J365" s="693">
        <f t="shared" si="170"/>
        <v>1.5360796891394854</v>
      </c>
      <c r="K365" s="693">
        <f t="shared" si="171"/>
        <v>1.0001271441312973</v>
      </c>
      <c r="L365" s="694">
        <f t="shared" si="172"/>
        <v>1.5945573768307398E-2</v>
      </c>
      <c r="M365" s="693">
        <f t="shared" si="173"/>
        <v>1.0007090875040234</v>
      </c>
      <c r="N365" s="694">
        <f t="shared" si="174"/>
        <v>-3.7647543164494757E-2</v>
      </c>
      <c r="O365" s="692">
        <f t="shared" si="175"/>
        <v>53403.657006559457</v>
      </c>
      <c r="P365" s="695">
        <f t="shared" si="176"/>
        <v>1.5707776014855057</v>
      </c>
      <c r="Q365" s="704">
        <f t="shared" si="198"/>
        <v>22.273982785861055</v>
      </c>
      <c r="R365" s="705">
        <f t="shared" si="199"/>
        <v>1.5258858028023878</v>
      </c>
      <c r="S365" s="692">
        <f t="shared" si="177"/>
        <v>1.010943020905505</v>
      </c>
      <c r="T365" s="695">
        <f t="shared" si="178"/>
        <v>0.14726949818710136</v>
      </c>
      <c r="U365" s="696">
        <f t="shared" si="190"/>
        <v>0.95696604617715553</v>
      </c>
      <c r="V365" s="697">
        <f t="shared" si="191"/>
        <v>-0.3629581682923631</v>
      </c>
      <c r="W365" s="698">
        <f t="shared" si="179"/>
        <v>-0.39163882405970629</v>
      </c>
      <c r="X365" s="699">
        <f t="shared" si="180"/>
        <v>-121.06031705469067</v>
      </c>
      <c r="Y365" s="702">
        <f t="shared" si="181"/>
        <v>58.939682945309329</v>
      </c>
      <c r="AA365" s="174">
        <f t="shared" si="182"/>
        <v>29512</v>
      </c>
      <c r="AB365" s="174">
        <f t="shared" si="183"/>
        <v>870958144</v>
      </c>
      <c r="AD365" s="701">
        <f t="shared" si="184"/>
        <v>27.518453735153535</v>
      </c>
      <c r="AE365" s="702">
        <f t="shared" si="185"/>
        <v>-11.010031309004837</v>
      </c>
      <c r="AG365" s="701">
        <f t="shared" si="186"/>
        <v>-1.7580107624766736</v>
      </c>
      <c r="AH365" s="702">
        <f t="shared" si="187"/>
        <v>-68.458343332257201</v>
      </c>
      <c r="AJ365" s="174">
        <f t="shared" si="188"/>
        <v>0</v>
      </c>
      <c r="AK365" s="174">
        <f t="shared" si="200"/>
        <v>0</v>
      </c>
      <c r="AM365" s="174" t="str">
        <f t="shared" si="192"/>
        <v>0.137090922590737+0.505359203067179i</v>
      </c>
      <c r="AN365" s="174" t="str">
        <f t="shared" si="193"/>
        <v>0.529798184496i</v>
      </c>
      <c r="AO365" s="174" t="str">
        <f t="shared" si="194"/>
        <v>0.953871149158297-0.258760650003269i</v>
      </c>
      <c r="AP365" s="174" t="str">
        <f t="shared" si="195"/>
        <v>0.14381817956821-0.0842265338445298i</v>
      </c>
      <c r="AQ365" s="174" t="str">
        <f t="shared" si="196"/>
        <v>0.85618182043179+0.0842265338445298i</v>
      </c>
      <c r="AR365" s="174" t="str">
        <f t="shared" si="197"/>
        <v>0.963598899422312-0.0947936447351966i</v>
      </c>
    </row>
    <row r="366" spans="7:44" x14ac:dyDescent="0.2">
      <c r="G366" s="703">
        <v>29684</v>
      </c>
      <c r="H366" s="691">
        <f t="shared" si="189"/>
        <v>29.684000000000001</v>
      </c>
      <c r="I366" s="692">
        <f t="shared" si="169"/>
        <v>28.978129114427489</v>
      </c>
      <c r="J366" s="693">
        <f t="shared" si="170"/>
        <v>1.5362806898979866</v>
      </c>
      <c r="K366" s="693">
        <f t="shared" si="171"/>
        <v>1.0001286303814552</v>
      </c>
      <c r="L366" s="694">
        <f t="shared" si="172"/>
        <v>1.6038490878050638E-2</v>
      </c>
      <c r="M366" s="693">
        <f t="shared" si="173"/>
        <v>1.0007173739377895</v>
      </c>
      <c r="N366" s="694">
        <f t="shared" si="174"/>
        <v>-3.7866749152276252E-2</v>
      </c>
      <c r="O366" s="692">
        <f t="shared" si="175"/>
        <v>53714.900873526007</v>
      </c>
      <c r="P366" s="695">
        <f t="shared" si="176"/>
        <v>1.5707777099868268</v>
      </c>
      <c r="Q366" s="704">
        <f t="shared" si="198"/>
        <v>22.403537724622826</v>
      </c>
      <c r="R366" s="705">
        <f t="shared" si="199"/>
        <v>1.5261456841338721</v>
      </c>
      <c r="S366" s="692">
        <f t="shared" si="177"/>
        <v>1.0110702470941615</v>
      </c>
      <c r="T366" s="695">
        <f t="shared" si="178"/>
        <v>0.14811534232654205</v>
      </c>
      <c r="U366" s="696">
        <f t="shared" si="190"/>
        <v>0.95649768033418192</v>
      </c>
      <c r="V366" s="697">
        <f t="shared" si="191"/>
        <v>-0.36498542284980329</v>
      </c>
      <c r="W366" s="698">
        <f t="shared" si="179"/>
        <v>-0.44741549685473014</v>
      </c>
      <c r="X366" s="699">
        <f t="shared" si="180"/>
        <v>-121.22880191239057</v>
      </c>
      <c r="Y366" s="702">
        <f t="shared" si="181"/>
        <v>58.771198087609434</v>
      </c>
      <c r="AA366" s="174">
        <f t="shared" si="182"/>
        <v>29684</v>
      </c>
      <c r="AB366" s="174">
        <f t="shared" si="183"/>
        <v>881139856</v>
      </c>
      <c r="AD366" s="701">
        <f t="shared" si="184"/>
        <v>27.517259542390072</v>
      </c>
      <c r="AE366" s="702">
        <f t="shared" si="185"/>
        <v>-11.043610721558505</v>
      </c>
      <c r="AG366" s="701">
        <f t="shared" si="186"/>
        <v>-1.8040889284787811</v>
      </c>
      <c r="AH366" s="702">
        <f t="shared" si="187"/>
        <v>-68.360942516857989</v>
      </c>
      <c r="AJ366" s="174">
        <f t="shared" si="188"/>
        <v>0</v>
      </c>
      <c r="AK366" s="174">
        <f t="shared" si="200"/>
        <v>0</v>
      </c>
      <c r="AM366" s="174" t="str">
        <f t="shared" si="192"/>
        <v>0.138655449842993+0.508021225850676i</v>
      </c>
      <c r="AN366" s="174" t="str">
        <f t="shared" si="193"/>
        <v>0.532885921272i</v>
      </c>
      <c r="AO366" s="174" t="str">
        <f t="shared" si="194"/>
        <v>0.953339552747102-0.260197247305806i</v>
      </c>
      <c r="AP366" s="174" t="str">
        <f t="shared" si="195"/>
        <v>0.143557425026168-0.084670204308446i</v>
      </c>
      <c r="AQ366" s="174" t="str">
        <f t="shared" si="196"/>
        <v>0.856442574973832+0.084670204308446i</v>
      </c>
      <c r="AR366" s="174" t="str">
        <f t="shared" si="197"/>
        <v>0.963213680944026-0.0952258815025781i</v>
      </c>
    </row>
    <row r="367" spans="7:44" x14ac:dyDescent="0.2">
      <c r="G367" s="703">
        <v>29856</v>
      </c>
      <c r="H367" s="691">
        <f t="shared" si="189"/>
        <v>29.856000000000002</v>
      </c>
      <c r="I367" s="692">
        <f t="shared" si="169"/>
        <v>29.145839657945142</v>
      </c>
      <c r="J367" s="693">
        <f t="shared" si="170"/>
        <v>1.5364793774734748</v>
      </c>
      <c r="K367" s="693">
        <f t="shared" si="171"/>
        <v>1.0001301252662873</v>
      </c>
      <c r="L367" s="694">
        <f t="shared" si="172"/>
        <v>1.6131407710831474E-2</v>
      </c>
      <c r="M367" s="693">
        <f t="shared" si="173"/>
        <v>1.0007257084564938</v>
      </c>
      <c r="N367" s="694">
        <f t="shared" si="174"/>
        <v>-3.8085951499287521E-2</v>
      </c>
      <c r="O367" s="692">
        <f t="shared" si="175"/>
        <v>54026.144740493182</v>
      </c>
      <c r="P367" s="695">
        <f t="shared" si="176"/>
        <v>1.5707778172379985</v>
      </c>
      <c r="Q367" s="704">
        <f t="shared" si="198"/>
        <v>22.53309415908231</v>
      </c>
      <c r="R367" s="705">
        <f t="shared" si="199"/>
        <v>1.5264025770515288</v>
      </c>
      <c r="S367" s="692">
        <f t="shared" si="177"/>
        <v>1.0111981964730328</v>
      </c>
      <c r="T367" s="695">
        <f t="shared" si="178"/>
        <v>0.14896097301741199</v>
      </c>
      <c r="U367" s="696">
        <f t="shared" si="190"/>
        <v>0.95602724480125345</v>
      </c>
      <c r="V367" s="697">
        <f t="shared" si="191"/>
        <v>-0.36701124675382352</v>
      </c>
      <c r="W367" s="698">
        <f t="shared" si="179"/>
        <v>-0.50292630823043627</v>
      </c>
      <c r="X367" s="699">
        <f t="shared" si="180"/>
        <v>-121.39723099350087</v>
      </c>
      <c r="Y367" s="702">
        <f t="shared" si="181"/>
        <v>58.60276900649913</v>
      </c>
      <c r="AA367" s="174">
        <f t="shared" si="182"/>
        <v>29856</v>
      </c>
      <c r="AB367" s="174">
        <f t="shared" si="183"/>
        <v>891380736</v>
      </c>
      <c r="AD367" s="701">
        <f t="shared" si="184"/>
        <v>27.51606101601919</v>
      </c>
      <c r="AE367" s="702">
        <f t="shared" si="185"/>
        <v>-11.077349056281593</v>
      </c>
      <c r="AG367" s="701">
        <f t="shared" si="186"/>
        <v>-1.8498551262675877</v>
      </c>
      <c r="AH367" s="702">
        <f t="shared" si="187"/>
        <v>-68.263490943505772</v>
      </c>
      <c r="AJ367" s="174">
        <f t="shared" si="188"/>
        <v>0</v>
      </c>
      <c r="AK367" s="174">
        <f t="shared" si="200"/>
        <v>0</v>
      </c>
      <c r="AM367" s="174" t="str">
        <f t="shared" si="192"/>
        <v>0.140228189249648+0.510678405103506i</v>
      </c>
      <c r="AN367" s="174" t="str">
        <f t="shared" si="193"/>
        <v>0.535973658048i</v>
      </c>
      <c r="AO367" s="174" t="str">
        <f t="shared" si="194"/>
        <v>0.95280504449301-0.261632614110841i</v>
      </c>
      <c r="AP367" s="174" t="str">
        <f t="shared" si="195"/>
        <v>0.143295301791725-0.085113067517251i</v>
      </c>
      <c r="AQ367" s="174" t="str">
        <f t="shared" si="196"/>
        <v>0.856704698208275+0.085113067517251i</v>
      </c>
      <c r="AR367" s="174" t="str">
        <f t="shared" si="197"/>
        <v>0.96282698683125-0.0956562494742811i</v>
      </c>
    </row>
    <row r="368" spans="7:44" x14ac:dyDescent="0.2">
      <c r="G368" s="703">
        <v>30028</v>
      </c>
      <c r="H368" s="691">
        <f t="shared" si="189"/>
        <v>30.027999999999999</v>
      </c>
      <c r="I368" s="692">
        <f t="shared" si="169"/>
        <v>29.313551338880295</v>
      </c>
      <c r="J368" s="693">
        <f t="shared" si="170"/>
        <v>1.5366757915533831</v>
      </c>
      <c r="K368" s="693">
        <f t="shared" si="171"/>
        <v>1.0001316287857547</v>
      </c>
      <c r="L368" s="694">
        <f t="shared" si="172"/>
        <v>1.6224324265046743E-2</v>
      </c>
      <c r="M368" s="693">
        <f t="shared" si="173"/>
        <v>1.0007340910589346</v>
      </c>
      <c r="N368" s="694">
        <f t="shared" si="174"/>
        <v>-3.830515018455459E-2</v>
      </c>
      <c r="O368" s="692">
        <f t="shared" si="175"/>
        <v>54337.388607460969</v>
      </c>
      <c r="P368" s="695">
        <f t="shared" si="176"/>
        <v>1.5707779232605037</v>
      </c>
      <c r="Q368" s="704">
        <f t="shared" si="198"/>
        <v>22.66265206358797</v>
      </c>
      <c r="R368" s="705">
        <f t="shared" si="199"/>
        <v>1.5266565327736714</v>
      </c>
      <c r="S368" s="692">
        <f t="shared" si="177"/>
        <v>1.0113268687676327</v>
      </c>
      <c r="T368" s="695">
        <f t="shared" si="178"/>
        <v>0.14980638913154967</v>
      </c>
      <c r="U368" s="696">
        <f t="shared" si="190"/>
        <v>0.95555474935806228</v>
      </c>
      <c r="V368" s="697">
        <f t="shared" si="191"/>
        <v>-0.36903563455513805</v>
      </c>
      <c r="W368" s="698">
        <f t="shared" si="179"/>
        <v>-0.55817456093078022</v>
      </c>
      <c r="X368" s="699">
        <f t="shared" si="180"/>
        <v>-121.56560326061174</v>
      </c>
      <c r="Y368" s="702">
        <f t="shared" si="181"/>
        <v>58.434396739388262</v>
      </c>
      <c r="AA368" s="174">
        <f t="shared" si="182"/>
        <v>30028</v>
      </c>
      <c r="AB368" s="174">
        <f t="shared" si="183"/>
        <v>901680784</v>
      </c>
      <c r="AD368" s="701">
        <f t="shared" si="184"/>
        <v>27.514858121014566</v>
      </c>
      <c r="AE368" s="702">
        <f t="shared" si="185"/>
        <v>-11.111243315172883</v>
      </c>
      <c r="AG368" s="701">
        <f t="shared" si="186"/>
        <v>-1.8953127417264268</v>
      </c>
      <c r="AH368" s="702">
        <f t="shared" si="187"/>
        <v>-68.165991197234149</v>
      </c>
      <c r="AJ368" s="174">
        <f t="shared" si="188"/>
        <v>0</v>
      </c>
      <c r="AK368" s="174">
        <f t="shared" si="200"/>
        <v>0</v>
      </c>
      <c r="AM368" s="174" t="str">
        <f t="shared" si="192"/>
        <v>0.141809125816029+0.513330715491827i</v>
      </c>
      <c r="AN368" s="174" t="str">
        <f t="shared" si="193"/>
        <v>0.539061394824i</v>
      </c>
      <c r="AO368" s="174" t="str">
        <f t="shared" si="194"/>
        <v>0.952267627436808-0.263066743746932i</v>
      </c>
      <c r="AP368" s="174" t="str">
        <f t="shared" si="195"/>
        <v>0.143031812363995-0.0855551192486378i</v>
      </c>
      <c r="AQ368" s="174" t="str">
        <f t="shared" si="196"/>
        <v>0.856968187636005+0.0855551192486378i</v>
      </c>
      <c r="AR368" s="174" t="str">
        <f t="shared" si="197"/>
        <v>0.962438828173304-0.0960847437534759i</v>
      </c>
    </row>
    <row r="369" spans="7:44" x14ac:dyDescent="0.2">
      <c r="G369" s="703">
        <v>30200</v>
      </c>
      <c r="H369" s="691">
        <f t="shared" si="189"/>
        <v>30.2</v>
      </c>
      <c r="I369" s="692">
        <f t="shared" si="169"/>
        <v>29.481264137821476</v>
      </c>
      <c r="J369" s="693">
        <f t="shared" si="170"/>
        <v>1.5368699709227609</v>
      </c>
      <c r="K369" s="693">
        <f t="shared" si="171"/>
        <v>1.0001331409398186</v>
      </c>
      <c r="L369" s="694">
        <f t="shared" si="172"/>
        <v>1.6317240539093322E-2</v>
      </c>
      <c r="M369" s="693">
        <f t="shared" si="173"/>
        <v>1.0007425217439039</v>
      </c>
      <c r="N369" s="694">
        <f t="shared" si="174"/>
        <v>-3.8524345187105603E-2</v>
      </c>
      <c r="O369" s="692">
        <f t="shared" si="175"/>
        <v>54648.63247442936</v>
      </c>
      <c r="P369" s="695">
        <f t="shared" si="176"/>
        <v>1.5707780280753354</v>
      </c>
      <c r="Q369" s="704">
        <f t="shared" si="198"/>
        <v>22.792211413071236</v>
      </c>
      <c r="R369" s="705">
        <f t="shared" si="199"/>
        <v>1.5269076013555731</v>
      </c>
      <c r="S369" s="692">
        <f t="shared" si="177"/>
        <v>1.0114562637020641</v>
      </c>
      <c r="T369" s="695">
        <f t="shared" si="178"/>
        <v>0.15065158954259295</v>
      </c>
      <c r="U369" s="696">
        <f t="shared" si="190"/>
        <v>0.95508020380109815</v>
      </c>
      <c r="V369" s="697">
        <f t="shared" si="191"/>
        <v>-0.3710585808455889</v>
      </c>
      <c r="W369" s="698">
        <f t="shared" si="179"/>
        <v>-0.61316349966428541</v>
      </c>
      <c r="X369" s="699">
        <f t="shared" si="180"/>
        <v>-121.73391769367969</v>
      </c>
      <c r="Y369" s="702">
        <f t="shared" si="181"/>
        <v>58.266082306320314</v>
      </c>
      <c r="AA369" s="174">
        <f t="shared" si="182"/>
        <v>30200</v>
      </c>
      <c r="AB369" s="174">
        <f t="shared" si="183"/>
        <v>912040000</v>
      </c>
      <c r="AD369" s="701">
        <f t="shared" si="184"/>
        <v>27.513650823498253</v>
      </c>
      <c r="AE369" s="702">
        <f t="shared" si="185"/>
        <v>-11.145290566943475</v>
      </c>
      <c r="AG369" s="701">
        <f t="shared" si="186"/>
        <v>-1.9404651041502741</v>
      </c>
      <c r="AH369" s="702">
        <f t="shared" si="187"/>
        <v>-68.068445809017661</v>
      </c>
      <c r="AJ369" s="174">
        <f t="shared" si="188"/>
        <v>0</v>
      </c>
      <c r="AK369" s="174">
        <f t="shared" si="200"/>
        <v>0</v>
      </c>
      <c r="AM369" s="174" t="str">
        <f t="shared" si="192"/>
        <v>0.143398244469311+0.515978131728218i</v>
      </c>
      <c r="AN369" s="174" t="str">
        <f t="shared" si="193"/>
        <v>0.5421491316i</v>
      </c>
      <c r="AO369" s="174" t="str">
        <f t="shared" si="194"/>
        <v>0.951727304635635-0.264499629550474i</v>
      </c>
      <c r="AP369" s="174" t="str">
        <f t="shared" si="195"/>
        <v>0.142766959255115-0.0859963552880363i</v>
      </c>
      <c r="AQ369" s="174" t="str">
        <f t="shared" si="196"/>
        <v>0.857233040744885+0.0859963552880363i</v>
      </c>
      <c r="AR369" s="174" t="str">
        <f t="shared" si="197"/>
        <v>0.962049216069156-0.0965113595222252i</v>
      </c>
    </row>
    <row r="370" spans="7:44" x14ac:dyDescent="0.2">
      <c r="G370" s="703">
        <v>30375.75</v>
      </c>
      <c r="H370" s="691">
        <f t="shared" si="189"/>
        <v>30.37575</v>
      </c>
      <c r="I370" s="692">
        <f t="shared" si="169"/>
        <v>29.652634600906445</v>
      </c>
      <c r="J370" s="693">
        <f t="shared" si="170"/>
        <v>1.5370661149660927</v>
      </c>
      <c r="K370" s="693">
        <f t="shared" si="171"/>
        <v>1.0001346949813472</v>
      </c>
      <c r="L370" s="694">
        <f t="shared" si="172"/>
        <v>1.641218231293276E-2</v>
      </c>
      <c r="M370" s="693">
        <f t="shared" si="173"/>
        <v>1.00075118590257</v>
      </c>
      <c r="N370" s="694">
        <f t="shared" si="174"/>
        <v>-3.8748315324621148E-2</v>
      </c>
      <c r="O370" s="692">
        <f t="shared" si="175"/>
        <v>54966.662181521227</v>
      </c>
      <c r="P370" s="695">
        <f t="shared" si="176"/>
        <v>1.5707781339492632</v>
      </c>
      <c r="Q370" s="704">
        <f t="shared" si="198"/>
        <v>22.924596924760884</v>
      </c>
      <c r="R370" s="705">
        <f t="shared" si="199"/>
        <v>1.5271612124681482</v>
      </c>
      <c r="S370" s="692">
        <f t="shared" si="177"/>
        <v>1.0115892259028805</v>
      </c>
      <c r="T370" s="695">
        <f t="shared" si="178"/>
        <v>0.1515149933095446</v>
      </c>
      <c r="U370" s="696">
        <f t="shared" si="190"/>
        <v>0.95459320461028407</v>
      </c>
      <c r="V370" s="697">
        <f t="shared" si="191"/>
        <v>-0.37312413748994244</v>
      </c>
      <c r="W370" s="698">
        <f t="shared" si="179"/>
        <v>-0.66908678570147428</v>
      </c>
      <c r="X370" s="699">
        <f t="shared" si="180"/>
        <v>-121.90584099008153</v>
      </c>
      <c r="Y370" s="702">
        <f t="shared" si="181"/>
        <v>58.094159009918471</v>
      </c>
      <c r="AA370" s="174">
        <f t="shared" si="182"/>
        <v>30375.75</v>
      </c>
      <c r="AB370" s="174">
        <f t="shared" si="183"/>
        <v>922686188.0625</v>
      </c>
      <c r="AD370" s="701">
        <f t="shared" si="184"/>
        <v>27.512412622465927</v>
      </c>
      <c r="AE370" s="702">
        <f t="shared" si="185"/>
        <v>-11.18023517858648</v>
      </c>
      <c r="AG370" s="701">
        <f t="shared" si="186"/>
        <v>-1.9862899907603602</v>
      </c>
      <c r="AH370" s="702">
        <f t="shared" si="187"/>
        <v>-67.968729137372705</v>
      </c>
      <c r="AJ370" s="174">
        <f t="shared" si="188"/>
        <v>0</v>
      </c>
      <c r="AK370" s="174">
        <f t="shared" si="200"/>
        <v>0</v>
      </c>
      <c r="AM370" s="174" t="str">
        <f t="shared" si="192"/>
        <v>0.145030445455092+0.518678186162944i</v>
      </c>
      <c r="AN370" s="174" t="str">
        <f t="shared" si="193"/>
        <v>0.5453041882185i</v>
      </c>
      <c r="AO370" s="174" t="str">
        <f t="shared" si="194"/>
        <v>0.951172203275125-0.265962463866093i</v>
      </c>
      <c r="AP370" s="174" t="str">
        <f t="shared" si="195"/>
        <v>0.142494925757485-0.0864463643604907i</v>
      </c>
      <c r="AQ370" s="174" t="str">
        <f t="shared" si="196"/>
        <v>0.857505074242515+0.0864463643604907i</v>
      </c>
      <c r="AR370" s="174" t="str">
        <f t="shared" si="197"/>
        <v>0.961649619747973-0.0969453311857021i</v>
      </c>
    </row>
    <row r="371" spans="7:44" x14ac:dyDescent="0.2">
      <c r="G371" s="703">
        <v>30551.5</v>
      </c>
      <c r="H371" s="691">
        <f t="shared" si="189"/>
        <v>30.551500000000001</v>
      </c>
      <c r="I371" s="692">
        <f t="shared" si="169"/>
        <v>29.824006191691623</v>
      </c>
      <c r="J371" s="693">
        <f t="shared" si="170"/>
        <v>1.5372600048919636</v>
      </c>
      <c r="K371" s="693">
        <f t="shared" si="171"/>
        <v>1.0001362580380022</v>
      </c>
      <c r="L371" s="694">
        <f t="shared" si="172"/>
        <v>1.6507123790869684E-2</v>
      </c>
      <c r="M371" s="693">
        <f t="shared" si="173"/>
        <v>1.0007599002606693</v>
      </c>
      <c r="N371" s="694">
        <f t="shared" si="174"/>
        <v>-3.8972281572823321E-2</v>
      </c>
      <c r="O371" s="692">
        <f t="shared" si="175"/>
        <v>55284.691888613699</v>
      </c>
      <c r="P371" s="695">
        <f t="shared" si="176"/>
        <v>1.5707782386050941</v>
      </c>
      <c r="Q371" s="704">
        <f t="shared" si="198"/>
        <v>23.05698389399646</v>
      </c>
      <c r="R371" s="705">
        <f t="shared" si="199"/>
        <v>1.5274119112637787</v>
      </c>
      <c r="S371" s="692">
        <f t="shared" si="177"/>
        <v>1.0117229420105973</v>
      </c>
      <c r="T371" s="695">
        <f t="shared" si="178"/>
        <v>0.15237816949332719</v>
      </c>
      <c r="U371" s="696">
        <f t="shared" si="190"/>
        <v>0.954104085667833</v>
      </c>
      <c r="V371" s="697">
        <f t="shared" si="191"/>
        <v>-0.37518817779689512</v>
      </c>
      <c r="W371" s="698">
        <f t="shared" si="179"/>
        <v>-0.72474599685146335</v>
      </c>
      <c r="X371" s="699">
        <f t="shared" si="180"/>
        <v>-122.07770180356826</v>
      </c>
      <c r="Y371" s="702">
        <f t="shared" si="181"/>
        <v>57.92229819643174</v>
      </c>
      <c r="AA371" s="174">
        <f t="shared" si="182"/>
        <v>30551.5</v>
      </c>
      <c r="AB371" s="174">
        <f t="shared" si="183"/>
        <v>933394152.25</v>
      </c>
      <c r="AD371" s="701">
        <f t="shared" si="184"/>
        <v>27.511169756850702</v>
      </c>
      <c r="AE371" s="702">
        <f t="shared" si="185"/>
        <v>-11.215333544352314</v>
      </c>
      <c r="AG371" s="701">
        <f t="shared" si="186"/>
        <v>-2.031803021414027</v>
      </c>
      <c r="AH371" s="702">
        <f t="shared" si="187"/>
        <v>-67.868969988156792</v>
      </c>
      <c r="AJ371" s="174">
        <f t="shared" si="188"/>
        <v>0</v>
      </c>
      <c r="AK371" s="174">
        <f t="shared" si="200"/>
        <v>0</v>
      </c>
      <c r="AM371" s="174" t="str">
        <f t="shared" si="192"/>
        <v>0.146671157127584+0.521373077481014i</v>
      </c>
      <c r="AN371" s="174" t="str">
        <f t="shared" si="193"/>
        <v>0.548459244837i</v>
      </c>
      <c r="AO371" s="174" t="str">
        <f t="shared" si="194"/>
        <v>0.950614074589925-0.267423985479858i</v>
      </c>
      <c r="AP371" s="174" t="str">
        <f t="shared" si="195"/>
        <v>0.142221473812069-0.0868955129135023i</v>
      </c>
      <c r="AQ371" s="174" t="str">
        <f t="shared" si="196"/>
        <v>0.857778526187931+0.0868955129135023i</v>
      </c>
      <c r="AR371" s="174" t="str">
        <f t="shared" si="197"/>
        <v>0.961248529369814-0.0973773316151301i</v>
      </c>
    </row>
    <row r="372" spans="7:44" x14ac:dyDescent="0.2">
      <c r="G372" s="703">
        <v>30727.25</v>
      </c>
      <c r="H372" s="691">
        <f t="shared" si="189"/>
        <v>30.727250000000002</v>
      </c>
      <c r="I372" s="692">
        <f t="shared" si="169"/>
        <v>29.995378890848453</v>
      </c>
      <c r="J372" s="693">
        <f t="shared" si="170"/>
        <v>1.5374516793210398</v>
      </c>
      <c r="K372" s="693">
        <f t="shared" si="171"/>
        <v>1.0001378301097414</v>
      </c>
      <c r="L372" s="694">
        <f t="shared" si="172"/>
        <v>1.6602064971193903E-2</v>
      </c>
      <c r="M372" s="693">
        <f t="shared" si="173"/>
        <v>1.0007686648168905</v>
      </c>
      <c r="N372" s="694">
        <f t="shared" si="174"/>
        <v>-3.9196243909345348E-2</v>
      </c>
      <c r="O372" s="692">
        <f t="shared" si="175"/>
        <v>55602.721595706775</v>
      </c>
      <c r="P372" s="695">
        <f t="shared" si="176"/>
        <v>1.5707783420637296</v>
      </c>
      <c r="Q372" s="704">
        <f t="shared" si="198"/>
        <v>23.189372295814785</v>
      </c>
      <c r="R372" s="705">
        <f t="shared" si="199"/>
        <v>1.5276597475900351</v>
      </c>
      <c r="S372" s="692">
        <f t="shared" si="177"/>
        <v>1.0118574117263295</v>
      </c>
      <c r="T372" s="695">
        <f t="shared" si="178"/>
        <v>0.15324111689816286</v>
      </c>
      <c r="U372" s="696">
        <f t="shared" si="190"/>
        <v>0.9536128574761672</v>
      </c>
      <c r="V372" s="697">
        <f t="shared" si="191"/>
        <v>-0.37725069613005707</v>
      </c>
      <c r="W372" s="698">
        <f t="shared" si="179"/>
        <v>-0.78014441540907586</v>
      </c>
      <c r="X372" s="699">
        <f t="shared" si="180"/>
        <v>-122.24949909944529</v>
      </c>
      <c r="Y372" s="702">
        <f t="shared" si="181"/>
        <v>57.750500900554712</v>
      </c>
      <c r="AA372" s="174">
        <f t="shared" si="182"/>
        <v>30727.25</v>
      </c>
      <c r="AB372" s="174">
        <f t="shared" si="183"/>
        <v>944163892.5625</v>
      </c>
      <c r="AD372" s="701">
        <f t="shared" si="184"/>
        <v>27.509922193983257</v>
      </c>
      <c r="AE372" s="702">
        <f t="shared" si="185"/>
        <v>-11.250582740870088</v>
      </c>
      <c r="AG372" s="701">
        <f t="shared" si="186"/>
        <v>-2.0770075730530602</v>
      </c>
      <c r="AH372" s="702">
        <f t="shared" si="187"/>
        <v>-67.769170895928895</v>
      </c>
      <c r="AJ372" s="174">
        <f t="shared" si="188"/>
        <v>0</v>
      </c>
      <c r="AK372" s="174">
        <f t="shared" si="200"/>
        <v>0</v>
      </c>
      <c r="AM372" s="174" t="str">
        <f t="shared" si="192"/>
        <v>0.148320363154531+0.524062778856474i</v>
      </c>
      <c r="AN372" s="174" t="str">
        <f t="shared" si="193"/>
        <v>0.5516143014555i</v>
      </c>
      <c r="AO372" s="174" t="str">
        <f t="shared" si="194"/>
        <v>0.950052921894287-0.26888418730836i</v>
      </c>
      <c r="AP372" s="174" t="str">
        <f t="shared" si="195"/>
        <v>0.141946606140912-0.087343796476079i</v>
      </c>
      <c r="AQ372" s="174" t="str">
        <f t="shared" si="196"/>
        <v>0.858053393859088+0.087343796476079i</v>
      </c>
      <c r="AR372" s="174" t="str">
        <f t="shared" si="197"/>
        <v>0.960845956802565-0.0978073559249961i</v>
      </c>
    </row>
    <row r="373" spans="7:44" x14ac:dyDescent="0.2">
      <c r="G373" s="703">
        <v>30903</v>
      </c>
      <c r="H373" s="691">
        <f t="shared" si="189"/>
        <v>30.902999999999999</v>
      </c>
      <c r="I373" s="692">
        <f t="shared" si="169"/>
        <v>30.16675267948747</v>
      </c>
      <c r="J373" s="693">
        <f t="shared" si="170"/>
        <v>1.5376411759970494</v>
      </c>
      <c r="K373" s="693">
        <f t="shared" si="171"/>
        <v>1.0001394111965223</v>
      </c>
      <c r="L373" s="694">
        <f t="shared" si="172"/>
        <v>1.6697005852195263E-2</v>
      </c>
      <c r="M373" s="693">
        <f t="shared" si="173"/>
        <v>1.0007774795699147</v>
      </c>
      <c r="N373" s="694">
        <f t="shared" si="174"/>
        <v>-3.9420202311822763E-2</v>
      </c>
      <c r="O373" s="692">
        <f t="shared" si="175"/>
        <v>55920.751302800425</v>
      </c>
      <c r="P373" s="695">
        <f t="shared" si="176"/>
        <v>1.5707784443455954</v>
      </c>
      <c r="Q373" s="704">
        <f t="shared" si="198"/>
        <v>23.321762105819243</v>
      </c>
      <c r="R373" s="705">
        <f t="shared" si="199"/>
        <v>1.5279047701640409</v>
      </c>
      <c r="S373" s="692">
        <f t="shared" si="177"/>
        <v>1.0119926347496677</v>
      </c>
      <c r="T373" s="695">
        <f t="shared" si="178"/>
        <v>0.15410383433027042</v>
      </c>
      <c r="U373" s="696">
        <f t="shared" si="190"/>
        <v>0.95311953055382148</v>
      </c>
      <c r="V373" s="697">
        <f t="shared" si="191"/>
        <v>-0.37931168689800016</v>
      </c>
      <c r="W373" s="698">
        <f t="shared" si="179"/>
        <v>-0.83528526598668784</v>
      </c>
      <c r="X373" s="699">
        <f t="shared" si="180"/>
        <v>-122.42123186020643</v>
      </c>
      <c r="Y373" s="702">
        <f t="shared" si="181"/>
        <v>57.578768139793567</v>
      </c>
      <c r="AA373" s="174">
        <f t="shared" si="182"/>
        <v>30903</v>
      </c>
      <c r="AB373" s="174">
        <f t="shared" si="183"/>
        <v>954995409</v>
      </c>
      <c r="AD373" s="701">
        <f t="shared" si="184"/>
        <v>27.508669902287831</v>
      </c>
      <c r="AE373" s="702">
        <f t="shared" si="185"/>
        <v>-11.285979909625937</v>
      </c>
      <c r="AG373" s="701">
        <f t="shared" si="186"/>
        <v>-2.1219069663334174</v>
      </c>
      <c r="AH373" s="702">
        <f t="shared" si="187"/>
        <v>-67.669334342427163</v>
      </c>
      <c r="AJ373" s="174">
        <f t="shared" si="188"/>
        <v>0</v>
      </c>
      <c r="AK373" s="174">
        <f t="shared" si="200"/>
        <v>0</v>
      </c>
      <c r="AM373" s="174" t="str">
        <f t="shared" si="192"/>
        <v>0.149978047119118+0.526747263515029i</v>
      </c>
      <c r="AN373" s="174" t="str">
        <f t="shared" si="193"/>
        <v>0.554769358074i</v>
      </c>
      <c r="AO373" s="174" t="str">
        <f t="shared" si="194"/>
        <v>0.949488748520186-0.270343062276905i</v>
      </c>
      <c r="AP373" s="174" t="str">
        <f t="shared" si="195"/>
        <v>0.141670325480147-0.0877912105858382i</v>
      </c>
      <c r="AQ373" s="174" t="str">
        <f t="shared" si="196"/>
        <v>0.858329674519853+0.0877912105858382i</v>
      </c>
      <c r="AR373" s="174" t="str">
        <f t="shared" si="197"/>
        <v>0.96044191392181-0.098235399315237i</v>
      </c>
    </row>
    <row r="374" spans="7:44" x14ac:dyDescent="0.2">
      <c r="G374" s="703">
        <v>31083</v>
      </c>
      <c r="H374" s="691">
        <f t="shared" si="189"/>
        <v>31.082999999999998</v>
      </c>
      <c r="I374" s="692">
        <f t="shared" si="169"/>
        <v>30.342271752277345</v>
      </c>
      <c r="J374" s="693">
        <f t="shared" si="170"/>
        <v>1.537833036256006</v>
      </c>
      <c r="K374" s="693">
        <f t="shared" si="171"/>
        <v>1.0001410398619017</v>
      </c>
      <c r="L374" s="694">
        <f t="shared" si="172"/>
        <v>1.6794242288819049E-2</v>
      </c>
      <c r="M374" s="693">
        <f t="shared" si="173"/>
        <v>1.000786559512862</v>
      </c>
      <c r="N374" s="694">
        <f t="shared" si="174"/>
        <v>-3.9649572392330447E-2</v>
      </c>
      <c r="O374" s="692">
        <f t="shared" si="175"/>
        <v>56246.471628700645</v>
      </c>
      <c r="P374" s="695">
        <f t="shared" si="176"/>
        <v>1.5707785479019083</v>
      </c>
      <c r="Q374" s="704">
        <f t="shared" si="198"/>
        <v>23.457354811141929</v>
      </c>
      <c r="R374" s="705">
        <f t="shared" si="199"/>
        <v>1.5281528510050479</v>
      </c>
      <c r="S374" s="692">
        <f t="shared" si="177"/>
        <v>1.0121319082837157</v>
      </c>
      <c r="T374" s="695">
        <f t="shared" si="178"/>
        <v>0.15498717443449481</v>
      </c>
      <c r="U374" s="696">
        <f t="shared" si="190"/>
        <v>0.95261210949753905</v>
      </c>
      <c r="V374" s="697">
        <f t="shared" si="191"/>
        <v>-0.3814209274862983</v>
      </c>
      <c r="W374" s="698">
        <f t="shared" si="179"/>
        <v>-0.89149586097886246</v>
      </c>
      <c r="X374" s="699">
        <f t="shared" si="180"/>
        <v>-122.59704953533382</v>
      </c>
      <c r="Y374" s="702">
        <f t="shared" si="181"/>
        <v>57.402950464666176</v>
      </c>
      <c r="AA374" s="174">
        <f t="shared" si="182"/>
        <v>31083</v>
      </c>
      <c r="AB374" s="174">
        <f t="shared" si="183"/>
        <v>966152889</v>
      </c>
      <c r="AD374" s="701">
        <f t="shared" si="184"/>
        <v>27.507382393955734</v>
      </c>
      <c r="AE374" s="702">
        <f t="shared" si="185"/>
        <v>-11.322383517686143</v>
      </c>
      <c r="AG374" s="701">
        <f t="shared" si="186"/>
        <v>-2.1675792155588267</v>
      </c>
      <c r="AH374" s="702">
        <f t="shared" si="187"/>
        <v>-67.567047241843852</v>
      </c>
      <c r="AJ374" s="174">
        <f t="shared" si="188"/>
        <v>0</v>
      </c>
      <c r="AK374" s="174">
        <f t="shared" si="200"/>
        <v>0</v>
      </c>
      <c r="AM374" s="174" t="str">
        <f t="shared" si="192"/>
        <v>0.151684588019365+0.529491229196598i</v>
      </c>
      <c r="AN374" s="174" t="str">
        <f t="shared" si="193"/>
        <v>0.558000710514i</v>
      </c>
      <c r="AO374" s="174" t="str">
        <f t="shared" si="194"/>
        <v>0.948907804631394-0.271835833111469i</v>
      </c>
      <c r="AP374" s="174" t="str">
        <f t="shared" si="195"/>
        <v>0.141385901996773-0.088248538199433i</v>
      </c>
      <c r="AQ374" s="174" t="str">
        <f t="shared" si="196"/>
        <v>0.858614098003227+0.088248538199433i</v>
      </c>
      <c r="AR374" s="174" t="str">
        <f t="shared" si="197"/>
        <v>0.960026588785221-0.0986717354046585i</v>
      </c>
    </row>
    <row r="375" spans="7:44" x14ac:dyDescent="0.2">
      <c r="G375" s="703">
        <v>31263</v>
      </c>
      <c r="H375" s="691">
        <f t="shared" si="189"/>
        <v>31.263000000000002</v>
      </c>
      <c r="I375" s="692">
        <f t="shared" si="169"/>
        <v>30.517791929129586</v>
      </c>
      <c r="J375" s="693">
        <f t="shared" si="170"/>
        <v>1.5380226895898248</v>
      </c>
      <c r="K375" s="693">
        <f t="shared" si="171"/>
        <v>1.0001426779835085</v>
      </c>
      <c r="L375" s="694">
        <f t="shared" si="172"/>
        <v>1.6891478407837425E-2</v>
      </c>
      <c r="M375" s="693">
        <f t="shared" si="173"/>
        <v>1.0007956921068677</v>
      </c>
      <c r="N375" s="694">
        <f t="shared" si="174"/>
        <v>-3.9878938298748293E-2</v>
      </c>
      <c r="O375" s="692">
        <f t="shared" si="175"/>
        <v>56572.191954601469</v>
      </c>
      <c r="P375" s="695">
        <f t="shared" si="176"/>
        <v>1.5707786502657486</v>
      </c>
      <c r="Q375" s="704">
        <f t="shared" si="198"/>
        <v>23.592948943532498</v>
      </c>
      <c r="R375" s="705">
        <f t="shared" si="199"/>
        <v>1.5283980803051012</v>
      </c>
      <c r="S375" s="692">
        <f t="shared" si="177"/>
        <v>1.01227197135623</v>
      </c>
      <c r="T375" s="695">
        <f t="shared" si="178"/>
        <v>0.15587027078081786</v>
      </c>
      <c r="U375" s="696">
        <f t="shared" si="190"/>
        <v>0.95210250936307295</v>
      </c>
      <c r="V375" s="697">
        <f t="shared" si="191"/>
        <v>-0.38352855400929992</v>
      </c>
      <c r="W375" s="698">
        <f t="shared" si="179"/>
        <v>-0.94744294720281408</v>
      </c>
      <c r="X375" s="699">
        <f t="shared" si="180"/>
        <v>-122.77279740951462</v>
      </c>
      <c r="Y375" s="702">
        <f t="shared" si="181"/>
        <v>57.227202590485376</v>
      </c>
      <c r="AA375" s="174">
        <f t="shared" si="182"/>
        <v>31263</v>
      </c>
      <c r="AB375" s="174">
        <f t="shared" si="183"/>
        <v>977375169</v>
      </c>
      <c r="AD375" s="701">
        <f t="shared" si="184"/>
        <v>27.50608986164201</v>
      </c>
      <c r="AE375" s="702">
        <f t="shared" si="185"/>
        <v>-11.358936472385674</v>
      </c>
      <c r="AG375" s="701">
        <f t="shared" si="186"/>
        <v>-2.2129382443771606</v>
      </c>
      <c r="AH375" s="702">
        <f t="shared" si="187"/>
        <v>-67.46472595193346</v>
      </c>
      <c r="AJ375" s="174">
        <f t="shared" si="188"/>
        <v>0</v>
      </c>
      <c r="AK375" s="174">
        <f t="shared" si="200"/>
        <v>0</v>
      </c>
      <c r="AM375" s="174" t="str">
        <f t="shared" si="192"/>
        <v>0.153399986714847+0.532229666126926i</v>
      </c>
      <c r="AN375" s="174" t="str">
        <f t="shared" si="193"/>
        <v>0.561232062954i</v>
      </c>
      <c r="AO375" s="174" t="str">
        <f t="shared" si="194"/>
        <v>0.948323699336738-0.273327197144508i</v>
      </c>
      <c r="AP375" s="174" t="str">
        <f t="shared" si="195"/>
        <v>0.141100002214192-0.0887049443544877i</v>
      </c>
      <c r="AQ375" s="174" t="str">
        <f t="shared" si="196"/>
        <v>0.858899997785808+0.0887049443544877i</v>
      </c>
      <c r="AR375" s="174" t="str">
        <f t="shared" si="197"/>
        <v>0.959609746601575-0.0991059836928122i</v>
      </c>
    </row>
    <row r="376" spans="7:44" x14ac:dyDescent="0.2">
      <c r="G376" s="703">
        <v>31443</v>
      </c>
      <c r="H376" s="691">
        <f t="shared" si="189"/>
        <v>31.443000000000001</v>
      </c>
      <c r="I376" s="692">
        <f t="shared" si="169"/>
        <v>30.69331319110341</v>
      </c>
      <c r="J376" s="693">
        <f t="shared" si="170"/>
        <v>1.5382101738459832</v>
      </c>
      <c r="K376" s="693">
        <f t="shared" si="171"/>
        <v>1.0001443255612961</v>
      </c>
      <c r="L376" s="694">
        <f t="shared" si="172"/>
        <v>1.6988714207413245E-2</v>
      </c>
      <c r="M376" s="693">
        <f t="shared" si="173"/>
        <v>1.0008048773504901</v>
      </c>
      <c r="N376" s="694">
        <f t="shared" si="174"/>
        <v>-4.0108300007057583E-2</v>
      </c>
      <c r="O376" s="692">
        <f t="shared" si="175"/>
        <v>56897.912280502867</v>
      </c>
      <c r="P376" s="695">
        <f t="shared" si="176"/>
        <v>1.5707787514575957</v>
      </c>
      <c r="Q376" s="704">
        <f t="shared" si="198"/>
        <v>23.728544478526484</v>
      </c>
      <c r="R376" s="705">
        <f t="shared" si="199"/>
        <v>1.5286405069193985</v>
      </c>
      <c r="S376" s="692">
        <f t="shared" si="177"/>
        <v>1.0124128236395229</v>
      </c>
      <c r="T376" s="695">
        <f t="shared" si="178"/>
        <v>0.15675312209331377</v>
      </c>
      <c r="U376" s="696">
        <f t="shared" si="190"/>
        <v>0.95159074149963041</v>
      </c>
      <c r="V376" s="697">
        <f t="shared" si="191"/>
        <v>-0.38563456060690193</v>
      </c>
      <c r="W376" s="698">
        <f t="shared" si="179"/>
        <v>-1.0031298092329008</v>
      </c>
      <c r="X376" s="699">
        <f t="shared" si="180"/>
        <v>-122.9484744430909</v>
      </c>
      <c r="Y376" s="702">
        <f t="shared" si="181"/>
        <v>57.051525556909098</v>
      </c>
      <c r="AA376" s="174">
        <f t="shared" si="182"/>
        <v>31443</v>
      </c>
      <c r="AB376" s="174">
        <f t="shared" si="183"/>
        <v>988662249</v>
      </c>
      <c r="AD376" s="701">
        <f t="shared" si="184"/>
        <v>27.504792274759513</v>
      </c>
      <c r="AE376" s="702">
        <f t="shared" si="185"/>
        <v>-11.395635902596089</v>
      </c>
      <c r="AG376" s="701">
        <f t="shared" si="186"/>
        <v>-2.2579874448310173</v>
      </c>
      <c r="AH376" s="702">
        <f t="shared" si="187"/>
        <v>-67.362372975684991</v>
      </c>
      <c r="AJ376" s="174">
        <f t="shared" si="188"/>
        <v>0</v>
      </c>
      <c r="AK376" s="174">
        <f t="shared" si="200"/>
        <v>0</v>
      </c>
      <c r="AM376" s="174" t="str">
        <f t="shared" si="192"/>
        <v>0.155124225294008+0.534962545712268i</v>
      </c>
      <c r="AN376" s="174" t="str">
        <f t="shared" si="193"/>
        <v>0.564463415394i</v>
      </c>
      <c r="AO376" s="174" t="str">
        <f t="shared" si="194"/>
        <v>0.947736436273482-0.274817146804333i</v>
      </c>
      <c r="AP376" s="174" t="str">
        <f t="shared" si="195"/>
        <v>0.140812629117665-0.089160424285378i</v>
      </c>
      <c r="AQ376" s="174" t="str">
        <f t="shared" si="196"/>
        <v>0.859187370882335+0.089160424285378i</v>
      </c>
      <c r="AR376" s="174" t="str">
        <f t="shared" si="197"/>
        <v>0.959191400149483-0.0995381393006135i</v>
      </c>
    </row>
    <row r="377" spans="7:44" x14ac:dyDescent="0.2">
      <c r="G377" s="703">
        <v>31623</v>
      </c>
      <c r="H377" s="691">
        <f t="shared" si="189"/>
        <v>31.623000000000001</v>
      </c>
      <c r="I377" s="692">
        <f t="shared" si="169"/>
        <v>30.868835519688691</v>
      </c>
      <c r="J377" s="693">
        <f t="shared" si="170"/>
        <v>1.5383955260117628</v>
      </c>
      <c r="K377" s="693">
        <f t="shared" si="171"/>
        <v>1.0001459825952177</v>
      </c>
      <c r="L377" s="694">
        <f t="shared" si="172"/>
        <v>1.7085949685709406E-2</v>
      </c>
      <c r="M377" s="693">
        <f t="shared" si="173"/>
        <v>1.0008141152422796</v>
      </c>
      <c r="N377" s="694">
        <f t="shared" si="174"/>
        <v>-4.0337657493242293E-2</v>
      </c>
      <c r="O377" s="692">
        <f t="shared" si="175"/>
        <v>57223.632606404855</v>
      </c>
      <c r="P377" s="695">
        <f t="shared" si="176"/>
        <v>1.5707788514974625</v>
      </c>
      <c r="Q377" s="704">
        <f t="shared" si="198"/>
        <v>23.864141392215206</v>
      </c>
      <c r="R377" s="705">
        <f t="shared" si="199"/>
        <v>1.5288801785940838</v>
      </c>
      <c r="S377" s="692">
        <f t="shared" si="177"/>
        <v>1.0125544648042426</v>
      </c>
      <c r="T377" s="695">
        <f t="shared" si="178"/>
        <v>0.15763572709829266</v>
      </c>
      <c r="U377" s="696">
        <f t="shared" si="190"/>
        <v>0.95107681727174209</v>
      </c>
      <c r="V377" s="697">
        <f t="shared" si="191"/>
        <v>-0.38773894146857502</v>
      </c>
      <c r="W377" s="698">
        <f t="shared" si="179"/>
        <v>-1.0585596737740068</v>
      </c>
      <c r="X377" s="699">
        <f t="shared" si="180"/>
        <v>-123.12407961360537</v>
      </c>
      <c r="Y377" s="702">
        <f t="shared" si="181"/>
        <v>56.875920386394625</v>
      </c>
      <c r="AA377" s="174">
        <f t="shared" si="182"/>
        <v>31623</v>
      </c>
      <c r="AB377" s="174">
        <f t="shared" si="183"/>
        <v>1000014129</v>
      </c>
      <c r="AD377" s="701">
        <f t="shared" si="184"/>
        <v>27.503489603772621</v>
      </c>
      <c r="AE377" s="702">
        <f t="shared" si="185"/>
        <v>-11.432479000834451</v>
      </c>
      <c r="AG377" s="701">
        <f t="shared" si="186"/>
        <v>-2.3027301524538935</v>
      </c>
      <c r="AH377" s="702">
        <f t="shared" si="187"/>
        <v>-67.259990763961611</v>
      </c>
      <c r="AJ377" s="174">
        <f t="shared" si="188"/>
        <v>0</v>
      </c>
      <c r="AK377" s="174">
        <f t="shared" si="200"/>
        <v>0</v>
      </c>
      <c r="AM377" s="174" t="str">
        <f t="shared" si="192"/>
        <v>0.156857285752987+0.537689839416908i</v>
      </c>
      <c r="AN377" s="174" t="str">
        <f t="shared" si="193"/>
        <v>0.567694767834i</v>
      </c>
      <c r="AO377" s="174" t="str">
        <f t="shared" si="194"/>
        <v>0.947146019098302-0.276305674529052i</v>
      </c>
      <c r="AP377" s="174" t="str">
        <f t="shared" si="195"/>
        <v>0.140523785707835-0.0896149732361513i</v>
      </c>
      <c r="AQ377" s="174" t="str">
        <f t="shared" si="196"/>
        <v>0.859476214292165+0.0896149732361513i</v>
      </c>
      <c r="AR377" s="174" t="str">
        <f t="shared" si="197"/>
        <v>0.958771562212919-0.0999681974422698i</v>
      </c>
    </row>
    <row r="378" spans="7:44" x14ac:dyDescent="0.2">
      <c r="G378" s="703">
        <v>31807</v>
      </c>
      <c r="H378" s="691">
        <f t="shared" si="189"/>
        <v>31.806999999999999</v>
      </c>
      <c r="I378" s="692">
        <f t="shared" si="169"/>
        <v>31.048259428058024</v>
      </c>
      <c r="J378" s="693">
        <f t="shared" si="170"/>
        <v>1.5385828310654646</v>
      </c>
      <c r="K378" s="693">
        <f t="shared" si="171"/>
        <v>1.0001476862257399</v>
      </c>
      <c r="L378" s="694">
        <f t="shared" si="172"/>
        <v>1.7185345618431009E-2</v>
      </c>
      <c r="M378" s="693">
        <f t="shared" si="173"/>
        <v>1.0008236128351411</v>
      </c>
      <c r="N378" s="694">
        <f t="shared" si="174"/>
        <v>-4.057210742354516E-2</v>
      </c>
      <c r="O378" s="692">
        <f t="shared" si="175"/>
        <v>57556.591161771903</v>
      </c>
      <c r="P378" s="695">
        <f t="shared" si="176"/>
        <v>1.5707789525901381</v>
      </c>
      <c r="Q378" s="704">
        <f t="shared" si="198"/>
        <v>24.002752971315022</v>
      </c>
      <c r="R378" s="705">
        <f t="shared" si="199"/>
        <v>1.5291223774415283</v>
      </c>
      <c r="S378" s="692">
        <f t="shared" si="177"/>
        <v>1.0127000685779899</v>
      </c>
      <c r="T378" s="695">
        <f t="shared" si="178"/>
        <v>0.15853768964538117</v>
      </c>
      <c r="U378" s="696">
        <f t="shared" si="190"/>
        <v>0.95054925557831427</v>
      </c>
      <c r="V378" s="697">
        <f t="shared" si="191"/>
        <v>-0.38988840002265807</v>
      </c>
      <c r="W378" s="698">
        <f t="shared" si="179"/>
        <v>-1.1149589861121931</v>
      </c>
      <c r="X378" s="699">
        <f t="shared" si="180"/>
        <v>-123.3035117979732</v>
      </c>
      <c r="Y378" s="702">
        <f t="shared" si="181"/>
        <v>56.696488202026799</v>
      </c>
      <c r="AA378" s="174">
        <f t="shared" si="182"/>
        <v>31807</v>
      </c>
      <c r="AB378" s="174">
        <f t="shared" si="183"/>
        <v>1011685249</v>
      </c>
      <c r="AD378" s="701">
        <f t="shared" si="184"/>
        <v>27.502152700022581</v>
      </c>
      <c r="AE378" s="702">
        <f t="shared" si="185"/>
        <v>-11.470286468526837</v>
      </c>
      <c r="AG378" s="701">
        <f t="shared" si="186"/>
        <v>-2.3481537727873598</v>
      </c>
      <c r="AH378" s="702">
        <f t="shared" si="187"/>
        <v>-67.155305673581097</v>
      </c>
      <c r="AJ378" s="174">
        <f t="shared" si="188"/>
        <v>0</v>
      </c>
      <c r="AK378" s="174">
        <f t="shared" si="200"/>
        <v>0</v>
      </c>
      <c r="AM378" s="174" t="str">
        <f t="shared" si="192"/>
        <v>0.158637957944611+0.540471936541006i</v>
      </c>
      <c r="AN378" s="174" t="str">
        <f t="shared" si="193"/>
        <v>0.570997928106i</v>
      </c>
      <c r="AO378" s="174" t="str">
        <f t="shared" si="194"/>
        <v>0.946539225341415-0.27782580310022i</v>
      </c>
      <c r="AP378" s="174" t="str">
        <f t="shared" si="195"/>
        <v>0.140227007009231-0.0900786560901677i</v>
      </c>
      <c r="AQ378" s="174" t="str">
        <f t="shared" si="196"/>
        <v>0.859772992990769+0.0900786560901677i</v>
      </c>
      <c r="AR378" s="174" t="str">
        <f t="shared" si="197"/>
        <v>0.958340866291478-0.100405639646267i</v>
      </c>
    </row>
    <row r="379" spans="7:44" x14ac:dyDescent="0.2">
      <c r="G379" s="703">
        <v>31991</v>
      </c>
      <c r="H379" s="691">
        <f t="shared" si="189"/>
        <v>31.991</v>
      </c>
      <c r="I379" s="692">
        <f t="shared" si="169"/>
        <v>31.227684413181912</v>
      </c>
      <c r="J379" s="693">
        <f t="shared" si="170"/>
        <v>1.5387679837273607</v>
      </c>
      <c r="K379" s="693">
        <f t="shared" si="171"/>
        <v>1.0001493997372388</v>
      </c>
      <c r="L379" s="694">
        <f t="shared" si="172"/>
        <v>1.7284741211553326E-2</v>
      </c>
      <c r="M379" s="693">
        <f t="shared" si="173"/>
        <v>1.0008331654389979</v>
      </c>
      <c r="N379" s="694">
        <f t="shared" si="174"/>
        <v>-4.080655289124873E-2</v>
      </c>
      <c r="O379" s="692">
        <f t="shared" si="175"/>
        <v>57889.54971713954</v>
      </c>
      <c r="P379" s="695">
        <f t="shared" si="176"/>
        <v>1.5707790525199206</v>
      </c>
      <c r="Q379" s="704">
        <f t="shared" si="198"/>
        <v>24.141365942254431</v>
      </c>
      <c r="R379" s="705">
        <f t="shared" si="199"/>
        <v>1.5293617950268044</v>
      </c>
      <c r="S379" s="692">
        <f t="shared" si="177"/>
        <v>1.0128464959828776</v>
      </c>
      <c r="T379" s="695">
        <f t="shared" si="178"/>
        <v>0.15943939213207736</v>
      </c>
      <c r="U379" s="696">
        <f t="shared" si="190"/>
        <v>0.95001946467784748</v>
      </c>
      <c r="V379" s="697">
        <f t="shared" si="191"/>
        <v>-0.3920361476634337</v>
      </c>
      <c r="W379" s="698">
        <f t="shared" si="179"/>
        <v>-1.171096390884572</v>
      </c>
      <c r="X379" s="699">
        <f t="shared" si="180"/>
        <v>-123.48286678262473</v>
      </c>
      <c r="Y379" s="702">
        <f t="shared" si="181"/>
        <v>56.517133217375275</v>
      </c>
      <c r="AA379" s="174">
        <f t="shared" si="182"/>
        <v>31991</v>
      </c>
      <c r="AB379" s="174">
        <f t="shared" si="183"/>
        <v>1023424081</v>
      </c>
      <c r="AD379" s="701">
        <f t="shared" si="184"/>
        <v>27.500810424499864</v>
      </c>
      <c r="AE379" s="702">
        <f t="shared" si="185"/>
        <v>-11.508238323811598</v>
      </c>
      <c r="AG379" s="701">
        <f t="shared" si="186"/>
        <v>-2.393264000117191</v>
      </c>
      <c r="AH379" s="702">
        <f t="shared" si="187"/>
        <v>-67.050595052115355</v>
      </c>
      <c r="AJ379" s="174">
        <f t="shared" si="188"/>
        <v>0</v>
      </c>
      <c r="AK379" s="174">
        <f t="shared" si="200"/>
        <v>0</v>
      </c>
      <c r="AM379" s="174" t="str">
        <f t="shared" si="192"/>
        <v>0.160427810117885+0.543248136652626i</v>
      </c>
      <c r="AN379" s="174" t="str">
        <f t="shared" si="193"/>
        <v>0.574301088378i</v>
      </c>
      <c r="AO379" s="174" t="str">
        <f t="shared" si="194"/>
        <v>0.945929143521081-0.279344429889523i</v>
      </c>
      <c r="AP379" s="174" t="str">
        <f t="shared" si="195"/>
        <v>0.139928698313686-0.090541356108771i</v>
      </c>
      <c r="AQ379" s="174" t="str">
        <f t="shared" si="196"/>
        <v>0.860071301686314+0.090541356108771i</v>
      </c>
      <c r="AR379" s="174" t="str">
        <f t="shared" si="197"/>
        <v>0.957908638888428-0.100840880312151i</v>
      </c>
    </row>
    <row r="380" spans="7:44" x14ac:dyDescent="0.2">
      <c r="G380" s="703">
        <v>32175</v>
      </c>
      <c r="H380" s="691">
        <f t="shared" si="189"/>
        <v>32.174999999999997</v>
      </c>
      <c r="I380" s="692">
        <f t="shared" si="169"/>
        <v>31.407110456606265</v>
      </c>
      <c r="J380" s="693">
        <f t="shared" si="170"/>
        <v>1.5389510208739186</v>
      </c>
      <c r="K380" s="693">
        <f t="shared" si="171"/>
        <v>1.0001511231296636</v>
      </c>
      <c r="L380" s="694">
        <f t="shared" si="172"/>
        <v>1.7384136463114163E-2</v>
      </c>
      <c r="M380" s="693">
        <f t="shared" si="173"/>
        <v>1.0008427730522749</v>
      </c>
      <c r="N380" s="694">
        <f t="shared" si="174"/>
        <v>-4.1040993870708725E-2</v>
      </c>
      <c r="O380" s="692">
        <f t="shared" si="175"/>
        <v>58222.508272507745</v>
      </c>
      <c r="P380" s="695">
        <f t="shared" si="176"/>
        <v>1.5707791513067613</v>
      </c>
      <c r="Q380" s="704">
        <f t="shared" si="198"/>
        <v>24.279980281195634</v>
      </c>
      <c r="R380" s="705">
        <f t="shared" si="199"/>
        <v>1.5295984789568806</v>
      </c>
      <c r="S380" s="692">
        <f t="shared" si="177"/>
        <v>1.0129937466617396</v>
      </c>
      <c r="T380" s="695">
        <f t="shared" si="178"/>
        <v>0.16034083320518533</v>
      </c>
      <c r="U380" s="696">
        <f t="shared" si="190"/>
        <v>0.94948745675511026</v>
      </c>
      <c r="V380" s="697">
        <f t="shared" si="191"/>
        <v>-0.39418217834509822</v>
      </c>
      <c r="W380" s="698">
        <f t="shared" si="179"/>
        <v>-1.226975155676568</v>
      </c>
      <c r="X380" s="699">
        <f t="shared" si="180"/>
        <v>-123.66214352860226</v>
      </c>
      <c r="Y380" s="702">
        <f t="shared" si="181"/>
        <v>56.337856471397743</v>
      </c>
      <c r="AA380" s="174">
        <f t="shared" si="182"/>
        <v>32175</v>
      </c>
      <c r="AB380" s="174">
        <f t="shared" si="183"/>
        <v>1035230625</v>
      </c>
      <c r="AD380" s="701">
        <f t="shared" si="184"/>
        <v>27.499462748841704</v>
      </c>
      <c r="AE380" s="702">
        <f t="shared" si="185"/>
        <v>-11.546331762621069</v>
      </c>
      <c r="AG380" s="701">
        <f t="shared" si="186"/>
        <v>-2.4380642224199391</v>
      </c>
      <c r="AH380" s="702">
        <f t="shared" si="187"/>
        <v>-66.945861357472509</v>
      </c>
      <c r="AJ380" s="174">
        <f t="shared" si="188"/>
        <v>0</v>
      </c>
      <c r="AK380" s="174">
        <f t="shared" si="200"/>
        <v>0</v>
      </c>
      <c r="AM380" s="174" t="str">
        <f t="shared" si="192"/>
        <v>0.162226822743989+0.546018409461044i</v>
      </c>
      <c r="AN380" s="174" t="str">
        <f t="shared" si="193"/>
        <v>0.57760424865i</v>
      </c>
      <c r="AO380" s="174" t="str">
        <f t="shared" si="194"/>
        <v>0.945315777605896-0.280861546851762i</v>
      </c>
      <c r="AP380" s="174" t="str">
        <f t="shared" si="195"/>
        <v>0.139628862876002-0.0910030682435073i</v>
      </c>
      <c r="AQ380" s="174" t="str">
        <f t="shared" si="196"/>
        <v>0.860371137123998+0.0910030682435073i</v>
      </c>
      <c r="AR380" s="174" t="str">
        <f t="shared" si="197"/>
        <v>0.957474893671402-0.101273914628851i</v>
      </c>
    </row>
    <row r="381" spans="7:44" x14ac:dyDescent="0.2">
      <c r="G381" s="703">
        <v>32359</v>
      </c>
      <c r="H381" s="691">
        <f t="shared" si="189"/>
        <v>32.359000000000002</v>
      </c>
      <c r="I381" s="692">
        <f t="shared" si="169"/>
        <v>31.586537540296177</v>
      </c>
      <c r="J381" s="693">
        <f t="shared" si="170"/>
        <v>1.5391319785442736</v>
      </c>
      <c r="K381" s="693">
        <f t="shared" si="171"/>
        <v>1.0001528564029636</v>
      </c>
      <c r="L381" s="694">
        <f t="shared" si="172"/>
        <v>1.7483531371151346E-2</v>
      </c>
      <c r="M381" s="693">
        <f t="shared" si="173"/>
        <v>1.0008524356733877</v>
      </c>
      <c r="N381" s="694">
        <f t="shared" si="174"/>
        <v>-4.1275430336283808E-2</v>
      </c>
      <c r="O381" s="692">
        <f t="shared" si="175"/>
        <v>58555.466827876517</v>
      </c>
      <c r="P381" s="695">
        <f t="shared" si="176"/>
        <v>1.5707792489701566</v>
      </c>
      <c r="Q381" s="704">
        <f t="shared" si="198"/>
        <v>24.418595964841881</v>
      </c>
      <c r="R381" s="705">
        <f t="shared" si="199"/>
        <v>1.5298324757589752</v>
      </c>
      <c r="S381" s="692">
        <f t="shared" si="177"/>
        <v>1.0131418202556111</v>
      </c>
      <c r="T381" s="695">
        <f t="shared" si="178"/>
        <v>0.16124201151399314</v>
      </c>
      <c r="U381" s="696">
        <f t="shared" si="190"/>
        <v>0.94895324400891945</v>
      </c>
      <c r="V381" s="697">
        <f t="shared" si="191"/>
        <v>-0.39632648607604842</v>
      </c>
      <c r="W381" s="698">
        <f t="shared" si="179"/>
        <v>-1.282598490459653</v>
      </c>
      <c r="X381" s="699">
        <f t="shared" si="180"/>
        <v>-123.84134101405961</v>
      </c>
      <c r="Y381" s="702">
        <f t="shared" si="181"/>
        <v>56.158658985940392</v>
      </c>
      <c r="AA381" s="174">
        <f t="shared" si="182"/>
        <v>32359</v>
      </c>
      <c r="AB381" s="174">
        <f t="shared" si="183"/>
        <v>1047104881</v>
      </c>
      <c r="AD381" s="701">
        <f t="shared" si="184"/>
        <v>27.498109645689063</v>
      </c>
      <c r="AE381" s="702">
        <f t="shared" si="185"/>
        <v>-11.584564042868967</v>
      </c>
      <c r="AG381" s="701">
        <f t="shared" si="186"/>
        <v>-2.4825577713712388</v>
      </c>
      <c r="AH381" s="702">
        <f t="shared" si="187"/>
        <v>-66.841106996479752</v>
      </c>
      <c r="AJ381" s="174">
        <f t="shared" si="188"/>
        <v>0</v>
      </c>
      <c r="AK381" s="174">
        <f t="shared" si="200"/>
        <v>0</v>
      </c>
      <c r="AM381" s="174" t="str">
        <f t="shared" si="192"/>
        <v>0.16403497619415+0.548782724740206i</v>
      </c>
      <c r="AN381" s="174" t="str">
        <f t="shared" si="193"/>
        <v>0.580907408922i</v>
      </c>
      <c r="AO381" s="174" t="str">
        <f t="shared" si="194"/>
        <v>0.944699131585517-0.282377145952662i</v>
      </c>
      <c r="AP381" s="174" t="str">
        <f t="shared" si="195"/>
        <v>0.139327503967642-0.091463787456701i</v>
      </c>
      <c r="AQ381" s="174" t="str">
        <f t="shared" si="196"/>
        <v>0.860672496032358+0.091463787456701i</v>
      </c>
      <c r="AR381" s="174" t="str">
        <f t="shared" si="197"/>
        <v>0.957039644310496-0.101704737886223i</v>
      </c>
    </row>
    <row r="382" spans="7:44" x14ac:dyDescent="0.2">
      <c r="G382" s="703">
        <v>32547.5</v>
      </c>
      <c r="H382" s="691">
        <f t="shared" si="189"/>
        <v>32.547499999999999</v>
      </c>
      <c r="I382" s="692">
        <f t="shared" si="169"/>
        <v>31.770353846671586</v>
      </c>
      <c r="J382" s="693">
        <f t="shared" si="170"/>
        <v>1.5393152422475038</v>
      </c>
      <c r="K382" s="693">
        <f t="shared" si="171"/>
        <v>1.0001546423123535</v>
      </c>
      <c r="L382" s="694">
        <f t="shared" si="172"/>
        <v>1.7585356774637944E-2</v>
      </c>
      <c r="M382" s="693">
        <f t="shared" si="173"/>
        <v>1.0008623916491752</v>
      </c>
      <c r="N382" s="694">
        <f t="shared" si="174"/>
        <v>-4.1515595594746664E-2</v>
      </c>
      <c r="O382" s="692">
        <f t="shared" si="175"/>
        <v>58896.568391393455</v>
      </c>
      <c r="P382" s="695">
        <f t="shared" si="176"/>
        <v>1.570779347876984</v>
      </c>
      <c r="Q382" s="704">
        <f t="shared" si="198"/>
        <v>24.56060307660367</v>
      </c>
      <c r="R382" s="705">
        <f t="shared" si="199"/>
        <v>1.530069456338383</v>
      </c>
      <c r="S382" s="692">
        <f t="shared" si="177"/>
        <v>1.0132943681869542</v>
      </c>
      <c r="T382" s="695">
        <f t="shared" si="178"/>
        <v>0.16216495561790603</v>
      </c>
      <c r="U382" s="696">
        <f t="shared" si="190"/>
        <v>0.94840369267795932</v>
      </c>
      <c r="V382" s="697">
        <f t="shared" si="191"/>
        <v>-0.39852144323674982</v>
      </c>
      <c r="W382" s="698">
        <f t="shared" si="179"/>
        <v>-1.3393205983562175</v>
      </c>
      <c r="X382" s="699">
        <f t="shared" si="180"/>
        <v>-124.02483780414894</v>
      </c>
      <c r="Y382" s="702">
        <f t="shared" si="181"/>
        <v>55.975162195851055</v>
      </c>
      <c r="AA382" s="174">
        <f t="shared" si="182"/>
        <v>32547.5</v>
      </c>
      <c r="AB382" s="174">
        <f t="shared" si="183"/>
        <v>1059339756.25</v>
      </c>
      <c r="AD382" s="701">
        <f t="shared" si="184"/>
        <v>27.496717794534405</v>
      </c>
      <c r="AE382" s="702">
        <f t="shared" si="185"/>
        <v>-11.623872524711722</v>
      </c>
      <c r="AG382" s="701">
        <f t="shared" si="186"/>
        <v>-2.5278248876415677</v>
      </c>
      <c r="AH382" s="702">
        <f t="shared" si="187"/>
        <v>-66.733771741398513</v>
      </c>
      <c r="AJ382" s="174">
        <f t="shared" si="188"/>
        <v>0</v>
      </c>
      <c r="AK382" s="174">
        <f t="shared" si="200"/>
        <v>0</v>
      </c>
      <c r="AM382" s="174" t="str">
        <f t="shared" si="192"/>
        <v>0.165896809049779+0.551608436163425i</v>
      </c>
      <c r="AN382" s="174" t="str">
        <f t="shared" si="193"/>
        <v>0.584291353005i</v>
      </c>
      <c r="AO382" s="174" t="str">
        <f t="shared" si="194"/>
        <v>0.944064007325306-0.283928228950462i</v>
      </c>
      <c r="AP382" s="174" t="str">
        <f t="shared" si="195"/>
        <v>0.139017198491703-0.0919347393605708i</v>
      </c>
      <c r="AQ382" s="174" t="str">
        <f t="shared" si="196"/>
        <v>0.860982801508297+0.0919347393605708i</v>
      </c>
      <c r="AR382" s="174" t="str">
        <f t="shared" si="197"/>
        <v>0.956592204784151-0.102143799930871i</v>
      </c>
    </row>
    <row r="383" spans="7:44" x14ac:dyDescent="0.2">
      <c r="G383" s="703">
        <v>32736</v>
      </c>
      <c r="H383" s="691">
        <f t="shared" si="189"/>
        <v>32.735999999999997</v>
      </c>
      <c r="I383" s="692">
        <f t="shared" si="169"/>
        <v>31.954171207796762</v>
      </c>
      <c r="J383" s="693">
        <f t="shared" si="170"/>
        <v>1.5394963974964841</v>
      </c>
      <c r="K383" s="693">
        <f t="shared" si="171"/>
        <v>1.0001564385917225</v>
      </c>
      <c r="L383" s="694">
        <f t="shared" si="172"/>
        <v>1.7687181813423783E-2</v>
      </c>
      <c r="M383" s="693">
        <f t="shared" si="173"/>
        <v>1.0008724053529061</v>
      </c>
      <c r="N383" s="694">
        <f t="shared" si="174"/>
        <v>-4.1755756061366618E-2</v>
      </c>
      <c r="O383" s="692">
        <f t="shared" si="175"/>
        <v>59237.669954910976</v>
      </c>
      <c r="P383" s="695">
        <f t="shared" si="176"/>
        <v>1.5707794456447635</v>
      </c>
      <c r="Q383" s="704">
        <f t="shared" si="198"/>
        <v>24.702611551825356</v>
      </c>
      <c r="R383" s="705">
        <f t="shared" si="199"/>
        <v>1.5303037122593286</v>
      </c>
      <c r="S383" s="692">
        <f t="shared" si="177"/>
        <v>1.0134477790083245</v>
      </c>
      <c r="T383" s="695">
        <f t="shared" si="178"/>
        <v>0.1630876210859456</v>
      </c>
      <c r="U383" s="696">
        <f t="shared" si="190"/>
        <v>0.94785185332118094</v>
      </c>
      <c r="V383" s="697">
        <f t="shared" si="191"/>
        <v>-0.40071457958556106</v>
      </c>
      <c r="W383" s="698">
        <f t="shared" si="179"/>
        <v>-1.3957812700601222</v>
      </c>
      <c r="X383" s="699">
        <f t="shared" si="180"/>
        <v>-124.2082492917235</v>
      </c>
      <c r="Y383" s="702">
        <f t="shared" si="181"/>
        <v>55.791750708276496</v>
      </c>
      <c r="AA383" s="174">
        <f t="shared" si="182"/>
        <v>32736</v>
      </c>
      <c r="AB383" s="174">
        <f t="shared" si="183"/>
        <v>1071645696</v>
      </c>
      <c r="AD383" s="701">
        <f t="shared" si="184"/>
        <v>27.495320192122392</v>
      </c>
      <c r="AE383" s="702">
        <f t="shared" si="185"/>
        <v>-11.663321088062919</v>
      </c>
      <c r="AG383" s="701">
        <f t="shared" si="186"/>
        <v>-2.5727770498959677</v>
      </c>
      <c r="AH383" s="702">
        <f t="shared" si="187"/>
        <v>-66.626419751967461</v>
      </c>
      <c r="AJ383" s="174">
        <f t="shared" si="188"/>
        <v>0</v>
      </c>
      <c r="AK383" s="174">
        <f t="shared" si="200"/>
        <v>0</v>
      </c>
      <c r="AM383" s="174" t="str">
        <f t="shared" si="192"/>
        <v>0.167768193276623+0.554427831081688i</v>
      </c>
      <c r="AN383" s="174" t="str">
        <f t="shared" si="193"/>
        <v>0.587675297088i</v>
      </c>
      <c r="AO383" s="174" t="str">
        <f t="shared" si="194"/>
        <v>0.943425449102494-0.285477701900921i</v>
      </c>
      <c r="AP383" s="174" t="str">
        <f t="shared" si="195"/>
        <v>0.138705301120563-0.0924046385136147i</v>
      </c>
      <c r="AQ383" s="174" t="str">
        <f t="shared" si="196"/>
        <v>0.861294698879437+0.0924046385136147i</v>
      </c>
      <c r="AR383" s="174" t="str">
        <f t="shared" si="197"/>
        <v>0.956143215690978-0.102580531760056i</v>
      </c>
    </row>
    <row r="384" spans="7:44" x14ac:dyDescent="0.2">
      <c r="G384" s="703">
        <v>32924.5</v>
      </c>
      <c r="H384" s="691">
        <f t="shared" si="189"/>
        <v>32.924500000000002</v>
      </c>
      <c r="I384" s="692">
        <f t="shared" si="169"/>
        <v>32.137989605573381</v>
      </c>
      <c r="J384" s="693">
        <f t="shared" si="170"/>
        <v>1.5396754804581507</v>
      </c>
      <c r="K384" s="693">
        <f t="shared" si="171"/>
        <v>1.0001582452410149</v>
      </c>
      <c r="L384" s="694">
        <f t="shared" si="172"/>
        <v>1.7789006485399314E-2</v>
      </c>
      <c r="M384" s="693">
        <f t="shared" si="173"/>
        <v>1.0008824767828475</v>
      </c>
      <c r="N384" s="694">
        <f t="shared" si="174"/>
        <v>-4.199591170858441E-2</v>
      </c>
      <c r="O384" s="692">
        <f t="shared" si="175"/>
        <v>59578.77151842905</v>
      </c>
      <c r="P384" s="695">
        <f t="shared" si="176"/>
        <v>1.5707795422930588</v>
      </c>
      <c r="Q384" s="704">
        <f t="shared" si="198"/>
        <v>24.844621367126891</v>
      </c>
      <c r="R384" s="705">
        <f t="shared" si="199"/>
        <v>1.530535290217651</v>
      </c>
      <c r="S384" s="692">
        <f t="shared" si="177"/>
        <v>1.0136020523279208</v>
      </c>
      <c r="T384" s="695">
        <f t="shared" si="178"/>
        <v>0.16401000647403485</v>
      </c>
      <c r="U384" s="696">
        <f t="shared" si="190"/>
        <v>0.94729773909595816</v>
      </c>
      <c r="V384" s="697">
        <f t="shared" si="191"/>
        <v>-0.40290588885744194</v>
      </c>
      <c r="W384" s="698">
        <f t="shared" si="179"/>
        <v>-1.4519837772351896</v>
      </c>
      <c r="X384" s="699">
        <f t="shared" si="180"/>
        <v>-124.39157443148451</v>
      </c>
      <c r="Y384" s="702">
        <f t="shared" si="181"/>
        <v>55.608425568515486</v>
      </c>
      <c r="AA384" s="174">
        <f t="shared" si="182"/>
        <v>32924.5</v>
      </c>
      <c r="AB384" s="174">
        <f t="shared" si="183"/>
        <v>1084022700.25</v>
      </c>
      <c r="AD384" s="701">
        <f t="shared" si="184"/>
        <v>27.493916812102409</v>
      </c>
      <c r="AE384" s="702">
        <f t="shared" si="185"/>
        <v>-11.702906975829498</v>
      </c>
      <c r="AG384" s="701">
        <f t="shared" si="186"/>
        <v>-2.6174176646812057</v>
      </c>
      <c r="AH384" s="702">
        <f t="shared" si="187"/>
        <v>-66.519053457901634</v>
      </c>
      <c r="AJ384" s="174">
        <f t="shared" si="188"/>
        <v>0</v>
      </c>
      <c r="AK384" s="174">
        <f t="shared" si="200"/>
        <v>0</v>
      </c>
      <c r="AM384" s="174" t="str">
        <f t="shared" si="192"/>
        <v>0.169649107445338+0.557240877209916i</v>
      </c>
      <c r="AN384" s="174" t="str">
        <f t="shared" si="193"/>
        <v>0.591059241171i</v>
      </c>
      <c r="AO384" s="174" t="str">
        <f t="shared" si="194"/>
        <v>0.942783461275246-0.28702555620183i</v>
      </c>
      <c r="AP384" s="174" t="str">
        <f t="shared" si="195"/>
        <v>0.138391815425777-0.092873479534986i</v>
      </c>
      <c r="AQ384" s="174" t="str">
        <f t="shared" si="196"/>
        <v>0.861608184574223+0.092873479534986i</v>
      </c>
      <c r="AR384" s="174" t="str">
        <f t="shared" si="197"/>
        <v>0.955692691731238-0.103014928637311i</v>
      </c>
    </row>
    <row r="385" spans="7:44" x14ac:dyDescent="0.2">
      <c r="G385" s="703">
        <v>33113</v>
      </c>
      <c r="H385" s="691">
        <f t="shared" si="189"/>
        <v>33.113</v>
      </c>
      <c r="I385" s="692">
        <f t="shared" si="169"/>
        <v>32.32180902231471</v>
      </c>
      <c r="J385" s="693">
        <f t="shared" si="170"/>
        <v>1.5398525264772287</v>
      </c>
      <c r="K385" s="693">
        <f t="shared" si="171"/>
        <v>1.0001600622601741</v>
      </c>
      <c r="L385" s="694">
        <f t="shared" si="172"/>
        <v>1.7890830788455044E-2</v>
      </c>
      <c r="M385" s="693">
        <f t="shared" si="173"/>
        <v>1.0008926059372565</v>
      </c>
      <c r="N385" s="694">
        <f t="shared" si="174"/>
        <v>-4.2236062508844131E-2</v>
      </c>
      <c r="O385" s="692">
        <f t="shared" si="175"/>
        <v>59919.873081947677</v>
      </c>
      <c r="P385" s="695">
        <f t="shared" si="176"/>
        <v>1.5707796378409884</v>
      </c>
      <c r="Q385" s="704">
        <f t="shared" si="198"/>
        <v>24.986632499659521</v>
      </c>
      <c r="R385" s="705">
        <f t="shared" si="199"/>
        <v>1.530764235848773</v>
      </c>
      <c r="S385" s="692">
        <f t="shared" si="177"/>
        <v>1.0137571877519793</v>
      </c>
      <c r="T385" s="695">
        <f t="shared" si="178"/>
        <v>0.16493211034087971</v>
      </c>
      <c r="U385" s="696">
        <f t="shared" si="190"/>
        <v>0.94674136317218616</v>
      </c>
      <c r="V385" s="697">
        <f t="shared" si="191"/>
        <v>-0.40509536484707548</v>
      </c>
      <c r="W385" s="698">
        <f t="shared" si="179"/>
        <v>-1.5079313336831666</v>
      </c>
      <c r="X385" s="699">
        <f t="shared" si="180"/>
        <v>-124.57481219533724</v>
      </c>
      <c r="Y385" s="702">
        <f t="shared" si="181"/>
        <v>55.425187804662755</v>
      </c>
      <c r="AA385" s="174">
        <f t="shared" si="182"/>
        <v>33113</v>
      </c>
      <c r="AB385" s="174">
        <f t="shared" si="183"/>
        <v>1096470769</v>
      </c>
      <c r="AD385" s="701">
        <f t="shared" si="184"/>
        <v>27.49250762909076</v>
      </c>
      <c r="AE385" s="702">
        <f t="shared" si="185"/>
        <v>-11.742627491809641</v>
      </c>
      <c r="AG385" s="701">
        <f t="shared" si="186"/>
        <v>-2.661750081958814</v>
      </c>
      <c r="AH385" s="702">
        <f t="shared" si="187"/>
        <v>-66.411675238385101</v>
      </c>
      <c r="AJ385" s="174">
        <f t="shared" si="188"/>
        <v>0</v>
      </c>
      <c r="AK385" s="174">
        <f t="shared" si="200"/>
        <v>0</v>
      </c>
      <c r="AM385" s="174" t="str">
        <f t="shared" si="192"/>
        <v>0.171539530017449+0.56004754233573i</v>
      </c>
      <c r="AN385" s="174" t="str">
        <f t="shared" si="193"/>
        <v>0.594443185254i</v>
      </c>
      <c r="AO385" s="174" t="str">
        <f t="shared" si="194"/>
        <v>0.942138048224789-0.288571783263277i</v>
      </c>
      <c r="AP385" s="174" t="str">
        <f t="shared" si="195"/>
        <v>0.138076744997092-0.093341257055955i</v>
      </c>
      <c r="AQ385" s="174" t="str">
        <f t="shared" si="196"/>
        <v>0.861923255002908+0.093341257055955i</v>
      </c>
      <c r="AR385" s="174" t="str">
        <f t="shared" si="197"/>
        <v>0.955240647604169-0.10344698593614i</v>
      </c>
    </row>
    <row r="386" spans="7:44" x14ac:dyDescent="0.2">
      <c r="G386" s="703">
        <v>33305.75</v>
      </c>
      <c r="H386" s="691">
        <f t="shared" si="189"/>
        <v>33.305750000000003</v>
      </c>
      <c r="I386" s="692">
        <f t="shared" si="169"/>
        <v>32.509773944341156</v>
      </c>
      <c r="J386" s="693">
        <f t="shared" si="170"/>
        <v>1.540031493887825</v>
      </c>
      <c r="K386" s="693">
        <f t="shared" si="171"/>
        <v>1.0001619309697578</v>
      </c>
      <c r="L386" s="694">
        <f t="shared" si="172"/>
        <v>1.7994950481233816E-2</v>
      </c>
      <c r="M386" s="693">
        <f t="shared" si="173"/>
        <v>1.0009030231573597</v>
      </c>
      <c r="N386" s="694">
        <f t="shared" si="174"/>
        <v>-4.2481622808875408E-2</v>
      </c>
      <c r="O386" s="692">
        <f t="shared" si="175"/>
        <v>60268.66526427299</v>
      </c>
      <c r="P386" s="695">
        <f t="shared" si="176"/>
        <v>1.5707797344247876</v>
      </c>
      <c r="Q386" s="704">
        <f t="shared" si="198"/>
        <v>25.131846813552986</v>
      </c>
      <c r="R386" s="705">
        <f t="shared" si="199"/>
        <v>1.5309956678289727</v>
      </c>
      <c r="S386" s="692">
        <f t="shared" si="177"/>
        <v>1.0139167119916681</v>
      </c>
      <c r="T386" s="695">
        <f t="shared" si="178"/>
        <v>0.16587471173553825</v>
      </c>
      <c r="U386" s="696">
        <f t="shared" si="190"/>
        <v>0.94617011793376316</v>
      </c>
      <c r="V386" s="697">
        <f t="shared" si="191"/>
        <v>-0.40733230352841027</v>
      </c>
      <c r="W386" s="698">
        <f t="shared" si="179"/>
        <v>-1.5648799583675097</v>
      </c>
      <c r="X386" s="699">
        <f t="shared" si="180"/>
        <v>-124.76208990797748</v>
      </c>
      <c r="Y386" s="702">
        <f t="shared" si="181"/>
        <v>55.237910092022517</v>
      </c>
      <c r="AA386" s="174">
        <f t="shared" si="182"/>
        <v>33305.75</v>
      </c>
      <c r="AB386" s="174">
        <f t="shared" si="183"/>
        <v>1109272983.0625</v>
      </c>
      <c r="AD386" s="701">
        <f t="shared" si="184"/>
        <v>27.491060647860508</v>
      </c>
      <c r="AE386" s="702">
        <f t="shared" si="185"/>
        <v>-11.78338003166755</v>
      </c>
      <c r="AG386" s="701">
        <f t="shared" si="186"/>
        <v>-2.7067667697298399</v>
      </c>
      <c r="AH386" s="702">
        <f t="shared" si="187"/>
        <v>-66.301866119934459</v>
      </c>
      <c r="AJ386" s="174">
        <f t="shared" si="188"/>
        <v>0</v>
      </c>
      <c r="AK386" s="174">
        <f t="shared" si="200"/>
        <v>0</v>
      </c>
      <c r="AM386" s="174" t="str">
        <f t="shared" si="192"/>
        <v>0.173482384686134+0.562910855798571i</v>
      </c>
      <c r="AN386" s="174" t="str">
        <f t="shared" si="193"/>
        <v>0.5979034251585i</v>
      </c>
      <c r="AO386" s="174" t="str">
        <f t="shared" si="194"/>
        <v>0.941474546076312-0.29015118058597i</v>
      </c>
      <c r="AP386" s="174" t="str">
        <f t="shared" si="195"/>
        <v>0.137752935885644-0.0938184759664285i</v>
      </c>
      <c r="AQ386" s="174" t="str">
        <f t="shared" si="196"/>
        <v>0.862247064114356+0.0938184759664285i</v>
      </c>
      <c r="AR386" s="174" t="str">
        <f t="shared" si="197"/>
        <v>0.95477685484783-0.103886360577927i</v>
      </c>
    </row>
    <row r="387" spans="7:44" x14ac:dyDescent="0.2">
      <c r="G387" s="703">
        <v>33498.5</v>
      </c>
      <c r="H387" s="691">
        <f t="shared" si="189"/>
        <v>33.4985</v>
      </c>
      <c r="I387" s="692">
        <f t="shared" si="169"/>
        <v>32.697739895662437</v>
      </c>
      <c r="J387" s="693">
        <f t="shared" si="170"/>
        <v>1.5402084036829442</v>
      </c>
      <c r="K387" s="693">
        <f t="shared" si="171"/>
        <v>1.0001638105219668</v>
      </c>
      <c r="L387" s="694">
        <f t="shared" si="172"/>
        <v>1.8099069783808645E-2</v>
      </c>
      <c r="M387" s="693">
        <f t="shared" si="173"/>
        <v>1.0009135007305179</v>
      </c>
      <c r="N387" s="694">
        <f t="shared" si="174"/>
        <v>-4.2727177982657703E-2</v>
      </c>
      <c r="O387" s="692">
        <f t="shared" si="175"/>
        <v>60617.457446598848</v>
      </c>
      <c r="P387" s="695">
        <f t="shared" si="176"/>
        <v>1.5707798298971023</v>
      </c>
      <c r="Q387" s="704">
        <f t="shared" si="198"/>
        <v>25.277062458061046</v>
      </c>
      <c r="R387" s="705">
        <f t="shared" si="199"/>
        <v>1.5312244406876199</v>
      </c>
      <c r="S387" s="692">
        <f t="shared" si="177"/>
        <v>1.0140771368098127</v>
      </c>
      <c r="T387" s="695">
        <f t="shared" si="178"/>
        <v>0.16681701573219179</v>
      </c>
      <c r="U387" s="696">
        <f t="shared" si="190"/>
        <v>0.94559653574891411</v>
      </c>
      <c r="V387" s="697">
        <f t="shared" si="191"/>
        <v>-0.40956731239585725</v>
      </c>
      <c r="W387" s="698">
        <f t="shared" si="179"/>
        <v>-1.6215686232091531</v>
      </c>
      <c r="X387" s="699">
        <f t="shared" si="180"/>
        <v>-124.94927413949688</v>
      </c>
      <c r="Y387" s="702">
        <f t="shared" si="181"/>
        <v>55.050725860503121</v>
      </c>
      <c r="AA387" s="174">
        <f t="shared" si="182"/>
        <v>33498.5</v>
      </c>
      <c r="AB387" s="174">
        <f t="shared" si="183"/>
        <v>1122149502.25</v>
      </c>
      <c r="AD387" s="701">
        <f t="shared" si="184"/>
        <v>27.489607548293655</v>
      </c>
      <c r="AE387" s="702">
        <f t="shared" si="185"/>
        <v>-11.8242678246339</v>
      </c>
      <c r="AG387" s="701">
        <f t="shared" si="186"/>
        <v>-2.7514681146261806</v>
      </c>
      <c r="AH387" s="702">
        <f t="shared" si="187"/>
        <v>-66.192049407636745</v>
      </c>
      <c r="AJ387" s="174">
        <f t="shared" si="188"/>
        <v>0</v>
      </c>
      <c r="AK387" s="174">
        <f t="shared" si="200"/>
        <v>0</v>
      </c>
      <c r="AM387" s="174" t="str">
        <f t="shared" si="192"/>
        <v>0.17543513545541+0.565767429389994i</v>
      </c>
      <c r="AN387" s="174" t="str">
        <f t="shared" si="193"/>
        <v>0.601363665063i</v>
      </c>
      <c r="AO387" s="174" t="str">
        <f t="shared" si="194"/>
        <v>0.940807471849373-0.29172885833904i</v>
      </c>
      <c r="AP387" s="174" t="str">
        <f t="shared" si="195"/>
        <v>0.137427477424098-0.094294571564999i</v>
      </c>
      <c r="AQ387" s="174" t="str">
        <f t="shared" si="196"/>
        <v>0.862572522575902+0.094294571564999i</v>
      </c>
      <c r="AR387" s="174" t="str">
        <f t="shared" si="197"/>
        <v>0.954311503681072-0.104323279520231i</v>
      </c>
    </row>
    <row r="388" spans="7:44" x14ac:dyDescent="0.2">
      <c r="G388" s="703">
        <v>33691.25</v>
      </c>
      <c r="H388" s="691">
        <f t="shared" si="189"/>
        <v>33.691249999999997</v>
      </c>
      <c r="I388" s="692">
        <f t="shared" si="169"/>
        <v>32.885706858629014</v>
      </c>
      <c r="J388" s="693">
        <f t="shared" si="170"/>
        <v>1.5403832911339548</v>
      </c>
      <c r="K388" s="693">
        <f t="shared" si="171"/>
        <v>1.00016570091674</v>
      </c>
      <c r="L388" s="694">
        <f t="shared" si="172"/>
        <v>1.8203188693924253E-2</v>
      </c>
      <c r="M388" s="693">
        <f t="shared" si="173"/>
        <v>1.0009240386548353</v>
      </c>
      <c r="N388" s="694">
        <f t="shared" si="174"/>
        <v>-4.2972728000739827E-2</v>
      </c>
      <c r="O388" s="692">
        <f t="shared" si="175"/>
        <v>60966.249628925259</v>
      </c>
      <c r="P388" s="695">
        <f t="shared" si="176"/>
        <v>1.5707799242770095</v>
      </c>
      <c r="Q388" s="704">
        <f t="shared" si="198"/>
        <v>25.422279410381734</v>
      </c>
      <c r="R388" s="705">
        <f t="shared" si="199"/>
        <v>1.5314505999688028</v>
      </c>
      <c r="S388" s="692">
        <f t="shared" si="177"/>
        <v>1.0142384617790723</v>
      </c>
      <c r="T388" s="695">
        <f t="shared" si="178"/>
        <v>0.16775902079894697</v>
      </c>
      <c r="U388" s="696">
        <f t="shared" si="190"/>
        <v>0.94502063073431508</v>
      </c>
      <c r="V388" s="697">
        <f t="shared" si="191"/>
        <v>-0.41180038500848015</v>
      </c>
      <c r="W388" s="698">
        <f t="shared" si="179"/>
        <v>-1.6780005851054656</v>
      </c>
      <c r="X388" s="699">
        <f t="shared" si="180"/>
        <v>-125.13636384403706</v>
      </c>
      <c r="Y388" s="702">
        <f t="shared" si="181"/>
        <v>54.863636155962936</v>
      </c>
      <c r="AA388" s="174">
        <f t="shared" si="182"/>
        <v>33691.25</v>
      </c>
      <c r="AB388" s="174">
        <f t="shared" si="183"/>
        <v>1135100326.5625</v>
      </c>
      <c r="AD388" s="701">
        <f t="shared" si="184"/>
        <v>27.488148306184709</v>
      </c>
      <c r="AE388" s="702">
        <f t="shared" si="185"/>
        <v>-11.865288174546645</v>
      </c>
      <c r="AG388" s="701">
        <f t="shared" si="186"/>
        <v>-2.7958575230119322</v>
      </c>
      <c r="AH388" s="702">
        <f t="shared" si="187"/>
        <v>-66.08222748987275</v>
      </c>
      <c r="AJ388" s="174">
        <f t="shared" si="188"/>
        <v>0</v>
      </c>
      <c r="AK388" s="174">
        <f t="shared" si="200"/>
        <v>0</v>
      </c>
      <c r="AM388" s="174" t="str">
        <f t="shared" si="192"/>
        <v>0.177397758944507+0.568617228907532i</v>
      </c>
      <c r="AN388" s="174" t="str">
        <f t="shared" si="193"/>
        <v>0.6048239049675i</v>
      </c>
      <c r="AO388" s="174" t="str">
        <f t="shared" si="194"/>
        <v>0.940136830302841-0.293304807378669i</v>
      </c>
      <c r="AP388" s="174" t="str">
        <f t="shared" si="195"/>
        <v>0.137100373509249-0.0947695381512553i</v>
      </c>
      <c r="AQ388" s="174" t="str">
        <f t="shared" si="196"/>
        <v>0.862899626490751+0.0947695381512553i</v>
      </c>
      <c r="AR388" s="174" t="str">
        <f t="shared" si="197"/>
        <v>0.953844609810573-0.104757738171047i</v>
      </c>
    </row>
    <row r="389" spans="7:44" x14ac:dyDescent="0.2">
      <c r="G389" s="703">
        <v>33884</v>
      </c>
      <c r="H389" s="691">
        <f t="shared" si="189"/>
        <v>33.884</v>
      </c>
      <c r="I389" s="692">
        <f t="shared" si="169"/>
        <v>33.073674815992497</v>
      </c>
      <c r="J389" s="693">
        <f t="shared" si="170"/>
        <v>1.5405561907108938</v>
      </c>
      <c r="K389" s="693">
        <f t="shared" si="171"/>
        <v>1.0001676021540158</v>
      </c>
      <c r="L389" s="694">
        <f t="shared" si="172"/>
        <v>1.8307307209325416E-2</v>
      </c>
      <c r="M389" s="693">
        <f t="shared" si="173"/>
        <v>1.000934636928406</v>
      </c>
      <c r="N389" s="694">
        <f t="shared" si="174"/>
        <v>-4.3218272833674305E-2</v>
      </c>
      <c r="O389" s="692">
        <f t="shared" si="175"/>
        <v>61315.041811252202</v>
      </c>
      <c r="P389" s="695">
        <f t="shared" si="176"/>
        <v>1.5707800175831517</v>
      </c>
      <c r="Q389" s="704">
        <f t="shared" si="198"/>
        <v>25.567497648230905</v>
      </c>
      <c r="R389" s="705">
        <f t="shared" si="199"/>
        <v>1.5316741901829676</v>
      </c>
      <c r="S389" s="692">
        <f t="shared" si="177"/>
        <v>1.0144006864699808</v>
      </c>
      <c r="T389" s="695">
        <f t="shared" si="178"/>
        <v>0.16870072540700434</v>
      </c>
      <c r="U389" s="696">
        <f t="shared" si="190"/>
        <v>0.94444241701708198</v>
      </c>
      <c r="V389" s="697">
        <f t="shared" si="191"/>
        <v>-0.41403151499057989</v>
      </c>
      <c r="W389" s="698">
        <f t="shared" si="179"/>
        <v>-1.7341790432766127</v>
      </c>
      <c r="X389" s="699">
        <f t="shared" si="180"/>
        <v>-125.32335799294094</v>
      </c>
      <c r="Y389" s="702">
        <f t="shared" si="181"/>
        <v>54.676642007059058</v>
      </c>
      <c r="AA389" s="174">
        <f t="shared" si="182"/>
        <v>33884</v>
      </c>
      <c r="AB389" s="174">
        <f t="shared" si="183"/>
        <v>1148125456</v>
      </c>
      <c r="AD389" s="701">
        <f t="shared" si="184"/>
        <v>27.486682898253076</v>
      </c>
      <c r="AE389" s="702">
        <f t="shared" si="185"/>
        <v>-11.906438444619454</v>
      </c>
      <c r="AG389" s="701">
        <f t="shared" si="186"/>
        <v>-2.8399383448035698</v>
      </c>
      <c r="AH389" s="702">
        <f t="shared" si="187"/>
        <v>-65.972402705372787</v>
      </c>
      <c r="AJ389" s="174">
        <f t="shared" si="188"/>
        <v>0</v>
      </c>
      <c r="AK389" s="174">
        <f t="shared" si="200"/>
        <v>0</v>
      </c>
      <c r="AM389" s="174" t="str">
        <f t="shared" si="192"/>
        <v>0.179370231654448+0.57146022022983i</v>
      </c>
      <c r="AN389" s="174" t="str">
        <f t="shared" si="193"/>
        <v>0.608284144872i</v>
      </c>
      <c r="AO389" s="174" t="str">
        <f t="shared" si="194"/>
        <v>0.939462626220648-0.294879018574769i</v>
      </c>
      <c r="AP389" s="174" t="str">
        <f t="shared" si="195"/>
        <v>0.136771628057592-0.095243370038305i</v>
      </c>
      <c r="AQ389" s="174" t="str">
        <f t="shared" si="196"/>
        <v>0.863228371942408+0.095243370038305i</v>
      </c>
      <c r="AR389" s="174" t="str">
        <f t="shared" si="197"/>
        <v>0.953376188937823-0.105189732057106i</v>
      </c>
    </row>
    <row r="390" spans="7:44" x14ac:dyDescent="0.2">
      <c r="G390" s="703">
        <v>34081.5</v>
      </c>
      <c r="H390" s="691">
        <f t="shared" si="189"/>
        <v>34.081499999999998</v>
      </c>
      <c r="I390" s="692">
        <f t="shared" si="169"/>
        <v>33.266275941775945</v>
      </c>
      <c r="J390" s="693">
        <f t="shared" si="170"/>
        <v>1.5407313243772118</v>
      </c>
      <c r="K390" s="693">
        <f t="shared" si="171"/>
        <v>1.0001695614906143</v>
      </c>
      <c r="L390" s="694">
        <f t="shared" si="172"/>
        <v>1.8413991138874011E-2</v>
      </c>
      <c r="M390" s="693">
        <f t="shared" si="173"/>
        <v>1.0009455589750098</v>
      </c>
      <c r="N390" s="694">
        <f t="shared" si="174"/>
        <v>-4.3469863297407416E-2</v>
      </c>
      <c r="O390" s="692">
        <f t="shared" si="175"/>
        <v>61672.429391068952</v>
      </c>
      <c r="P390" s="695">
        <f t="shared" si="176"/>
        <v>1.5707801120939369</v>
      </c>
      <c r="Q390" s="704">
        <f t="shared" si="198"/>
        <v>25.716295856301251</v>
      </c>
      <c r="R390" s="705">
        <f t="shared" si="199"/>
        <v>1.5319006710815177</v>
      </c>
      <c r="S390" s="692">
        <f t="shared" si="177"/>
        <v>1.014567841717597</v>
      </c>
      <c r="T390" s="695">
        <f t="shared" si="178"/>
        <v>0.16966532349149152</v>
      </c>
      <c r="U390" s="696">
        <f t="shared" si="190"/>
        <v>0.94384757423325916</v>
      </c>
      <c r="V390" s="697">
        <f t="shared" si="191"/>
        <v>-0.41631560579488452</v>
      </c>
      <c r="W390" s="698">
        <f t="shared" si="179"/>
        <v>-1.7914822601373348</v>
      </c>
      <c r="X390" s="699">
        <f t="shared" si="180"/>
        <v>-125.51486012364373</v>
      </c>
      <c r="Y390" s="702">
        <f t="shared" si="181"/>
        <v>54.485139876356271</v>
      </c>
      <c r="AA390" s="174">
        <f t="shared" si="182"/>
        <v>34081.5</v>
      </c>
      <c r="AB390" s="174">
        <f t="shared" si="183"/>
        <v>1161548642.25</v>
      </c>
      <c r="AD390" s="701">
        <f t="shared" si="184"/>
        <v>27.485174958784601</v>
      </c>
      <c r="AE390" s="702">
        <f t="shared" si="185"/>
        <v>-11.948734859277163</v>
      </c>
      <c r="AG390" s="701">
        <f t="shared" si="186"/>
        <v>-2.8847888224730349</v>
      </c>
      <c r="AH390" s="702">
        <f t="shared" si="187"/>
        <v>-65.859870894896233</v>
      </c>
      <c r="AJ390" s="174">
        <f t="shared" si="188"/>
        <v>0</v>
      </c>
      <c r="AK390" s="174">
        <f t="shared" si="200"/>
        <v>0</v>
      </c>
      <c r="AM390" s="174" t="str">
        <f t="shared" si="192"/>
        <v>0.181401504230007+0.57436617477277i</v>
      </c>
      <c r="AN390" s="174" t="str">
        <f t="shared" si="193"/>
        <v>0.611829656577i</v>
      </c>
      <c r="AO390" s="174" t="str">
        <f t="shared" si="194"/>
        <v>0.93876811723409-0.296490211417493i</v>
      </c>
      <c r="AP390" s="174" t="str">
        <f t="shared" si="195"/>
        <v>0.136433082628332-0.0957276957954617i</v>
      </c>
      <c r="AQ390" s="174" t="str">
        <f t="shared" si="196"/>
        <v>0.863566917371668+0.0957276957954617i</v>
      </c>
      <c r="AR390" s="174" t="str">
        <f t="shared" si="197"/>
        <v>0.952894657121837-0.105629810530156i</v>
      </c>
    </row>
    <row r="391" spans="7:44" x14ac:dyDescent="0.2">
      <c r="G391" s="703">
        <v>34279</v>
      </c>
      <c r="H391" s="691">
        <f t="shared" si="189"/>
        <v>34.279000000000003</v>
      </c>
      <c r="I391" s="692">
        <f t="shared" si="169"/>
        <v>33.458878076149141</v>
      </c>
      <c r="J391" s="693">
        <f t="shared" si="170"/>
        <v>1.5409044417756876</v>
      </c>
      <c r="K391" s="693">
        <f t="shared" si="171"/>
        <v>1.0001715322105587</v>
      </c>
      <c r="L391" s="694">
        <f t="shared" si="172"/>
        <v>1.852067464922063E-2</v>
      </c>
      <c r="M391" s="693">
        <f t="shared" si="173"/>
        <v>1.0009565443778417</v>
      </c>
      <c r="N391" s="694">
        <f t="shared" si="174"/>
        <v>-4.37214482547022E-2</v>
      </c>
      <c r="O391" s="692">
        <f t="shared" si="175"/>
        <v>62029.816970886241</v>
      </c>
      <c r="P391" s="695">
        <f t="shared" si="176"/>
        <v>1.5707802055156654</v>
      </c>
      <c r="Q391" s="704">
        <f t="shared" si="198"/>
        <v>25.865095368275913</v>
      </c>
      <c r="R391" s="705">
        <f t="shared" si="199"/>
        <v>1.5321245461439317</v>
      </c>
      <c r="S391" s="692">
        <f t="shared" si="177"/>
        <v>1.0147359406577985</v>
      </c>
      <c r="T391" s="695">
        <f t="shared" si="178"/>
        <v>0.17062960288652004</v>
      </c>
      <c r="U391" s="696">
        <f t="shared" si="190"/>
        <v>0.94325033761606147</v>
      </c>
      <c r="V391" s="697">
        <f t="shared" si="191"/>
        <v>-0.41859764370049618</v>
      </c>
      <c r="W391" s="698">
        <f t="shared" si="179"/>
        <v>-1.8485259454038785</v>
      </c>
      <c r="X391" s="699">
        <f t="shared" si="180"/>
        <v>-125.70625979825407</v>
      </c>
      <c r="Y391" s="702">
        <f t="shared" si="181"/>
        <v>54.293740201745933</v>
      </c>
      <c r="AA391" s="174">
        <f t="shared" si="182"/>
        <v>34279</v>
      </c>
      <c r="AB391" s="174">
        <f t="shared" si="183"/>
        <v>1175049841</v>
      </c>
      <c r="AD391" s="701">
        <f t="shared" si="184"/>
        <v>27.483660499217667</v>
      </c>
      <c r="AE391" s="702">
        <f t="shared" si="185"/>
        <v>-11.991162255388414</v>
      </c>
      <c r="AG391" s="701">
        <f t="shared" si="186"/>
        <v>-2.9293222614984771</v>
      </c>
      <c r="AH391" s="702">
        <f t="shared" si="187"/>
        <v>-65.747340891735632</v>
      </c>
      <c r="AJ391" s="174">
        <f t="shared" si="188"/>
        <v>0</v>
      </c>
      <c r="AK391" s="174">
        <f t="shared" si="200"/>
        <v>0</v>
      </c>
      <c r="AM391" s="174" t="str">
        <f t="shared" si="192"/>
        <v>0.183443067112627+0.577264909165252i</v>
      </c>
      <c r="AN391" s="174" t="str">
        <f t="shared" si="193"/>
        <v>0.615375168282i</v>
      </c>
      <c r="AO391" s="174" t="str">
        <f t="shared" si="194"/>
        <v>0.938069878212434-0.298099560345865i</v>
      </c>
      <c r="AP391" s="174" t="str">
        <f t="shared" si="195"/>
        <v>0.136092822147896-0.0962108181942087i</v>
      </c>
      <c r="AQ391" s="174" t="str">
        <f t="shared" si="196"/>
        <v>0.863907177852104+0.0962108181942087i</v>
      </c>
      <c r="AR391" s="174" t="str">
        <f t="shared" si="197"/>
        <v>0.952411555470435-0.106067292133457i</v>
      </c>
    </row>
    <row r="392" spans="7:44" x14ac:dyDescent="0.2">
      <c r="G392" s="703">
        <v>34476.5</v>
      </c>
      <c r="H392" s="691">
        <f t="shared" si="189"/>
        <v>34.476500000000001</v>
      </c>
      <c r="I392" s="692">
        <f t="shared" si="169"/>
        <v>33.651481201794276</v>
      </c>
      <c r="J392" s="693">
        <f t="shared" si="170"/>
        <v>1.5410755775159788</v>
      </c>
      <c r="K392" s="693">
        <f t="shared" si="171"/>
        <v>1.0001735143137818</v>
      </c>
      <c r="L392" s="694">
        <f t="shared" si="172"/>
        <v>1.8627357737939356E-2</v>
      </c>
      <c r="M392" s="693">
        <f t="shared" si="173"/>
        <v>1.0009675931348161</v>
      </c>
      <c r="N392" s="694">
        <f t="shared" si="174"/>
        <v>-4.3973027673892343E-2</v>
      </c>
      <c r="O392" s="692">
        <f t="shared" si="175"/>
        <v>62387.204550704068</v>
      </c>
      <c r="P392" s="695">
        <f t="shared" si="176"/>
        <v>1.570780297867054</v>
      </c>
      <c r="Q392" s="704">
        <f t="shared" si="198"/>
        <v>26.01389616177989</v>
      </c>
      <c r="R392" s="705">
        <f t="shared" si="199"/>
        <v>1.5323458600641144</v>
      </c>
      <c r="S392" s="692">
        <f t="shared" si="177"/>
        <v>1.0149049828216732</v>
      </c>
      <c r="T392" s="695">
        <f t="shared" si="178"/>
        <v>0.17159356195765013</v>
      </c>
      <c r="U392" s="696">
        <f t="shared" si="190"/>
        <v>0.94265072239170544</v>
      </c>
      <c r="V392" s="697">
        <f t="shared" si="191"/>
        <v>-0.42087762206160201</v>
      </c>
      <c r="W392" s="698">
        <f t="shared" si="179"/>
        <v>-1.9053133607573181</v>
      </c>
      <c r="X392" s="699">
        <f t="shared" si="180"/>
        <v>-125.89755596396057</v>
      </c>
      <c r="Y392" s="702">
        <f t="shared" si="181"/>
        <v>54.102444036039429</v>
      </c>
      <c r="AA392" s="174">
        <f t="shared" si="182"/>
        <v>34476.5</v>
      </c>
      <c r="AB392" s="174">
        <f t="shared" si="183"/>
        <v>1188629052.25</v>
      </c>
      <c r="AD392" s="701">
        <f t="shared" si="184"/>
        <v>27.482139497335375</v>
      </c>
      <c r="AE392" s="702">
        <f t="shared" si="185"/>
        <v>-12.033717979606976</v>
      </c>
      <c r="AG392" s="701">
        <f t="shared" si="186"/>
        <v>-2.9735420894408247</v>
      </c>
      <c r="AH392" s="702">
        <f t="shared" si="187"/>
        <v>-65.634815057980006</v>
      </c>
      <c r="AJ392" s="174">
        <f t="shared" si="188"/>
        <v>0</v>
      </c>
      <c r="AK392" s="174">
        <f t="shared" si="200"/>
        <v>0</v>
      </c>
      <c r="AM392" s="174" t="str">
        <f t="shared" si="192"/>
        <v>0.185494894638558+0.580156386968329i</v>
      </c>
      <c r="AN392" s="174" t="str">
        <f t="shared" si="193"/>
        <v>0.618920679987i</v>
      </c>
      <c r="AO392" s="174" t="str">
        <f t="shared" si="194"/>
        <v>0.937367914383657-0.299707055583365i</v>
      </c>
      <c r="AP392" s="174" t="str">
        <f t="shared" si="195"/>
        <v>0.135750850893574-0.0966927311613882i</v>
      </c>
      <c r="AQ392" s="174" t="str">
        <f t="shared" si="196"/>
        <v>0.864249149106426+0.0966927311613882i</v>
      </c>
      <c r="AR392" s="174" t="str">
        <f t="shared" si="197"/>
        <v>0.951926900851181-0.106502172440047i</v>
      </c>
    </row>
    <row r="393" spans="7:44" x14ac:dyDescent="0.2">
      <c r="G393" s="703">
        <v>34674</v>
      </c>
      <c r="H393" s="691">
        <f t="shared" si="189"/>
        <v>34.673999999999999</v>
      </c>
      <c r="I393" s="692">
        <f t="shared" si="169"/>
        <v>33.844085301787672</v>
      </c>
      <c r="J393" s="693">
        <f t="shared" si="170"/>
        <v>1.5412447654203698</v>
      </c>
      <c r="K393" s="693">
        <f t="shared" si="171"/>
        <v>1.0001755078002161</v>
      </c>
      <c r="L393" s="694">
        <f t="shared" si="172"/>
        <v>1.8734040402604322E-2</v>
      </c>
      <c r="M393" s="693">
        <f t="shared" si="173"/>
        <v>1.0009787052438346</v>
      </c>
      <c r="N393" s="694">
        <f t="shared" si="174"/>
        <v>-4.4224601523315733E-2</v>
      </c>
      <c r="O393" s="692">
        <f t="shared" si="175"/>
        <v>62744.592130522411</v>
      </c>
      <c r="P393" s="695">
        <f t="shared" si="176"/>
        <v>1.5707803891663921</v>
      </c>
      <c r="Q393" s="704">
        <f t="shared" si="198"/>
        <v>26.162698214947014</v>
      </c>
      <c r="R393" s="705">
        <f t="shared" si="199"/>
        <v>1.5325646565201896</v>
      </c>
      <c r="S393" s="692">
        <f t="shared" si="177"/>
        <v>1.0150749677379913</v>
      </c>
      <c r="T393" s="695">
        <f t="shared" si="178"/>
        <v>0.17255719907390907</v>
      </c>
      <c r="U393" s="696">
        <f t="shared" si="190"/>
        <v>0.94204874379431991</v>
      </c>
      <c r="V393" s="697">
        <f t="shared" si="191"/>
        <v>-0.42315553430415626</v>
      </c>
      <c r="W393" s="698">
        <f t="shared" si="179"/>
        <v>-1.9618477099155884</v>
      </c>
      <c r="X393" s="699">
        <f t="shared" si="180"/>
        <v>-126.08874758532515</v>
      </c>
      <c r="Y393" s="702">
        <f t="shared" si="181"/>
        <v>53.911252414674848</v>
      </c>
      <c r="AA393" s="174">
        <f t="shared" si="182"/>
        <v>34674</v>
      </c>
      <c r="AB393" s="174">
        <f t="shared" si="183"/>
        <v>1202286276</v>
      </c>
      <c r="AD393" s="701">
        <f t="shared" si="184"/>
        <v>27.480611931813272</v>
      </c>
      <c r="AE393" s="702">
        <f t="shared" si="185"/>
        <v>-12.076399436960759</v>
      </c>
      <c r="AG393" s="701">
        <f t="shared" si="186"/>
        <v>-3.0174516770879545</v>
      </c>
      <c r="AH393" s="702">
        <f t="shared" si="187"/>
        <v>-65.52229570649348</v>
      </c>
      <c r="AJ393" s="174">
        <f t="shared" si="188"/>
        <v>0</v>
      </c>
      <c r="AK393" s="174">
        <f t="shared" si="200"/>
        <v>0</v>
      </c>
      <c r="AM393" s="174" t="str">
        <f t="shared" si="192"/>
        <v>0.187556961015013+0.583040571834275i</v>
      </c>
      <c r="AN393" s="174" t="str">
        <f t="shared" si="193"/>
        <v>0.622466191692i</v>
      </c>
      <c r="AO393" s="174" t="str">
        <f t="shared" si="194"/>
        <v>0.936662231003169-0.301312687368919i</v>
      </c>
      <c r="AP393" s="174" t="str">
        <f t="shared" si="195"/>
        <v>0.135407173164165-0.0971734286390458i</v>
      </c>
      <c r="AQ393" s="174" t="str">
        <f t="shared" si="196"/>
        <v>0.864592826835835+0.0971734286390458i</v>
      </c>
      <c r="AR393" s="174" t="str">
        <f t="shared" si="197"/>
        <v>0.951440710121474-0.106934447151997i</v>
      </c>
    </row>
    <row r="394" spans="7:44" x14ac:dyDescent="0.2">
      <c r="G394" s="703">
        <v>34875.75</v>
      </c>
      <c r="H394" s="691">
        <f t="shared" si="189"/>
        <v>34.875749999999996</v>
      </c>
      <c r="I394" s="692">
        <f t="shared" si="169"/>
        <v>34.040835035796327</v>
      </c>
      <c r="J394" s="693">
        <f t="shared" si="170"/>
        <v>1.5414156172895634</v>
      </c>
      <c r="K394" s="693">
        <f t="shared" si="171"/>
        <v>1.0001775559376682</v>
      </c>
      <c r="L394" s="694">
        <f t="shared" si="172"/>
        <v>1.8843018329817409E-2</v>
      </c>
      <c r="M394" s="693">
        <f t="shared" si="173"/>
        <v>1.0009901218836126</v>
      </c>
      <c r="N394" s="694">
        <f t="shared" si="174"/>
        <v>-4.4481583203458901E-2</v>
      </c>
      <c r="O394" s="692">
        <f t="shared" si="175"/>
        <v>63109.670329147521</v>
      </c>
      <c r="P394" s="695">
        <f t="shared" si="176"/>
        <v>1.5707804813627335</v>
      </c>
      <c r="Q394" s="704">
        <f t="shared" si="198"/>
        <v>26.314703616005424</v>
      </c>
      <c r="R394" s="705">
        <f t="shared" si="199"/>
        <v>1.5327856063372216</v>
      </c>
      <c r="S394" s="692">
        <f t="shared" si="177"/>
        <v>1.0152495834664546</v>
      </c>
      <c r="T394" s="695">
        <f t="shared" si="178"/>
        <v>0.17354123857101059</v>
      </c>
      <c r="U394" s="696">
        <f t="shared" si="190"/>
        <v>0.94143138687032979</v>
      </c>
      <c r="V394" s="697">
        <f t="shared" si="191"/>
        <v>-0.42548032486186232</v>
      </c>
      <c r="W394" s="698">
        <f t="shared" si="179"/>
        <v>-2.0193406000215033</v>
      </c>
      <c r="X394" s="699">
        <f t="shared" si="180"/>
        <v>-126.28394445469756</v>
      </c>
      <c r="Y394" s="702">
        <f t="shared" si="181"/>
        <v>53.716055545302439</v>
      </c>
      <c r="AA394" s="174">
        <f t="shared" si="182"/>
        <v>34875.75</v>
      </c>
      <c r="AB394" s="174">
        <f t="shared" si="183"/>
        <v>1216317938.0625</v>
      </c>
      <c r="AD394" s="701">
        <f t="shared" si="184"/>
        <v>27.479044696331094</v>
      </c>
      <c r="AE394" s="702">
        <f t="shared" si="185"/>
        <v>-12.120126537529956</v>
      </c>
      <c r="AG394" s="701">
        <f t="shared" si="186"/>
        <v>-3.061989275710876</v>
      </c>
      <c r="AH394" s="702">
        <f t="shared" si="187"/>
        <v>-65.407364100575435</v>
      </c>
      <c r="AJ394" s="174">
        <f t="shared" si="188"/>
        <v>0</v>
      </c>
      <c r="AK394" s="174">
        <f t="shared" si="200"/>
        <v>0</v>
      </c>
      <c r="AM394" s="174" t="str">
        <f t="shared" si="192"/>
        <v>0.189673945730522+0.58597925370448i</v>
      </c>
      <c r="AN394" s="174" t="str">
        <f t="shared" si="193"/>
        <v>0.6260879992185i</v>
      </c>
      <c r="AO394" s="174" t="str">
        <f t="shared" si="194"/>
        <v>0.935937527050375-0.302950936557286i</v>
      </c>
      <c r="AP394" s="174" t="str">
        <f t="shared" si="195"/>
        <v>0.135054342378246-0.0976632089507467i</v>
      </c>
      <c r="AQ394" s="174" t="str">
        <f t="shared" si="196"/>
        <v>0.864945657621754+0.0976632089507467i</v>
      </c>
      <c r="AR394" s="174" t="str">
        <f t="shared" si="197"/>
        <v>0.950942488528669-0.107373329340341i</v>
      </c>
    </row>
    <row r="395" spans="7:44" x14ac:dyDescent="0.2">
      <c r="G395" s="703">
        <v>35077.5</v>
      </c>
      <c r="H395" s="691">
        <f t="shared" si="189"/>
        <v>35.077500000000001</v>
      </c>
      <c r="I395" s="692">
        <f t="shared" si="169"/>
        <v>34.237585752048844</v>
      </c>
      <c r="J395" s="693">
        <f t="shared" si="170"/>
        <v>1.5415845055188968</v>
      </c>
      <c r="K395" s="693">
        <f t="shared" si="171"/>
        <v>1.0001796159533689</v>
      </c>
      <c r="L395" s="694">
        <f t="shared" si="172"/>
        <v>1.8951995809412876E-2</v>
      </c>
      <c r="M395" s="693">
        <f t="shared" si="173"/>
        <v>1.0010016046268513</v>
      </c>
      <c r="N395" s="694">
        <f t="shared" si="174"/>
        <v>-4.4738559004768294E-2</v>
      </c>
      <c r="O395" s="692">
        <f t="shared" si="175"/>
        <v>63474.748527773154</v>
      </c>
      <c r="P395" s="695">
        <f t="shared" si="176"/>
        <v>1.5707805724985309</v>
      </c>
      <c r="Q395" s="704">
        <f t="shared" si="198"/>
        <v>26.466710286960407</v>
      </c>
      <c r="R395" s="705">
        <f t="shared" si="199"/>
        <v>1.5330040181957376</v>
      </c>
      <c r="S395" s="692">
        <f t="shared" si="177"/>
        <v>1.0154251819566662</v>
      </c>
      <c r="T395" s="695">
        <f t="shared" si="178"/>
        <v>0.17452493867852345</v>
      </c>
      <c r="U395" s="696">
        <f t="shared" si="190"/>
        <v>0.94081159592124974</v>
      </c>
      <c r="V395" s="697">
        <f t="shared" si="191"/>
        <v>-0.42780294578384803</v>
      </c>
      <c r="W395" s="698">
        <f t="shared" si="179"/>
        <v>-2.0765759940731212</v>
      </c>
      <c r="X395" s="699">
        <f t="shared" si="180"/>
        <v>-126.47903010159352</v>
      </c>
      <c r="Y395" s="702">
        <f t="shared" si="181"/>
        <v>53.520969898406477</v>
      </c>
      <c r="AA395" s="174">
        <f t="shared" si="182"/>
        <v>35077.5</v>
      </c>
      <c r="AB395" s="174">
        <f t="shared" si="183"/>
        <v>1230431006.25</v>
      </c>
      <c r="AD395" s="701">
        <f t="shared" si="184"/>
        <v>27.47747056942513</v>
      </c>
      <c r="AE395" s="702">
        <f t="shared" si="185"/>
        <v>-12.16397954605509</v>
      </c>
      <c r="AG395" s="701">
        <f t="shared" si="186"/>
        <v>-3.106210073105979</v>
      </c>
      <c r="AH395" s="702">
        <f t="shared" si="187"/>
        <v>-65.292443986165026</v>
      </c>
      <c r="AJ395" s="174">
        <f t="shared" si="188"/>
        <v>0</v>
      </c>
      <c r="AK395" s="174">
        <f t="shared" si="200"/>
        <v>0</v>
      </c>
      <c r="AM395" s="174" t="str">
        <f t="shared" si="192"/>
        <v>0.191801559878131+0.588910249006228i</v>
      </c>
      <c r="AN395" s="174" t="str">
        <f t="shared" si="193"/>
        <v>0.629709806745i</v>
      </c>
      <c r="AO395" s="174" t="str">
        <f t="shared" si="194"/>
        <v>0.935208952914888-0.30458722069069i</v>
      </c>
      <c r="AP395" s="174" t="str">
        <f t="shared" si="195"/>
        <v>0.134699740020312-0.0981517081677047i</v>
      </c>
      <c r="AQ395" s="174" t="str">
        <f t="shared" si="196"/>
        <v>0.865300259979688+0.0981517081677047i</v>
      </c>
      <c r="AR395" s="174" t="str">
        <f t="shared" si="197"/>
        <v>0.950442699525798-0.107809483931244i</v>
      </c>
    </row>
    <row r="396" spans="7:44" x14ac:dyDescent="0.2">
      <c r="G396" s="703">
        <v>35279.25</v>
      </c>
      <c r="H396" s="691">
        <f t="shared" si="189"/>
        <v>35.279249999999998</v>
      </c>
      <c r="I396" s="692">
        <f t="shared" si="169"/>
        <v>34.434337433708208</v>
      </c>
      <c r="J396" s="693">
        <f t="shared" si="170"/>
        <v>1.541751463758319</v>
      </c>
      <c r="K396" s="693">
        <f t="shared" si="171"/>
        <v>1.0001816878472447</v>
      </c>
      <c r="L396" s="694">
        <f t="shared" si="172"/>
        <v>1.9060972838805045E-2</v>
      </c>
      <c r="M396" s="693">
        <f t="shared" si="173"/>
        <v>1.0010131534712761</v>
      </c>
      <c r="N396" s="694">
        <f t="shared" si="174"/>
        <v>-4.4995528893507199E-2</v>
      </c>
      <c r="O396" s="692">
        <f t="shared" si="175"/>
        <v>63839.826726399304</v>
      </c>
      <c r="P396" s="695">
        <f t="shared" si="176"/>
        <v>1.5707806625919793</v>
      </c>
      <c r="Q396" s="704">
        <f t="shared" si="198"/>
        <v>26.618718206056666</v>
      </c>
      <c r="R396" s="705">
        <f t="shared" si="199"/>
        <v>1.5332199355542497</v>
      </c>
      <c r="S396" s="692">
        <f t="shared" si="177"/>
        <v>1.0156017626988654</v>
      </c>
      <c r="T396" s="695">
        <f t="shared" si="178"/>
        <v>0.17550829766919976</v>
      </c>
      <c r="U396" s="696">
        <f t="shared" si="190"/>
        <v>0.94018938720572331</v>
      </c>
      <c r="V396" s="697">
        <f t="shared" si="191"/>
        <v>-0.43012339029413693</v>
      </c>
      <c r="W396" s="698">
        <f t="shared" si="179"/>
        <v>-2.1335571281952794</v>
      </c>
      <c r="X396" s="699">
        <f t="shared" si="180"/>
        <v>-126.67400347608263</v>
      </c>
      <c r="Y396" s="702">
        <f t="shared" si="181"/>
        <v>53.325996523917368</v>
      </c>
      <c r="AA396" s="174">
        <f t="shared" si="182"/>
        <v>35279.25</v>
      </c>
      <c r="AB396" s="174">
        <f t="shared" si="183"/>
        <v>1244625480.5625</v>
      </c>
      <c r="AD396" s="701">
        <f t="shared" si="184"/>
        <v>27.4758895310644</v>
      </c>
      <c r="AE396" s="702">
        <f t="shared" si="185"/>
        <v>-12.207955874625336</v>
      </c>
      <c r="AG396" s="701">
        <f t="shared" si="186"/>
        <v>-3.1501174870868005</v>
      </c>
      <c r="AH396" s="702">
        <f t="shared" si="187"/>
        <v>-65.177537677712323</v>
      </c>
      <c r="AJ396" s="174">
        <f t="shared" si="188"/>
        <v>0</v>
      </c>
      <c r="AK396" s="174">
        <f t="shared" si="200"/>
        <v>0</v>
      </c>
      <c r="AM396" s="174" t="str">
        <f t="shared" si="192"/>
        <v>0.193939775548912+0.59183351929226i</v>
      </c>
      <c r="AN396" s="174" t="str">
        <f t="shared" si="193"/>
        <v>0.6333316142715i</v>
      </c>
      <c r="AO396" s="174" t="str">
        <f t="shared" si="194"/>
        <v>0.93447651428711-0.30622152941472i</v>
      </c>
      <c r="AP396" s="174" t="str">
        <f t="shared" si="195"/>
        <v>0.134343370741848-0.0986389198820433i</v>
      </c>
      <c r="AQ396" s="174" t="str">
        <f t="shared" si="196"/>
        <v>0.865656629258152+0.0986389198820433i</v>
      </c>
      <c r="AR396" s="174" t="str">
        <f t="shared" si="197"/>
        <v>0.949941361042077-0.108242906757115i</v>
      </c>
    </row>
    <row r="397" spans="7:44" x14ac:dyDescent="0.2">
      <c r="G397" s="703">
        <v>35481</v>
      </c>
      <c r="H397" s="691">
        <f t="shared" si="189"/>
        <v>35.481000000000002</v>
      </c>
      <c r="I397" s="692">
        <f t="shared" ref="I397:I460" si="201">SQRT(1+(G397/pole1)^2)</f>
        <v>34.631090064319956</v>
      </c>
      <c r="J397" s="693">
        <f t="shared" ref="J397:J460" si="202">ATAN(G397/pole1)</f>
        <v>1.5419165248935016</v>
      </c>
      <c r="K397" s="693">
        <f t="shared" ref="K397:K460" si="203">SQRT(1+(G397/Zero1)^2)</f>
        <v>1.0001837716192221</v>
      </c>
      <c r="L397" s="694">
        <f t="shared" ref="L397:L460" si="204">ATAN(G397/Zero1)</f>
        <v>1.9169949415408304E-2</v>
      </c>
      <c r="M397" s="693">
        <f t="shared" ref="M397:M460" si="205">SQRT(1+(G397/z_RHP)^2)</f>
        <v>1.0010247684145988</v>
      </c>
      <c r="N397" s="694">
        <f t="shared" ref="N397:N460" si="206">-ATAN(G397/z_RHP)</f>
        <v>-4.525249283594359E-2</v>
      </c>
      <c r="O397" s="692">
        <f t="shared" ref="O397:O460" si="207">SQRT(1+(G397/Pole2)^2)</f>
        <v>64204.90492502597</v>
      </c>
      <c r="P397" s="695">
        <f t="shared" ref="P397:P460" si="208">ATAN(G397/Pole2)</f>
        <v>1.5707807516608596</v>
      </c>
      <c r="Q397" s="704">
        <f t="shared" si="198"/>
        <v>26.770727352032839</v>
      </c>
      <c r="R397" s="705">
        <f t="shared" si="199"/>
        <v>1.5334334008851509</v>
      </c>
      <c r="S397" s="692">
        <f t="shared" ref="S397:S460" si="209">SQRT(1+(G397/pole4)^2)</f>
        <v>1.0157793251807945</v>
      </c>
      <c r="T397" s="695">
        <f t="shared" ref="T397:T460" si="210">ATAN(G397/pole4)</f>
        <v>0.17649131381962821</v>
      </c>
      <c r="U397" s="696">
        <f t="shared" si="190"/>
        <v>0.9395647769871005</v>
      </c>
      <c r="V397" s="697">
        <f t="shared" si="191"/>
        <v>-0.43244165169468007</v>
      </c>
      <c r="W397" s="698">
        <f t="shared" ref="W397:W460" si="211">20*LOG10(((K397*Q397*M397*U397)/(I397*O397*S397))*Adc)</f>
        <v>-2.1902871809698174</v>
      </c>
      <c r="X397" s="699">
        <f t="shared" ref="X397:X460" si="212">((L397+R397+N397+V397)-(J397+P397+T397))*radconv</f>
        <v>-126.86886354560629</v>
      </c>
      <c r="Y397" s="702">
        <f t="shared" ref="Y397:Y460" si="213">IF(X397&gt;0,X397,X397+180)</f>
        <v>53.131136454393712</v>
      </c>
      <c r="AA397" s="174">
        <f t="shared" ref="AA397:AA460" si="214">IF(W397&lt;0,G397,1000000000)</f>
        <v>35481</v>
      </c>
      <c r="AB397" s="174">
        <f t="shared" ref="AB397:AB460" si="215">G397^2</f>
        <v>1258901361</v>
      </c>
      <c r="AD397" s="701">
        <f t="shared" ref="AD397:AD460" si="216">20*LOG10((Q397/(O397*S397))*Aea)</f>
        <v>27.474301562069083</v>
      </c>
      <c r="AE397" s="702">
        <f t="shared" ref="AE397:AE460" si="217">(R397-(P397+T397))*radconv</f>
        <v>-12.2520529920264</v>
      </c>
      <c r="AG397" s="701">
        <f t="shared" ref="AG397:AG460" si="218">20*LOG10((K397*M397/(I397*U397))*Acs*Am)</f>
        <v>-3.1937148790573113</v>
      </c>
      <c r="AH397" s="702">
        <f t="shared" ref="AH397:AH460" si="219">(L397+N397-(J397+V397))*radconv</f>
        <v>-65.062647441412935</v>
      </c>
      <c r="AJ397" s="174">
        <f t="shared" ref="AJ397:AJ460" si="220">SUM((W398&lt;0)*(W397&gt;0))*G397</f>
        <v>0</v>
      </c>
      <c r="AK397" s="174">
        <f t="shared" si="200"/>
        <v>0</v>
      </c>
      <c r="AM397" s="174" t="str">
        <f t="shared" si="192"/>
        <v>0.196088564694875+0.59474902621665i</v>
      </c>
      <c r="AN397" s="174" t="str">
        <f t="shared" si="193"/>
        <v>0.636953421798i</v>
      </c>
      <c r="AO397" s="174" t="str">
        <f t="shared" si="194"/>
        <v>0.933740216887108-0.307853852392148i</v>
      </c>
      <c r="AP397" s="174" t="str">
        <f t="shared" si="195"/>
        <v>0.133985239217521-0.099124837702775i</v>
      </c>
      <c r="AQ397" s="174" t="str">
        <f t="shared" si="196"/>
        <v>0.866014760782479+0.099124837702775i</v>
      </c>
      <c r="AR397" s="174" t="str">
        <f t="shared" si="197"/>
        <v>0.949438490990856-0.108673593788634i</v>
      </c>
    </row>
    <row r="398" spans="7:44" x14ac:dyDescent="0.2">
      <c r="G398" s="703">
        <v>35687.75</v>
      </c>
      <c r="H398" s="691">
        <f t="shared" ref="H398:H461" si="221">G398/1000</f>
        <v>35.687750000000001</v>
      </c>
      <c r="I398" s="692">
        <f t="shared" si="201"/>
        <v>34.832719812089074</v>
      </c>
      <c r="J398" s="693">
        <f t="shared" si="202"/>
        <v>1.5420837421704958</v>
      </c>
      <c r="K398" s="693">
        <f t="shared" si="203"/>
        <v>1.0001859193568641</v>
      </c>
      <c r="L398" s="694">
        <f t="shared" si="204"/>
        <v>1.9281626302114288E-2</v>
      </c>
      <c r="M398" s="693">
        <f t="shared" si="205"/>
        <v>1.001036739786773</v>
      </c>
      <c r="N398" s="694">
        <f t="shared" si="206"/>
        <v>-4.5515818949195937E-2</v>
      </c>
      <c r="O398" s="692">
        <f t="shared" si="207"/>
        <v>64579.030910484049</v>
      </c>
      <c r="P398" s="695">
        <f t="shared" si="208"/>
        <v>1.5707808418923526</v>
      </c>
      <c r="Q398" s="704">
        <f t="shared" si="198"/>
        <v>26.926505014219234</v>
      </c>
      <c r="R398" s="705">
        <f t="shared" si="199"/>
        <v>1.5336496560445785</v>
      </c>
      <c r="S398" s="692">
        <f t="shared" si="209"/>
        <v>1.0159623062185541</v>
      </c>
      <c r="T398" s="695">
        <f t="shared" si="210"/>
        <v>0.17749833471501805</v>
      </c>
      <c r="U398" s="696">
        <f t="shared" ref="U398:U461" si="222">IMABS(IMPRODUCT(AO398, AR398))</f>
        <v>0.93892221246175367</v>
      </c>
      <c r="V398" s="697">
        <f t="shared" ref="V398:V461" si="223">IMARGUMENT(IMPRODUCT(AO398, AR398))</f>
        <v>-0.43481509504810684</v>
      </c>
      <c r="W398" s="698">
        <f t="shared" si="211"/>
        <v>-2.2481659564564165</v>
      </c>
      <c r="X398" s="699">
        <f t="shared" si="212"/>
        <v>-127.06843424691796</v>
      </c>
      <c r="Y398" s="702">
        <f t="shared" si="213"/>
        <v>52.93156575308204</v>
      </c>
      <c r="AA398" s="174">
        <f t="shared" si="214"/>
        <v>35687.75</v>
      </c>
      <c r="AB398" s="174">
        <f t="shared" si="215"/>
        <v>1273615500.0625</v>
      </c>
      <c r="AD398" s="701">
        <f t="shared" si="216"/>
        <v>27.47266702860021</v>
      </c>
      <c r="AE398" s="702">
        <f t="shared" si="217"/>
        <v>-12.297365701216096</v>
      </c>
      <c r="AG398" s="701">
        <f t="shared" si="218"/>
        <v>-3.2380745675986877</v>
      </c>
      <c r="AH398" s="702">
        <f t="shared" si="219"/>
        <v>-64.944928859094659</v>
      </c>
      <c r="AJ398" s="174">
        <f t="shared" si="220"/>
        <v>0</v>
      </c>
      <c r="AK398" s="174">
        <f t="shared" si="200"/>
        <v>0</v>
      </c>
      <c r="AM398" s="174" t="str">
        <f t="shared" ref="AM398:AM461" si="224">IMSUB(1,IMEXP(COMPLEX(0,-2*Pi*G398*Tsw)))</f>
        <v>0.198301547901759+0.597728694227811i</v>
      </c>
      <c r="AN398" s="174" t="str">
        <f t="shared" ref="AN398:AN461" si="225">COMPLEX(0, 2*Pi*G398*Tsw)</f>
        <v>0.6406649891145i</v>
      </c>
      <c r="AO398" s="174" t="str">
        <f t="shared" ref="AO398:AO461" si="226">IMDIV(AM398, AN398)</f>
        <v>0.932981674328679-0.30952455849951i</v>
      </c>
      <c r="AP398" s="174" t="str">
        <f t="shared" ref="AP398:AP461" si="227">IMDIV(IMEXP(COMPLEX(0,-2*Pi*G398*Tsw)),6)</f>
        <v>0.13361640868304-0.0996214490379685i</v>
      </c>
      <c r="AQ398" s="174" t="str">
        <f t="shared" ref="AQ398:AQ461" si="228">IMSUB(1, AP398)</f>
        <v>0.86638359131696+0.0996214490379685i</v>
      </c>
      <c r="AR398" s="174" t="str">
        <f t="shared" ref="AR398:AR461" si="229">IMDIV(0.833, AQ398)</f>
        <v>0.948921587983909-0.109112112193481i</v>
      </c>
    </row>
    <row r="399" spans="7:44" x14ac:dyDescent="0.2">
      <c r="G399" s="703">
        <v>35894.5</v>
      </c>
      <c r="H399" s="691">
        <f t="shared" si="221"/>
        <v>35.894500000000001</v>
      </c>
      <c r="I399" s="692">
        <f t="shared" si="201"/>
        <v>35.034350522626482</v>
      </c>
      <c r="J399" s="693">
        <f t="shared" si="202"/>
        <v>1.5422490347046198</v>
      </c>
      <c r="K399" s="693">
        <f t="shared" si="203"/>
        <v>1.0001880795684981</v>
      </c>
      <c r="L399" s="694">
        <f t="shared" si="204"/>
        <v>1.9393302707812379E-2</v>
      </c>
      <c r="M399" s="693">
        <f t="shared" si="205"/>
        <v>1.0010487805698143</v>
      </c>
      <c r="N399" s="694">
        <f t="shared" si="206"/>
        <v>-4.5779138746045146E-2</v>
      </c>
      <c r="O399" s="692">
        <f t="shared" si="207"/>
        <v>64953.156895942659</v>
      </c>
      <c r="P399" s="695">
        <f t="shared" si="208"/>
        <v>1.5707809310843903</v>
      </c>
      <c r="Q399" s="704">
        <f t="shared" si="198"/>
        <v>27.082283921171964</v>
      </c>
      <c r="R399" s="705">
        <f t="shared" si="199"/>
        <v>1.533863423388844</v>
      </c>
      <c r="S399" s="692">
        <f t="shared" si="209"/>
        <v>1.016146317162969</v>
      </c>
      <c r="T399" s="695">
        <f t="shared" si="210"/>
        <v>0.17850499191404537</v>
      </c>
      <c r="U399" s="696">
        <f t="shared" si="222"/>
        <v>0.93827716051782029</v>
      </c>
      <c r="V399" s="697">
        <f t="shared" si="223"/>
        <v>-0.4371862317502076</v>
      </c>
      <c r="W399" s="698">
        <f t="shared" si="211"/>
        <v>-2.3057876304267246</v>
      </c>
      <c r="X399" s="699">
        <f t="shared" si="212"/>
        <v>-127.26788381634304</v>
      </c>
      <c r="Y399" s="702">
        <f t="shared" si="213"/>
        <v>52.732116183656956</v>
      </c>
      <c r="AA399" s="174">
        <f t="shared" si="214"/>
        <v>35894.5</v>
      </c>
      <c r="AB399" s="174">
        <f t="shared" si="215"/>
        <v>1288415130.25</v>
      </c>
      <c r="AD399" s="701">
        <f t="shared" si="216"/>
        <v>27.471025178553212</v>
      </c>
      <c r="AE399" s="702">
        <f t="shared" si="217"/>
        <v>-12.342800053891933</v>
      </c>
      <c r="AG399" s="701">
        <f t="shared" si="218"/>
        <v>-3.282115648526458</v>
      </c>
      <c r="AH399" s="702">
        <f t="shared" si="219"/>
        <v>-64.82723182417557</v>
      </c>
      <c r="AJ399" s="174">
        <f t="shared" si="220"/>
        <v>0</v>
      </c>
      <c r="AK399" s="174">
        <f t="shared" si="200"/>
        <v>0</v>
      </c>
      <c r="AM399" s="174" t="str">
        <f t="shared" si="224"/>
        <v>0.200525575078941+0.600700128098157i</v>
      </c>
      <c r="AN399" s="174" t="str">
        <f t="shared" si="225"/>
        <v>0.644376556431i</v>
      </c>
      <c r="AO399" s="174" t="str">
        <f t="shared" si="226"/>
        <v>0.932219091621283-0.311193157289256i</v>
      </c>
      <c r="AP399" s="174" t="str">
        <f t="shared" si="227"/>
        <v>0.133245737486843-0.100116688016359i</v>
      </c>
      <c r="AQ399" s="174" t="str">
        <f t="shared" si="228"/>
        <v>0.866754262513157+0.100116688016359i</v>
      </c>
      <c r="AR399" s="174" t="str">
        <f t="shared" si="229"/>
        <v>0.948403114589151-0.109547749395261i</v>
      </c>
    </row>
    <row r="400" spans="7:44" x14ac:dyDescent="0.2">
      <c r="G400" s="703">
        <v>36101.25</v>
      </c>
      <c r="H400" s="691">
        <f t="shared" si="221"/>
        <v>36.10125</v>
      </c>
      <c r="I400" s="692">
        <f t="shared" si="201"/>
        <v>35.235982179404431</v>
      </c>
      <c r="J400" s="693">
        <f t="shared" si="202"/>
        <v>1.5424124355287621</v>
      </c>
      <c r="K400" s="693">
        <f t="shared" si="203"/>
        <v>1.0001902522540436</v>
      </c>
      <c r="L400" s="694">
        <f t="shared" si="204"/>
        <v>1.9504978629720126E-2</v>
      </c>
      <c r="M400" s="693">
        <f t="shared" si="205"/>
        <v>1.001060890761218</v>
      </c>
      <c r="N400" s="694">
        <f t="shared" si="206"/>
        <v>-4.6042452190204038E-2</v>
      </c>
      <c r="O400" s="692">
        <f t="shared" si="207"/>
        <v>65327.28288140177</v>
      </c>
      <c r="P400" s="695">
        <f t="shared" si="208"/>
        <v>1.5707810192548317</v>
      </c>
      <c r="Q400" s="704">
        <f t="shared" si="198"/>
        <v>27.238064051533968</v>
      </c>
      <c r="R400" s="705">
        <f t="shared" si="199"/>
        <v>1.5340747455832318</v>
      </c>
      <c r="S400" s="692">
        <f t="shared" si="209"/>
        <v>1.0163313574546327</v>
      </c>
      <c r="T400" s="695">
        <f t="shared" si="210"/>
        <v>0.17951128357460308</v>
      </c>
      <c r="U400" s="696">
        <f t="shared" si="222"/>
        <v>0.93762963866701843</v>
      </c>
      <c r="V400" s="697">
        <f t="shared" si="223"/>
        <v>-0.43955505484668883</v>
      </c>
      <c r="W400" s="698">
        <f t="shared" si="211"/>
        <v>-2.3631554440944962</v>
      </c>
      <c r="X400" s="699">
        <f t="shared" si="212"/>
        <v>-127.46721119709292</v>
      </c>
      <c r="Y400" s="702">
        <f t="shared" si="213"/>
        <v>52.532788802907078</v>
      </c>
      <c r="AA400" s="174">
        <f t="shared" si="214"/>
        <v>36101.25</v>
      </c>
      <c r="AB400" s="174">
        <f t="shared" si="215"/>
        <v>1303300251.5625</v>
      </c>
      <c r="AD400" s="701">
        <f t="shared" si="216"/>
        <v>27.469375993891457</v>
      </c>
      <c r="AE400" s="702">
        <f t="shared" si="217"/>
        <v>-12.388353500991462</v>
      </c>
      <c r="AG400" s="701">
        <f t="shared" si="218"/>
        <v>-3.3258415632673155</v>
      </c>
      <c r="AH400" s="702">
        <f t="shared" si="219"/>
        <v>-64.709558625832742</v>
      </c>
      <c r="AJ400" s="174">
        <f t="shared" si="220"/>
        <v>0</v>
      </c>
      <c r="AK400" s="174">
        <f t="shared" si="200"/>
        <v>0</v>
      </c>
      <c r="AM400" s="174" t="str">
        <f t="shared" si="224"/>
        <v>0.202760615588855+0.603663286894059i</v>
      </c>
      <c r="AN400" s="174" t="str">
        <f t="shared" si="225"/>
        <v>0.6480881237475i</v>
      </c>
      <c r="AO400" s="174" t="str">
        <f t="shared" si="226"/>
        <v>0.931452475017504-0.312859637693117i</v>
      </c>
      <c r="AP400" s="174" t="str">
        <f t="shared" si="227"/>
        <v>0.132873230735191-0.100610547815677i</v>
      </c>
      <c r="AQ400" s="174" t="str">
        <f t="shared" si="228"/>
        <v>0.867126769264809+0.100610547815677i</v>
      </c>
      <c r="AR400" s="174" t="str">
        <f t="shared" si="229"/>
        <v>0.947883090025411-0.109980501505599i</v>
      </c>
    </row>
    <row r="401" spans="7:44" x14ac:dyDescent="0.2">
      <c r="G401" s="703">
        <v>36308</v>
      </c>
      <c r="H401" s="691">
        <f t="shared" si="221"/>
        <v>36.308</v>
      </c>
      <c r="I401" s="692">
        <f t="shared" si="201"/>
        <v>35.437614766271281</v>
      </c>
      <c r="J401" s="693">
        <f t="shared" si="202"/>
        <v>1.5425739769244193</v>
      </c>
      <c r="K401" s="693">
        <f t="shared" si="203"/>
        <v>1.000192437413419</v>
      </c>
      <c r="L401" s="694">
        <f t="shared" si="204"/>
        <v>1.9616654065055153E-2</v>
      </c>
      <c r="M401" s="693">
        <f t="shared" si="205"/>
        <v>1.0010730703584656</v>
      </c>
      <c r="N401" s="694">
        <f t="shared" si="206"/>
        <v>-4.6305759245390689E-2</v>
      </c>
      <c r="O401" s="692">
        <f t="shared" si="207"/>
        <v>65701.408866861384</v>
      </c>
      <c r="P401" s="695">
        <f t="shared" si="208"/>
        <v>1.5707811064211286</v>
      </c>
      <c r="Q401" s="704">
        <f t="shared" si="198"/>
        <v>27.393845384433821</v>
      </c>
      <c r="R401" s="705">
        <f t="shared" si="199"/>
        <v>1.5342836643234077</v>
      </c>
      <c r="S401" s="692">
        <f t="shared" si="209"/>
        <v>1.0165174265314179</v>
      </c>
      <c r="T401" s="695">
        <f t="shared" si="210"/>
        <v>0.18051720785888281</v>
      </c>
      <c r="U401" s="696">
        <f t="shared" si="222"/>
        <v>0.93697966442195502</v>
      </c>
      <c r="V401" s="697">
        <f t="shared" si="223"/>
        <v>-0.44192155746883777</v>
      </c>
      <c r="W401" s="698">
        <f t="shared" si="211"/>
        <v>-2.4202725808152343</v>
      </c>
      <c r="X401" s="699">
        <f t="shared" si="212"/>
        <v>-127.66641535000895</v>
      </c>
      <c r="Y401" s="702">
        <f t="shared" si="213"/>
        <v>52.333584649991053</v>
      </c>
      <c r="AA401" s="174">
        <f t="shared" si="214"/>
        <v>36308</v>
      </c>
      <c r="AB401" s="174">
        <f t="shared" si="215"/>
        <v>1318270864</v>
      </c>
      <c r="AD401" s="701">
        <f t="shared" si="216"/>
        <v>27.467719457401031</v>
      </c>
      <c r="AE401" s="702">
        <f t="shared" si="217"/>
        <v>-12.434023549230247</v>
      </c>
      <c r="AG401" s="701">
        <f t="shared" si="218"/>
        <v>-3.3692556964772424</v>
      </c>
      <c r="AH401" s="702">
        <f t="shared" si="219"/>
        <v>-64.591911505288579</v>
      </c>
      <c r="AJ401" s="174">
        <f t="shared" si="220"/>
        <v>0</v>
      </c>
      <c r="AK401" s="174">
        <f t="shared" si="200"/>
        <v>0</v>
      </c>
      <c r="AM401" s="174" t="str">
        <f t="shared" si="224"/>
        <v>0.205006638642217+0.606618129795882i</v>
      </c>
      <c r="AN401" s="174" t="str">
        <f t="shared" si="225"/>
        <v>0.651799691064i</v>
      </c>
      <c r="AO401" s="174" t="str">
        <f t="shared" si="226"/>
        <v>0.9306818308024-0.314523988662166i</v>
      </c>
      <c r="AP401" s="174" t="str">
        <f t="shared" si="227"/>
        <v>0.13249889355963-0.101103021632647i</v>
      </c>
      <c r="AQ401" s="174" t="str">
        <f t="shared" si="228"/>
        <v>0.86750110644037+0.101103021632647i</v>
      </c>
      <c r="AR401" s="174" t="str">
        <f t="shared" si="229"/>
        <v>0.947361533488803-0.110410364785903i</v>
      </c>
    </row>
    <row r="402" spans="7:44" x14ac:dyDescent="0.2">
      <c r="G402" s="703">
        <v>36519.5</v>
      </c>
      <c r="H402" s="691">
        <f t="shared" si="221"/>
        <v>36.519500000000001</v>
      </c>
      <c r="I402" s="692">
        <f t="shared" si="201"/>
        <v>35.64388072851213</v>
      </c>
      <c r="J402" s="693">
        <f t="shared" si="202"/>
        <v>1.5427373385642162</v>
      </c>
      <c r="K402" s="693">
        <f t="shared" si="203"/>
        <v>1.0001946856828812</v>
      </c>
      <c r="L402" s="694">
        <f t="shared" si="204"/>
        <v>1.9730894693259723E-2</v>
      </c>
      <c r="M402" s="693">
        <f t="shared" si="205"/>
        <v>1.0010856015905507</v>
      </c>
      <c r="N402" s="694">
        <f t="shared" si="206"/>
        <v>-4.6575109028035723E-2</v>
      </c>
      <c r="O402" s="692">
        <f t="shared" si="207"/>
        <v>66084.130249810914</v>
      </c>
      <c r="P402" s="695">
        <f t="shared" si="208"/>
        <v>1.5707811945688046</v>
      </c>
      <c r="Q402" s="704">
        <f t="shared" si="198"/>
        <v>27.553206955267246</v>
      </c>
      <c r="R402" s="705">
        <f t="shared" si="199"/>
        <v>1.5344949384594326</v>
      </c>
      <c r="S402" s="692">
        <f t="shared" si="209"/>
        <v>1.0167088343937083</v>
      </c>
      <c r="T402" s="695">
        <f t="shared" si="210"/>
        <v>0.18154586081289092</v>
      </c>
      <c r="U402" s="696">
        <f t="shared" si="222"/>
        <v>0.93631223797769847</v>
      </c>
      <c r="V402" s="697">
        <f t="shared" si="223"/>
        <v>-0.44434002143197771</v>
      </c>
      <c r="W402" s="698">
        <f t="shared" si="211"/>
        <v>-2.4784458392376068</v>
      </c>
      <c r="X402" s="699">
        <f t="shared" si="212"/>
        <v>-127.87006756766567</v>
      </c>
      <c r="Y402" s="702">
        <f t="shared" si="213"/>
        <v>52.129932432334328</v>
      </c>
      <c r="AA402" s="174">
        <f t="shared" si="214"/>
        <v>36519.5</v>
      </c>
      <c r="AB402" s="174">
        <f t="shared" si="215"/>
        <v>1333673880.25</v>
      </c>
      <c r="AD402" s="701">
        <f t="shared" si="216"/>
        <v>27.466017238395398</v>
      </c>
      <c r="AE402" s="702">
        <f t="shared" si="217"/>
        <v>-12.480860956307399</v>
      </c>
      <c r="AG402" s="701">
        <f t="shared" si="218"/>
        <v>-3.4133481147635325</v>
      </c>
      <c r="AH402" s="702">
        <f t="shared" si="219"/>
        <v>-64.471590759566681</v>
      </c>
      <c r="AJ402" s="174">
        <f t="shared" si="220"/>
        <v>0</v>
      </c>
      <c r="AK402" s="174">
        <f t="shared" si="200"/>
        <v>0</v>
      </c>
      <c r="AM402" s="174" t="str">
        <f t="shared" si="224"/>
        <v>0.207315594852827+0.609632211941325i</v>
      </c>
      <c r="AN402" s="174" t="str">
        <f t="shared" si="225"/>
        <v>0.655596530181i</v>
      </c>
      <c r="AO402" s="174" t="str">
        <f t="shared" si="226"/>
        <v>0.929889320452955-0.316224362559683i</v>
      </c>
      <c r="AP402" s="174" t="str">
        <f t="shared" si="227"/>
        <v>0.132114067524529-0.101605368656888i</v>
      </c>
      <c r="AQ402" s="174" t="str">
        <f t="shared" si="228"/>
        <v>0.867885932475471+0.101605368656888i</v>
      </c>
      <c r="AR402" s="174" t="str">
        <f t="shared" si="229"/>
        <v>0.946826429213487-0.110847111117382i</v>
      </c>
    </row>
    <row r="403" spans="7:44" x14ac:dyDescent="0.2">
      <c r="G403" s="703">
        <v>36731</v>
      </c>
      <c r="H403" s="691">
        <f t="shared" si="221"/>
        <v>36.731000000000002</v>
      </c>
      <c r="I403" s="692">
        <f t="shared" si="201"/>
        <v>35.850147631036194</v>
      </c>
      <c r="J403" s="693">
        <f t="shared" si="202"/>
        <v>1.5428988203778391</v>
      </c>
      <c r="K403" s="693">
        <f t="shared" si="203"/>
        <v>1.0001969470057464</v>
      </c>
      <c r="L403" s="694">
        <f t="shared" si="204"/>
        <v>1.9845134806387076E-2</v>
      </c>
      <c r="M403" s="693">
        <f t="shared" si="205"/>
        <v>1.0010982054488797</v>
      </c>
      <c r="N403" s="694">
        <f t="shared" si="206"/>
        <v>-4.6844452047976305E-2</v>
      </c>
      <c r="O403" s="692">
        <f t="shared" si="207"/>
        <v>66466.85163276094</v>
      </c>
      <c r="P403" s="695">
        <f t="shared" si="208"/>
        <v>1.570781281701358</v>
      </c>
      <c r="Q403" s="704">
        <f t="shared" si="198"/>
        <v>27.71256974184158</v>
      </c>
      <c r="R403" s="705">
        <f t="shared" si="199"/>
        <v>1.5347037827156287</v>
      </c>
      <c r="S403" s="692">
        <f t="shared" si="209"/>
        <v>1.0169013176573107</v>
      </c>
      <c r="T403" s="695">
        <f t="shared" si="210"/>
        <v>0.18257412543926779</v>
      </c>
      <c r="U403" s="696">
        <f t="shared" si="222"/>
        <v>0.93564228223154156</v>
      </c>
      <c r="V403" s="697">
        <f t="shared" si="223"/>
        <v>-0.44675604280469605</v>
      </c>
      <c r="W403" s="698">
        <f t="shared" si="211"/>
        <v>-2.5363633294081724</v>
      </c>
      <c r="X403" s="699">
        <f t="shared" si="212"/>
        <v>-128.07358868529369</v>
      </c>
      <c r="Y403" s="702">
        <f t="shared" si="213"/>
        <v>51.926411314706314</v>
      </c>
      <c r="AA403" s="174">
        <f t="shared" si="214"/>
        <v>36731</v>
      </c>
      <c r="AB403" s="174">
        <f t="shared" si="215"/>
        <v>1349166361</v>
      </c>
      <c r="AD403" s="701">
        <f t="shared" si="216"/>
        <v>27.46430729195076</v>
      </c>
      <c r="AE403" s="702">
        <f t="shared" si="217"/>
        <v>-12.52781527754704</v>
      </c>
      <c r="AG403" s="701">
        <f t="shared" si="218"/>
        <v>-3.45712124972763</v>
      </c>
      <c r="AH403" s="702">
        <f t="shared" si="219"/>
        <v>-64.351301899898388</v>
      </c>
      <c r="AJ403" s="174">
        <f t="shared" si="220"/>
        <v>0</v>
      </c>
      <c r="AK403" s="174">
        <f t="shared" si="200"/>
        <v>0</v>
      </c>
      <c r="AM403" s="174" t="str">
        <f t="shared" si="224"/>
        <v>0.209635978378012+0.612637505647114i</v>
      </c>
      <c r="AN403" s="174" t="str">
        <f t="shared" si="225"/>
        <v>0.659393369298i</v>
      </c>
      <c r="AO403" s="174" t="str">
        <f t="shared" si="226"/>
        <v>0.929092608709937-0.317922484724397i</v>
      </c>
      <c r="AP403" s="174" t="str">
        <f t="shared" si="227"/>
        <v>0.131727336936998-0.102106250941186i</v>
      </c>
      <c r="AQ403" s="174" t="str">
        <f t="shared" si="228"/>
        <v>0.868272663063002+0.102106250941186i</v>
      </c>
      <c r="AR403" s="174" t="str">
        <f t="shared" si="229"/>
        <v>0.946289762323515-0.111280826916774i</v>
      </c>
    </row>
    <row r="404" spans="7:44" x14ac:dyDescent="0.2">
      <c r="G404" s="703">
        <v>36942.5</v>
      </c>
      <c r="H404" s="691">
        <f t="shared" si="221"/>
        <v>36.942500000000003</v>
      </c>
      <c r="I404" s="692">
        <f t="shared" si="201"/>
        <v>36.056415457706343</v>
      </c>
      <c r="J404" s="693">
        <f t="shared" si="202"/>
        <v>1.5430584546185413</v>
      </c>
      <c r="K404" s="693">
        <f t="shared" si="203"/>
        <v>1.0001992213819262</v>
      </c>
      <c r="L404" s="694">
        <f t="shared" si="204"/>
        <v>1.9959374401458858E-2</v>
      </c>
      <c r="M404" s="693">
        <f t="shared" si="205"/>
        <v>1.0011108819307093</v>
      </c>
      <c r="N404" s="694">
        <f t="shared" si="206"/>
        <v>-4.7113788266389241E-2</v>
      </c>
      <c r="O404" s="692">
        <f t="shared" si="207"/>
        <v>66849.573015711489</v>
      </c>
      <c r="P404" s="695">
        <f t="shared" si="208"/>
        <v>1.5707813678362239</v>
      </c>
      <c r="Q404" s="704">
        <f t="shared" si="198"/>
        <v>27.871933723303179</v>
      </c>
      <c r="R404" s="705">
        <f t="shared" si="199"/>
        <v>1.534910238753755</v>
      </c>
      <c r="S404" s="692">
        <f t="shared" si="209"/>
        <v>1.0170948757116725</v>
      </c>
      <c r="T404" s="695">
        <f t="shared" si="210"/>
        <v>0.18360199978467787</v>
      </c>
      <c r="U404" s="696">
        <f t="shared" si="222"/>
        <v>0.9349698159270009</v>
      </c>
      <c r="V404" s="697">
        <f t="shared" si="223"/>
        <v>-0.44916961451120091</v>
      </c>
      <c r="W404" s="698">
        <f t="shared" si="211"/>
        <v>-2.594028279711853</v>
      </c>
      <c r="X404" s="699">
        <f t="shared" si="212"/>
        <v>-128.27697764543967</v>
      </c>
      <c r="Y404" s="702">
        <f t="shared" si="213"/>
        <v>51.723022354560328</v>
      </c>
      <c r="AA404" s="174">
        <f t="shared" si="214"/>
        <v>36942.5</v>
      </c>
      <c r="AB404" s="174">
        <f t="shared" si="215"/>
        <v>1364748306.25</v>
      </c>
      <c r="AD404" s="701">
        <f t="shared" si="216"/>
        <v>27.462589602142216</v>
      </c>
      <c r="AE404" s="702">
        <f t="shared" si="217"/>
        <v>-12.574884014987243</v>
      </c>
      <c r="AG404" s="701">
        <f t="shared" si="218"/>
        <v>-3.5005785485382015</v>
      </c>
      <c r="AH404" s="702">
        <f t="shared" si="219"/>
        <v>-64.231047177618237</v>
      </c>
      <c r="AJ404" s="174">
        <f t="shared" si="220"/>
        <v>0</v>
      </c>
      <c r="AK404" s="174">
        <f t="shared" si="200"/>
        <v>0</v>
      </c>
      <c r="AM404" s="174" t="str">
        <f t="shared" si="224"/>
        <v>0.211967755767191+0.615633967589023i</v>
      </c>
      <c r="AN404" s="174" t="str">
        <f t="shared" si="225"/>
        <v>0.663190208415i</v>
      </c>
      <c r="AO404" s="174" t="str">
        <f t="shared" si="226"/>
        <v>0.928291702406713-0.319618343391689i</v>
      </c>
      <c r="AP404" s="174" t="str">
        <f t="shared" si="227"/>
        <v>0.131338707372135-0.102605661264837i</v>
      </c>
      <c r="AQ404" s="174" t="str">
        <f t="shared" si="228"/>
        <v>0.868661292627865+0.102605661264837i</v>
      </c>
      <c r="AR404" s="174" t="str">
        <f t="shared" si="229"/>
        <v>0.945751553286509-0.111711508663689i</v>
      </c>
    </row>
    <row r="405" spans="7:44" x14ac:dyDescent="0.2">
      <c r="G405" s="703">
        <v>37154</v>
      </c>
      <c r="H405" s="691">
        <f t="shared" si="221"/>
        <v>37.154000000000003</v>
      </c>
      <c r="I405" s="692">
        <f t="shared" si="201"/>
        <v>36.262684192752495</v>
      </c>
      <c r="J405" s="693">
        <f t="shared" si="202"/>
        <v>1.5432162728061078</v>
      </c>
      <c r="K405" s="693">
        <f t="shared" si="203"/>
        <v>1.0002015088113319</v>
      </c>
      <c r="L405" s="694">
        <f t="shared" si="204"/>
        <v>2.0073613475496806E-2</v>
      </c>
      <c r="M405" s="693">
        <f t="shared" si="205"/>
        <v>1.0011236310332809</v>
      </c>
      <c r="N405" s="694">
        <f t="shared" si="206"/>
        <v>-4.7383117644457282E-2</v>
      </c>
      <c r="O405" s="692">
        <f t="shared" si="207"/>
        <v>67232.294398662503</v>
      </c>
      <c r="P405" s="695">
        <f t="shared" si="208"/>
        <v>1.5707814529904403</v>
      </c>
      <c r="Q405" s="704">
        <f t="shared" si="198"/>
        <v>28.031298879272466</v>
      </c>
      <c r="R405" s="705">
        <f t="shared" si="199"/>
        <v>1.535114347288965</v>
      </c>
      <c r="S405" s="692">
        <f t="shared" si="209"/>
        <v>1.0172895079432971</v>
      </c>
      <c r="T405" s="695">
        <f t="shared" si="210"/>
        <v>0.18462948190056683</v>
      </c>
      <c r="U405" s="696">
        <f t="shared" si="222"/>
        <v>0.93429485780388233</v>
      </c>
      <c r="V405" s="697">
        <f t="shared" si="223"/>
        <v>-0.45158072956892936</v>
      </c>
      <c r="W405" s="698">
        <f t="shared" si="211"/>
        <v>-2.6514438607732926</v>
      </c>
      <c r="X405" s="699">
        <f t="shared" si="212"/>
        <v>-128.48023340845515</v>
      </c>
      <c r="Y405" s="702">
        <f t="shared" si="213"/>
        <v>51.519766591544851</v>
      </c>
      <c r="AA405" s="174">
        <f t="shared" si="214"/>
        <v>37154</v>
      </c>
      <c r="AB405" s="174">
        <f t="shared" si="215"/>
        <v>1380419716</v>
      </c>
      <c r="AD405" s="701">
        <f t="shared" si="216"/>
        <v>27.46086415383499</v>
      </c>
      <c r="AE405" s="702">
        <f t="shared" si="217"/>
        <v>-12.622064725153844</v>
      </c>
      <c r="AG405" s="701">
        <f t="shared" si="218"/>
        <v>-3.5437234016326604</v>
      </c>
      <c r="AH405" s="702">
        <f t="shared" si="219"/>
        <v>-64.110828796694875</v>
      </c>
      <c r="AJ405" s="174">
        <f t="shared" si="220"/>
        <v>0</v>
      </c>
      <c r="AK405" s="174">
        <f t="shared" si="200"/>
        <v>0</v>
      </c>
      <c r="AM405" s="174" t="str">
        <f t="shared" si="224"/>
        <v>0.214310893405532+0.618621554570148i</v>
      </c>
      <c r="AN405" s="174" t="str">
        <f t="shared" si="225"/>
        <v>0.666987047532i</v>
      </c>
      <c r="AO405" s="174" t="str">
        <f t="shared" si="226"/>
        <v>0.92748660841194-0.321311926818564i</v>
      </c>
      <c r="AP405" s="174" t="str">
        <f t="shared" si="227"/>
        <v>0.130948184432411-0.103103592428358i</v>
      </c>
      <c r="AQ405" s="174" t="str">
        <f t="shared" si="228"/>
        <v>0.869051815567589+0.103103592428358i</v>
      </c>
      <c r="AR405" s="174" t="str">
        <f t="shared" si="229"/>
        <v>0.945211822539587-0.112139152998533i</v>
      </c>
    </row>
    <row r="406" spans="7:44" x14ac:dyDescent="0.2">
      <c r="G406" s="703">
        <v>37370.25</v>
      </c>
      <c r="H406" s="691">
        <f t="shared" si="221"/>
        <v>37.370249999999999</v>
      </c>
      <c r="I406" s="692">
        <f t="shared" si="201"/>
        <v>36.473586363913348</v>
      </c>
      <c r="J406" s="693">
        <f t="shared" si="202"/>
        <v>1.5433757897705636</v>
      </c>
      <c r="K406" s="693">
        <f t="shared" si="203"/>
        <v>1.0002038611094259</v>
      </c>
      <c r="L406" s="694">
        <f t="shared" si="204"/>
        <v>2.0190417660677681E-2</v>
      </c>
      <c r="M406" s="693">
        <f t="shared" si="205"/>
        <v>1.001136741545825</v>
      </c>
      <c r="N406" s="694">
        <f t="shared" si="206"/>
        <v>-4.7658488678127393E-2</v>
      </c>
      <c r="O406" s="692">
        <f t="shared" si="207"/>
        <v>67623.611179103464</v>
      </c>
      <c r="P406" s="695">
        <f t="shared" si="208"/>
        <v>1.5707815390605151</v>
      </c>
      <c r="Q406" s="704">
        <f t="shared" si="198"/>
        <v>28.194244351754104</v>
      </c>
      <c r="R406" s="705">
        <f t="shared" si="199"/>
        <v>1.5353206540932156</v>
      </c>
      <c r="S406" s="692">
        <f t="shared" si="209"/>
        <v>1.01748962134082</v>
      </c>
      <c r="T406" s="695">
        <f t="shared" si="210"/>
        <v>0.18567963228934939</v>
      </c>
      <c r="U406" s="696">
        <f t="shared" si="222"/>
        <v>0.93360218417134611</v>
      </c>
      <c r="V406" s="697">
        <f t="shared" si="223"/>
        <v>-0.45404344776096595</v>
      </c>
      <c r="W406" s="698">
        <f t="shared" si="211"/>
        <v>-2.7098943278489656</v>
      </c>
      <c r="X406" s="699">
        <f t="shared" si="212"/>
        <v>-128.6879152346543</v>
      </c>
      <c r="Y406" s="702">
        <f t="shared" si="213"/>
        <v>51.312084765345702</v>
      </c>
      <c r="AA406" s="174">
        <f t="shared" si="214"/>
        <v>37370.25</v>
      </c>
      <c r="AB406" s="174">
        <f t="shared" si="215"/>
        <v>1396535585.0625</v>
      </c>
      <c r="AD406" s="701">
        <f t="shared" si="216"/>
        <v>27.459091917536806</v>
      </c>
      <c r="AE406" s="702">
        <f t="shared" si="217"/>
        <v>-12.670418332623997</v>
      </c>
      <c r="AG406" s="701">
        <f t="shared" si="218"/>
        <v>-3.5875176524733687</v>
      </c>
      <c r="AH406" s="702">
        <f t="shared" si="219"/>
        <v>-63.987950298033873</v>
      </c>
      <c r="AJ406" s="174">
        <f t="shared" si="220"/>
        <v>0</v>
      </c>
      <c r="AK406" s="174">
        <f t="shared" si="200"/>
        <v>0</v>
      </c>
      <c r="AM406" s="174" t="str">
        <f t="shared" si="224"/>
        <v>0.216718365332543+0.621667017616888i</v>
      </c>
      <c r="AN406" s="174" t="str">
        <f t="shared" si="225"/>
        <v>0.6708691584495i</v>
      </c>
      <c r="AO406" s="174" t="str">
        <f t="shared" si="226"/>
        <v>0.926659110479416-0.32304118113496i</v>
      </c>
      <c r="AP406" s="174" t="str">
        <f t="shared" si="227"/>
        <v>0.130546939111243-0.103611169602815i</v>
      </c>
      <c r="AQ406" s="174" t="str">
        <f t="shared" si="228"/>
        <v>0.869453060888757+0.103611169602815i</v>
      </c>
      <c r="AR406" s="174" t="str">
        <f t="shared" si="229"/>
        <v>0.944658418078731-0.112573257804432i</v>
      </c>
    </row>
    <row r="407" spans="7:44" x14ac:dyDescent="0.2">
      <c r="G407" s="703">
        <v>37586.5</v>
      </c>
      <c r="H407" s="691">
        <f t="shared" si="221"/>
        <v>37.586500000000001</v>
      </c>
      <c r="I407" s="692">
        <f t="shared" si="201"/>
        <v>36.684489452497353</v>
      </c>
      <c r="J407" s="693">
        <f t="shared" si="202"/>
        <v>1.5435334725785081</v>
      </c>
      <c r="K407" s="693">
        <f t="shared" si="203"/>
        <v>1.0002062270534546</v>
      </c>
      <c r="L407" s="694">
        <f t="shared" si="204"/>
        <v>2.0307221294861753E-2</v>
      </c>
      <c r="M407" s="693">
        <f t="shared" si="205"/>
        <v>1.0011499279717819</v>
      </c>
      <c r="N407" s="694">
        <f t="shared" si="206"/>
        <v>-4.7933852478699718E-2</v>
      </c>
      <c r="O407" s="692">
        <f t="shared" si="207"/>
        <v>68014.927959544919</v>
      </c>
      <c r="P407" s="695">
        <f t="shared" si="208"/>
        <v>1.5707816241401995</v>
      </c>
      <c r="Q407" s="704">
        <f t="shared" ref="Q407:Q470" si="230">SQRT(1+(G407/Zero2)^2)</f>
        <v>28.357191010462135</v>
      </c>
      <c r="R407" s="705">
        <f t="shared" ref="R407:R470" si="231">ATAN(G407/Zero2)</f>
        <v>1.5355245899374854</v>
      </c>
      <c r="S407" s="692">
        <f t="shared" si="209"/>
        <v>1.0176908564000025</v>
      </c>
      <c r="T407" s="695">
        <f t="shared" si="210"/>
        <v>0.18672936852840263</v>
      </c>
      <c r="U407" s="696">
        <f t="shared" si="222"/>
        <v>0.93290694514289607</v>
      </c>
      <c r="V407" s="697">
        <f t="shared" si="223"/>
        <v>-0.45650358325341867</v>
      </c>
      <c r="W407" s="698">
        <f t="shared" si="211"/>
        <v>-2.7680906234758136</v>
      </c>
      <c r="X407" s="699">
        <f t="shared" si="212"/>
        <v>-128.89545567100771</v>
      </c>
      <c r="Y407" s="702">
        <f t="shared" si="213"/>
        <v>51.10454432899229</v>
      </c>
      <c r="AA407" s="174">
        <f t="shared" si="214"/>
        <v>37586.5</v>
      </c>
      <c r="AB407" s="174">
        <f t="shared" si="215"/>
        <v>1412744982.25</v>
      </c>
      <c r="AD407" s="701">
        <f t="shared" si="216"/>
        <v>27.457311540756137</v>
      </c>
      <c r="AE407" s="702">
        <f t="shared" si="217"/>
        <v>-12.7188840003178</v>
      </c>
      <c r="AG407" s="701">
        <f t="shared" si="218"/>
        <v>-3.6309922582391536</v>
      </c>
      <c r="AH407" s="702">
        <f t="shared" si="219"/>
        <v>-63.865114304875554</v>
      </c>
      <c r="AJ407" s="174">
        <f t="shared" si="220"/>
        <v>0</v>
      </c>
      <c r="AK407" s="174">
        <f t="shared" si="200"/>
        <v>0</v>
      </c>
      <c r="AM407" s="174" t="str">
        <f t="shared" si="224"/>
        <v>0.219137641913976+0.624703111665321i</v>
      </c>
      <c r="AN407" s="174" t="str">
        <f t="shared" si="225"/>
        <v>0.674751269367i</v>
      </c>
      <c r="AO407" s="174" t="str">
        <f t="shared" si="226"/>
        <v>0.925827249278641-0.324768032106934i</v>
      </c>
      <c r="AP407" s="174" t="str">
        <f t="shared" si="227"/>
        <v>0.130143726347671-0.104117185277553i</v>
      </c>
      <c r="AQ407" s="174" t="str">
        <f t="shared" si="228"/>
        <v>0.869856273652329+0.104117185277553i</v>
      </c>
      <c r="AR407" s="174" t="str">
        <f t="shared" si="229"/>
        <v>0.94410346589654-0.113004180641477i</v>
      </c>
    </row>
    <row r="408" spans="7:44" x14ac:dyDescent="0.2">
      <c r="G408" s="703">
        <v>37802.75</v>
      </c>
      <c r="H408" s="691">
        <f t="shared" si="221"/>
        <v>37.802750000000003</v>
      </c>
      <c r="I408" s="692">
        <f t="shared" si="201"/>
        <v>36.895393442771862</v>
      </c>
      <c r="J408" s="693">
        <f t="shared" si="202"/>
        <v>1.5436893526756281</v>
      </c>
      <c r="K408" s="693">
        <f t="shared" si="203"/>
        <v>1.0002086066433213</v>
      </c>
      <c r="L408" s="694">
        <f t="shared" si="204"/>
        <v>2.0424024374865821E-2</v>
      </c>
      <c r="M408" s="693">
        <f t="shared" si="205"/>
        <v>1.0011631903081519</v>
      </c>
      <c r="N408" s="694">
        <f t="shared" si="206"/>
        <v>-4.820920900470186E-2</v>
      </c>
      <c r="O408" s="692">
        <f t="shared" si="207"/>
        <v>68406.244739986869</v>
      </c>
      <c r="P408" s="695">
        <f t="shared" si="208"/>
        <v>1.5707817082464901</v>
      </c>
      <c r="Q408" s="704">
        <f t="shared" si="230"/>
        <v>28.520138835064444</v>
      </c>
      <c r="R408" s="705">
        <f t="shared" si="231"/>
        <v>1.5357261954436077</v>
      </c>
      <c r="S408" s="692">
        <f t="shared" si="209"/>
        <v>1.0178932124555951</v>
      </c>
      <c r="T408" s="695">
        <f t="shared" si="210"/>
        <v>0.18777868855053914</v>
      </c>
      <c r="U408" s="696">
        <f t="shared" si="222"/>
        <v>0.93220916072995519</v>
      </c>
      <c r="V408" s="697">
        <f t="shared" si="223"/>
        <v>-0.45896112888396395</v>
      </c>
      <c r="W408" s="698">
        <f t="shared" si="211"/>
        <v>-2.8260359578970808</v>
      </c>
      <c r="X408" s="699">
        <f t="shared" si="212"/>
        <v>-129.10285366172883</v>
      </c>
      <c r="Y408" s="702">
        <f t="shared" si="213"/>
        <v>50.89714633827117</v>
      </c>
      <c r="AA408" s="174">
        <f t="shared" si="214"/>
        <v>37802.75</v>
      </c>
      <c r="AB408" s="174">
        <f t="shared" si="215"/>
        <v>1429047907.5625</v>
      </c>
      <c r="AD408" s="701">
        <f t="shared" si="216"/>
        <v>27.455523009715833</v>
      </c>
      <c r="AE408" s="702">
        <f t="shared" si="217"/>
        <v>-12.767459283308375</v>
      </c>
      <c r="AG408" s="701">
        <f t="shared" si="218"/>
        <v>-3.6741506672238384</v>
      </c>
      <c r="AH408" s="702">
        <f t="shared" si="219"/>
        <v>-63.742323027102202</v>
      </c>
      <c r="AJ408" s="174">
        <f t="shared" si="220"/>
        <v>0</v>
      </c>
      <c r="AK408" s="174">
        <f t="shared" si="200"/>
        <v>0</v>
      </c>
      <c r="AM408" s="174" t="str">
        <f t="shared" si="224"/>
        <v>0.221568686689481+0.627729790959183i</v>
      </c>
      <c r="AN408" s="174" t="str">
        <f t="shared" si="225"/>
        <v>0.6786333802845i</v>
      </c>
      <c r="AO408" s="174" t="str">
        <f t="shared" si="226"/>
        <v>0.924991032265497-0.326492467253223i</v>
      </c>
      <c r="AP408" s="174" t="str">
        <f t="shared" si="227"/>
        <v>0.12973855221842-0.104621631826531i</v>
      </c>
      <c r="AQ408" s="174" t="str">
        <f t="shared" si="228"/>
        <v>0.87026144778158+0.104621631826531i</v>
      </c>
      <c r="AR408" s="174" t="str">
        <f t="shared" si="229"/>
        <v>0.943546987730369-0.113431918434395i</v>
      </c>
    </row>
    <row r="409" spans="7:44" x14ac:dyDescent="0.2">
      <c r="G409" s="703">
        <v>38019</v>
      </c>
      <c r="H409" s="691">
        <f t="shared" si="221"/>
        <v>38.018999999999998</v>
      </c>
      <c r="I409" s="692">
        <f t="shared" si="201"/>
        <v>37.106298319361848</v>
      </c>
      <c r="J409" s="693">
        <f t="shared" si="202"/>
        <v>1.54384346079304</v>
      </c>
      <c r="K409" s="693">
        <f t="shared" si="203"/>
        <v>1.0002109998789286</v>
      </c>
      <c r="L409" s="694">
        <f t="shared" si="204"/>
        <v>2.0540826897506775E-2</v>
      </c>
      <c r="M409" s="693">
        <f t="shared" si="205"/>
        <v>1.0011765285519185</v>
      </c>
      <c r="N409" s="694">
        <f t="shared" si="206"/>
        <v>-4.8484558214668003E-2</v>
      </c>
      <c r="O409" s="692">
        <f t="shared" si="207"/>
        <v>68797.561520429314</v>
      </c>
      <c r="P409" s="695">
        <f t="shared" si="208"/>
        <v>1.5707817913959967</v>
      </c>
      <c r="Q409" s="704">
        <f t="shared" si="230"/>
        <v>28.683087805690793</v>
      </c>
      <c r="R409" s="705">
        <f t="shared" si="231"/>
        <v>1.5359255103110907</v>
      </c>
      <c r="S409" s="692">
        <f t="shared" si="209"/>
        <v>1.0180966888391729</v>
      </c>
      <c r="T409" s="695">
        <f t="shared" si="210"/>
        <v>0.18882759029387666</v>
      </c>
      <c r="U409" s="696">
        <f t="shared" si="222"/>
        <v>0.93150885093482916</v>
      </c>
      <c r="V409" s="697">
        <f t="shared" si="223"/>
        <v>-0.46141607759148257</v>
      </c>
      <c r="W409" s="698">
        <f t="shared" si="211"/>
        <v>-2.8837334838096189</v>
      </c>
      <c r="X409" s="699">
        <f t="shared" si="212"/>
        <v>-129.31010816901551</v>
      </c>
      <c r="Y409" s="702">
        <f t="shared" si="213"/>
        <v>50.689891830984493</v>
      </c>
      <c r="AA409" s="174">
        <f t="shared" si="214"/>
        <v>38019</v>
      </c>
      <c r="AB409" s="174">
        <f t="shared" si="215"/>
        <v>1445444361</v>
      </c>
      <c r="AD409" s="701">
        <f t="shared" si="216"/>
        <v>27.453726311396565</v>
      </c>
      <c r="AE409" s="702">
        <f t="shared" si="217"/>
        <v>-12.816141789795978</v>
      </c>
      <c r="AG409" s="701">
        <f t="shared" si="218"/>
        <v>-3.7169962711381253</v>
      </c>
      <c r="AH409" s="702">
        <f t="shared" si="219"/>
        <v>-63.619578627855951</v>
      </c>
      <c r="AJ409" s="174">
        <f t="shared" si="220"/>
        <v>0</v>
      </c>
      <c r="AK409" s="174">
        <f t="shared" si="200"/>
        <v>0</v>
      </c>
      <c r="AM409" s="174" t="str">
        <f t="shared" si="224"/>
        <v>0.224011463021348+0.630747009884099i</v>
      </c>
      <c r="AN409" s="174" t="str">
        <f t="shared" si="225"/>
        <v>0.682515491202i</v>
      </c>
      <c r="AO409" s="174" t="str">
        <f t="shared" si="226"/>
        <v>0.924150466934121-0.328214474116674i</v>
      </c>
      <c r="AP409" s="174" t="str">
        <f t="shared" si="227"/>
        <v>0.129331422829775-0.10512450164735i</v>
      </c>
      <c r="AQ409" s="174" t="str">
        <f t="shared" si="228"/>
        <v>0.870668577170225+0.10512450164735i</v>
      </c>
      <c r="AR409" s="174" t="str">
        <f t="shared" si="229"/>
        <v>0.942989005278225-0.113856468279804i</v>
      </c>
    </row>
    <row r="410" spans="7:44" x14ac:dyDescent="0.2">
      <c r="G410" s="703">
        <v>38240.5</v>
      </c>
      <c r="H410" s="691">
        <f t="shared" si="221"/>
        <v>38.240499999999997</v>
      </c>
      <c r="I410" s="692">
        <f t="shared" si="201"/>
        <v>37.322324333099765</v>
      </c>
      <c r="J410" s="693">
        <f t="shared" si="202"/>
        <v>1.5439995046200357</v>
      </c>
      <c r="K410" s="693">
        <f t="shared" si="203"/>
        <v>1.0002134653627948</v>
      </c>
      <c r="L410" s="694">
        <f t="shared" si="204"/>
        <v>2.0660464507176471E-2</v>
      </c>
      <c r="M410" s="693">
        <f t="shared" si="205"/>
        <v>1.0011902693051729</v>
      </c>
      <c r="N410" s="694">
        <f t="shared" si="206"/>
        <v>-4.8766584575198911E-2</v>
      </c>
      <c r="O410" s="692">
        <f t="shared" si="207"/>
        <v>69198.378477044811</v>
      </c>
      <c r="P410" s="695">
        <f t="shared" si="208"/>
        <v>1.5707818755892176</v>
      </c>
      <c r="Q410" s="704">
        <f t="shared" si="230"/>
        <v>28.849993930688324</v>
      </c>
      <c r="R410" s="705">
        <f t="shared" si="231"/>
        <v>1.536127329854311</v>
      </c>
      <c r="S410" s="692">
        <f t="shared" si="209"/>
        <v>1.0183062658661468</v>
      </c>
      <c r="T410" s="695">
        <f t="shared" si="210"/>
        <v>0.18990152092035761</v>
      </c>
      <c r="U410" s="696">
        <f t="shared" si="222"/>
        <v>0.93078894220132491</v>
      </c>
      <c r="V410" s="697">
        <f t="shared" si="223"/>
        <v>-0.46392792667811011</v>
      </c>
      <c r="W410" s="698">
        <f t="shared" si="211"/>
        <v>-2.9425780888930535</v>
      </c>
      <c r="X410" s="699">
        <f t="shared" si="212"/>
        <v>-129.52224447171969</v>
      </c>
      <c r="Y410" s="702">
        <f t="shared" si="213"/>
        <v>50.477755528280312</v>
      </c>
      <c r="AA410" s="174">
        <f t="shared" si="214"/>
        <v>38240.5</v>
      </c>
      <c r="AB410" s="174">
        <f t="shared" si="215"/>
        <v>1462335840.25</v>
      </c>
      <c r="AD410" s="701">
        <f t="shared" si="216"/>
        <v>27.451877513869608</v>
      </c>
      <c r="AE410" s="702">
        <f t="shared" si="217"/>
        <v>-12.866114898106712</v>
      </c>
      <c r="AG410" s="701">
        <f t="shared" si="218"/>
        <v>-3.7605612554541521</v>
      </c>
      <c r="AH410" s="702">
        <f t="shared" si="219"/>
        <v>-63.493905119045472</v>
      </c>
      <c r="AJ410" s="174">
        <f t="shared" si="220"/>
        <v>0</v>
      </c>
      <c r="AK410" s="174">
        <f t="shared" ref="AK410:AK473" si="232">IF(AJ410&gt;0,Y410,0)</f>
        <v>0</v>
      </c>
      <c r="AM410" s="174" t="str">
        <f t="shared" si="224"/>
        <v>0.226525667505881+0.633827624021529i</v>
      </c>
      <c r="AN410" s="174" t="str">
        <f t="shared" si="225"/>
        <v>0.686491849899i</v>
      </c>
      <c r="AO410" s="174" t="str">
        <f t="shared" si="226"/>
        <v>0.923284994737783-0.329975756506372i</v>
      </c>
      <c r="AP410" s="174" t="str">
        <f t="shared" si="227"/>
        <v>0.12891238874902-0.105637937336922i</v>
      </c>
      <c r="AQ410" s="174" t="str">
        <f t="shared" si="228"/>
        <v>0.87108761125098+0.105637937336922i</v>
      </c>
      <c r="AR410" s="174" t="str">
        <f t="shared" si="229"/>
        <v>0.942415939555319-0.114288017281166i</v>
      </c>
    </row>
    <row r="411" spans="7:44" x14ac:dyDescent="0.2">
      <c r="G411" s="703">
        <v>38462</v>
      </c>
      <c r="H411" s="691">
        <f t="shared" si="221"/>
        <v>38.462000000000003</v>
      </c>
      <c r="I411" s="692">
        <f t="shared" si="201"/>
        <v>37.538351245164385</v>
      </c>
      <c r="J411" s="693">
        <f t="shared" si="202"/>
        <v>1.5441537524386744</v>
      </c>
      <c r="K411" s="693">
        <f t="shared" si="203"/>
        <v>1.0002159451628032</v>
      </c>
      <c r="L411" s="694">
        <f t="shared" si="204"/>
        <v>2.0780101525331954E-2</v>
      </c>
      <c r="M411" s="693">
        <f t="shared" si="205"/>
        <v>1.0012040896897785</v>
      </c>
      <c r="N411" s="694">
        <f t="shared" si="206"/>
        <v>-4.9048603172110308E-2</v>
      </c>
      <c r="O411" s="692">
        <f t="shared" si="207"/>
        <v>69599.195433660789</v>
      </c>
      <c r="P411" s="695">
        <f t="shared" si="208"/>
        <v>1.5707819588127123</v>
      </c>
      <c r="Q411" s="704">
        <f t="shared" si="230"/>
        <v>29.01690121726028</v>
      </c>
      <c r="R411" s="705">
        <f t="shared" si="231"/>
        <v>1.5363268276447488</v>
      </c>
      <c r="S411" s="692">
        <f t="shared" si="209"/>
        <v>1.0185170168491102</v>
      </c>
      <c r="T411" s="695">
        <f t="shared" si="210"/>
        <v>0.19097500835022133</v>
      </c>
      <c r="U411" s="696">
        <f t="shared" si="222"/>
        <v>0.93006642642282511</v>
      </c>
      <c r="V411" s="697">
        <f t="shared" si="223"/>
        <v>-0.46643703654627328</v>
      </c>
      <c r="W411" s="698">
        <f t="shared" si="211"/>
        <v>-3.0011692232359271</v>
      </c>
      <c r="X411" s="699">
        <f t="shared" si="212"/>
        <v>-129.73422809191507</v>
      </c>
      <c r="Y411" s="702">
        <f t="shared" si="213"/>
        <v>50.265771908084929</v>
      </c>
      <c r="AA411" s="174">
        <f t="shared" si="214"/>
        <v>38462</v>
      </c>
      <c r="AB411" s="174">
        <f t="shared" si="215"/>
        <v>1479325444</v>
      </c>
      <c r="AD411" s="701">
        <f t="shared" si="216"/>
        <v>27.450020122372241</v>
      </c>
      <c r="AE411" s="702">
        <f t="shared" si="217"/>
        <v>-12.916195584196206</v>
      </c>
      <c r="AG411" s="701">
        <f t="shared" si="218"/>
        <v>-3.8038050887989288</v>
      </c>
      <c r="AH411" s="702">
        <f t="shared" si="219"/>
        <v>-63.368285241262022</v>
      </c>
      <c r="AJ411" s="174">
        <f t="shared" si="220"/>
        <v>0</v>
      </c>
      <c r="AK411" s="174">
        <f t="shared" si="232"/>
        <v>0</v>
      </c>
      <c r="AM411" s="174" t="str">
        <f t="shared" si="224"/>
        <v>0.229052101708394+0.636898216452014i</v>
      </c>
      <c r="AN411" s="174" t="str">
        <f t="shared" si="225"/>
        <v>0.690468208596i</v>
      </c>
      <c r="AO411" s="174" t="str">
        <f t="shared" si="226"/>
        <v>0.922414976566531-0.331734464899042i</v>
      </c>
      <c r="AP411" s="174" t="str">
        <f t="shared" si="227"/>
        <v>0.128491316381934-0.106149702742002i</v>
      </c>
      <c r="AQ411" s="174" t="str">
        <f t="shared" si="228"/>
        <v>0.871508683618066+0.106149702742002i</v>
      </c>
      <c r="AR411" s="174" t="str">
        <f t="shared" si="229"/>
        <v>0.941841341567802-0.114716216047899i</v>
      </c>
    </row>
    <row r="412" spans="7:44" x14ac:dyDescent="0.2">
      <c r="G412" s="703">
        <v>38683.5</v>
      </c>
      <c r="H412" s="691">
        <f t="shared" si="221"/>
        <v>38.683500000000002</v>
      </c>
      <c r="I412" s="692">
        <f t="shared" si="201"/>
        <v>37.754379040135305</v>
      </c>
      <c r="J412" s="693">
        <f t="shared" si="202"/>
        <v>1.5443062350714376</v>
      </c>
      <c r="K412" s="693">
        <f t="shared" si="203"/>
        <v>1.0002184392788473</v>
      </c>
      <c r="L412" s="694">
        <f t="shared" si="204"/>
        <v>2.0899737948552911E-2</v>
      </c>
      <c r="M412" s="693">
        <f t="shared" si="205"/>
        <v>1.0012179897024378</v>
      </c>
      <c r="N412" s="694">
        <f t="shared" si="206"/>
        <v>-4.933061396086421E-2</v>
      </c>
      <c r="O412" s="692">
        <f t="shared" si="207"/>
        <v>70000.012390277247</v>
      </c>
      <c r="P412" s="695">
        <f t="shared" si="208"/>
        <v>1.570782041083139</v>
      </c>
      <c r="Q412" s="704">
        <f t="shared" si="230"/>
        <v>29.183809645476931</v>
      </c>
      <c r="R412" s="705">
        <f t="shared" si="231"/>
        <v>1.5365240435021834</v>
      </c>
      <c r="S412" s="692">
        <f t="shared" si="209"/>
        <v>1.0187289410594718</v>
      </c>
      <c r="T412" s="695">
        <f t="shared" si="210"/>
        <v>0.19204805038517886</v>
      </c>
      <c r="U412" s="696">
        <f t="shared" si="222"/>
        <v>0.92934132505612999</v>
      </c>
      <c r="V412" s="697">
        <f t="shared" si="223"/>
        <v>-0.46894339993699752</v>
      </c>
      <c r="W412" s="698">
        <f t="shared" si="211"/>
        <v>-3.059510095487898</v>
      </c>
      <c r="X412" s="699">
        <f t="shared" si="212"/>
        <v>-129.94605797083162</v>
      </c>
      <c r="Y412" s="702">
        <f t="shared" si="213"/>
        <v>50.053942029168383</v>
      </c>
      <c r="AA412" s="174">
        <f t="shared" si="214"/>
        <v>38683.5</v>
      </c>
      <c r="AB412" s="174">
        <f t="shared" si="215"/>
        <v>1496413172.25</v>
      </c>
      <c r="AD412" s="701">
        <f t="shared" si="216"/>
        <v>27.44815412523149</v>
      </c>
      <c r="AE412" s="702">
        <f t="shared" si="217"/>
        <v>-12.966381441560925</v>
      </c>
      <c r="AG412" s="701">
        <f t="shared" si="218"/>
        <v>-3.8467312395665552</v>
      </c>
      <c r="AH412" s="702">
        <f t="shared" si="219"/>
        <v>-63.242721174056477</v>
      </c>
      <c r="AJ412" s="174">
        <f t="shared" si="220"/>
        <v>0</v>
      </c>
      <c r="AK412" s="174">
        <f t="shared" si="232"/>
        <v>0</v>
      </c>
      <c r="AM412" s="174" t="str">
        <f t="shared" si="224"/>
        <v>0.231590725682408+0.639958738625164i</v>
      </c>
      <c r="AN412" s="174" t="str">
        <f t="shared" si="225"/>
        <v>0.694444567293i</v>
      </c>
      <c r="AO412" s="174" t="str">
        <f t="shared" si="226"/>
        <v>0.921540420597966-0.333490585987543i</v>
      </c>
      <c r="AP412" s="174" t="str">
        <f t="shared" si="227"/>
        <v>0.128068212386265-0.106659789770861i</v>
      </c>
      <c r="AQ412" s="174" t="str">
        <f t="shared" si="228"/>
        <v>0.871931787613735+0.106659789770861i</v>
      </c>
      <c r="AR412" s="174" t="str">
        <f t="shared" si="229"/>
        <v>0.941265234494634-0.115141062014237i</v>
      </c>
    </row>
    <row r="413" spans="7:44" x14ac:dyDescent="0.2">
      <c r="G413" s="703">
        <v>38905</v>
      </c>
      <c r="H413" s="691">
        <f t="shared" si="221"/>
        <v>38.905000000000001</v>
      </c>
      <c r="I413" s="692">
        <f t="shared" si="201"/>
        <v>37.970407702942957</v>
      </c>
      <c r="J413" s="693">
        <f t="shared" si="202"/>
        <v>1.544456982639695</v>
      </c>
      <c r="K413" s="693">
        <f t="shared" si="203"/>
        <v>1.0002209477108204</v>
      </c>
      <c r="L413" s="694">
        <f t="shared" si="204"/>
        <v>2.1019373773419114E-2</v>
      </c>
      <c r="M413" s="693">
        <f t="shared" si="205"/>
        <v>1.0012319693398344</v>
      </c>
      <c r="N413" s="694">
        <f t="shared" si="206"/>
        <v>-4.961261689693007E-2</v>
      </c>
      <c r="O413" s="692">
        <f t="shared" si="207"/>
        <v>70400.829346894199</v>
      </c>
      <c r="P413" s="695">
        <f t="shared" si="208"/>
        <v>1.5707821224167762</v>
      </c>
      <c r="Q413" s="704">
        <f t="shared" si="230"/>
        <v>29.350719195861728</v>
      </c>
      <c r="R413" s="705">
        <f t="shared" si="231"/>
        <v>1.5367190163413373</v>
      </c>
      <c r="S413" s="692">
        <f t="shared" si="209"/>
        <v>1.0189420377651917</v>
      </c>
      <c r="T413" s="695">
        <f t="shared" si="210"/>
        <v>0.19312064483286767</v>
      </c>
      <c r="U413" s="696">
        <f t="shared" si="222"/>
        <v>0.92861365954248976</v>
      </c>
      <c r="V413" s="697">
        <f t="shared" si="223"/>
        <v>-0.47144700970182046</v>
      </c>
      <c r="W413" s="698">
        <f t="shared" si="211"/>
        <v>-3.1176038565602111</v>
      </c>
      <c r="X413" s="699">
        <f t="shared" si="212"/>
        <v>-130.1577330680347</v>
      </c>
      <c r="Y413" s="702">
        <f t="shared" si="213"/>
        <v>49.842266931965298</v>
      </c>
      <c r="AA413" s="174">
        <f t="shared" si="214"/>
        <v>38905</v>
      </c>
      <c r="AB413" s="174">
        <f t="shared" si="215"/>
        <v>1513599025</v>
      </c>
      <c r="AD413" s="701">
        <f t="shared" si="216"/>
        <v>27.446279511507051</v>
      </c>
      <c r="AE413" s="702">
        <f t="shared" si="217"/>
        <v>-13.016670115871062</v>
      </c>
      <c r="AG413" s="701">
        <f t="shared" si="218"/>
        <v>-3.8893431193100874</v>
      </c>
      <c r="AH413" s="702">
        <f t="shared" si="219"/>
        <v>-63.117215050477462</v>
      </c>
      <c r="AJ413" s="174">
        <f t="shared" si="220"/>
        <v>0</v>
      </c>
      <c r="AK413" s="174">
        <f t="shared" si="232"/>
        <v>0</v>
      </c>
      <c r="AM413" s="174" t="str">
        <f t="shared" si="224"/>
        <v>0.234141499288702+0.643009142149816i</v>
      </c>
      <c r="AN413" s="174" t="str">
        <f t="shared" si="225"/>
        <v>0.69842092599i</v>
      </c>
      <c r="AO413" s="174" t="str">
        <f t="shared" si="226"/>
        <v>0.920661335051439-0.335244106491813i</v>
      </c>
      <c r="AP413" s="174" t="str">
        <f t="shared" si="227"/>
        <v>0.127643083451883-0.107168190358303i</v>
      </c>
      <c r="AQ413" s="174" t="str">
        <f t="shared" si="228"/>
        <v>0.872356916548117+0.107168190358303i</v>
      </c>
      <c r="AR413" s="174" t="str">
        <f t="shared" si="229"/>
        <v>0.940687641465011-0.11556255279907i</v>
      </c>
    </row>
    <row r="414" spans="7:44" x14ac:dyDescent="0.2">
      <c r="G414" s="703">
        <v>39131.5</v>
      </c>
      <c r="H414" s="691">
        <f t="shared" si="221"/>
        <v>39.131500000000003</v>
      </c>
      <c r="I414" s="692">
        <f t="shared" si="201"/>
        <v>38.191313741366841</v>
      </c>
      <c r="J414" s="693">
        <f t="shared" si="202"/>
        <v>1.5446093695012517</v>
      </c>
      <c r="K414" s="693">
        <f t="shared" si="203"/>
        <v>1.0002235275707418</v>
      </c>
      <c r="L414" s="694">
        <f t="shared" si="204"/>
        <v>2.1141709558908491E-2</v>
      </c>
      <c r="M414" s="693">
        <f t="shared" si="205"/>
        <v>1.0012463468823125</v>
      </c>
      <c r="N414" s="694">
        <f t="shared" si="206"/>
        <v>-4.9900977420790929E-2</v>
      </c>
      <c r="O414" s="692">
        <f t="shared" si="207"/>
        <v>70810.694090342688</v>
      </c>
      <c r="P414" s="695">
        <f t="shared" si="208"/>
        <v>1.5707822046342135</v>
      </c>
      <c r="Q414" s="704">
        <f t="shared" si="230"/>
        <v>29.521397596807066</v>
      </c>
      <c r="R414" s="705">
        <f t="shared" si="231"/>
        <v>1.5369161104584865</v>
      </c>
      <c r="S414" s="692">
        <f t="shared" si="209"/>
        <v>1.0191611565088172</v>
      </c>
      <c r="T414" s="695">
        <f t="shared" si="210"/>
        <v>0.1942169862102277</v>
      </c>
      <c r="U414" s="696">
        <f t="shared" si="222"/>
        <v>0.92786693887020644</v>
      </c>
      <c r="V414" s="697">
        <f t="shared" si="223"/>
        <v>-0.47400427946199725</v>
      </c>
      <c r="W414" s="698">
        <f t="shared" si="211"/>
        <v>-3.1767566716934055</v>
      </c>
      <c r="X414" s="699">
        <f t="shared" si="212"/>
        <v>-130.37402525690129</v>
      </c>
      <c r="Y414" s="702">
        <f t="shared" si="213"/>
        <v>49.625974743098709</v>
      </c>
      <c r="AA414" s="174">
        <f t="shared" si="214"/>
        <v>39131.5</v>
      </c>
      <c r="AB414" s="174">
        <f t="shared" si="215"/>
        <v>1531274292.25</v>
      </c>
      <c r="AD414" s="701">
        <f t="shared" si="216"/>
        <v>27.444353660253434</v>
      </c>
      <c r="AE414" s="702">
        <f t="shared" si="217"/>
        <v>-13.068197899390878</v>
      </c>
      <c r="AG414" s="701">
        <f t="shared" si="218"/>
        <v>-3.9325953964512554</v>
      </c>
      <c r="AH414" s="702">
        <f t="shared" si="219"/>
        <v>-62.988937926820213</v>
      </c>
      <c r="AJ414" s="174">
        <f t="shared" si="220"/>
        <v>0</v>
      </c>
      <c r="AK414" s="174">
        <f t="shared" si="232"/>
        <v>0</v>
      </c>
      <c r="AM414" s="174" t="str">
        <f t="shared" si="224"/>
        <v>0.236762374527316+0.646117889446515i</v>
      </c>
      <c r="AN414" s="174" t="str">
        <f t="shared" si="225"/>
        <v>0.702487044477i</v>
      </c>
      <c r="AO414" s="174" t="str">
        <f t="shared" si="226"/>
        <v>0.91975773009102-0.337034506741096i</v>
      </c>
      <c r="AP414" s="174" t="str">
        <f t="shared" si="227"/>
        <v>0.127206270912114-0.107686314907753i</v>
      </c>
      <c r="AQ414" s="174" t="str">
        <f t="shared" si="228"/>
        <v>0.872793729087886+0.107686314907753i</v>
      </c>
      <c r="AR414" s="174" t="str">
        <f t="shared" si="229"/>
        <v>0.940095497612821-0.115990086117015i</v>
      </c>
    </row>
    <row r="415" spans="7:44" x14ac:dyDescent="0.2">
      <c r="G415" s="703">
        <v>39358</v>
      </c>
      <c r="H415" s="691">
        <f t="shared" si="221"/>
        <v>39.357999999999997</v>
      </c>
      <c r="I415" s="692">
        <f t="shared" si="201"/>
        <v>38.412220656459425</v>
      </c>
      <c r="J415" s="693">
        <f t="shared" si="202"/>
        <v>1.5447600036266027</v>
      </c>
      <c r="K415" s="693">
        <f t="shared" si="203"/>
        <v>1.0002261223999758</v>
      </c>
      <c r="L415" s="694">
        <f t="shared" si="204"/>
        <v>2.126404471149131E-2</v>
      </c>
      <c r="M415" s="693">
        <f t="shared" si="205"/>
        <v>1.0012608076778231</v>
      </c>
      <c r="N415" s="694">
        <f t="shared" si="206"/>
        <v>-5.0189329639284769E-2</v>
      </c>
      <c r="O415" s="692">
        <f t="shared" si="207"/>
        <v>71220.558833791642</v>
      </c>
      <c r="P415" s="695">
        <f t="shared" si="208"/>
        <v>1.57078228590535</v>
      </c>
      <c r="Q415" s="704">
        <f t="shared" si="230"/>
        <v>29.692077131359127</v>
      </c>
      <c r="R415" s="705">
        <f t="shared" si="231"/>
        <v>1.5371109386633695</v>
      </c>
      <c r="S415" s="692">
        <f t="shared" si="209"/>
        <v>1.0193814997203958</v>
      </c>
      <c r="T415" s="695">
        <f t="shared" si="210"/>
        <v>0.19531285494754247</v>
      </c>
      <c r="U415" s="696">
        <f t="shared" si="222"/>
        <v>0.92711758227238394</v>
      </c>
      <c r="V415" s="697">
        <f t="shared" si="223"/>
        <v>-0.47655865511022882</v>
      </c>
      <c r="W415" s="698">
        <f t="shared" si="211"/>
        <v>-3.2356575782353132</v>
      </c>
      <c r="X415" s="699">
        <f t="shared" si="212"/>
        <v>-130.59015345409171</v>
      </c>
      <c r="Y415" s="702">
        <f t="shared" si="213"/>
        <v>49.409846545908295</v>
      </c>
      <c r="AA415" s="174">
        <f t="shared" si="214"/>
        <v>39358</v>
      </c>
      <c r="AB415" s="174">
        <f t="shared" si="215"/>
        <v>1549052164</v>
      </c>
      <c r="AD415" s="701">
        <f t="shared" si="216"/>
        <v>27.442418778123113</v>
      </c>
      <c r="AE415" s="702">
        <f t="shared" si="217"/>
        <v>-13.119828375621559</v>
      </c>
      <c r="AG415" s="701">
        <f t="shared" si="218"/>
        <v>-3.9755260928304637</v>
      </c>
      <c r="AH415" s="702">
        <f t="shared" si="219"/>
        <v>-62.860725759576148</v>
      </c>
      <c r="AJ415" s="174">
        <f t="shared" si="220"/>
        <v>0</v>
      </c>
      <c r="AK415" s="174">
        <f t="shared" si="232"/>
        <v>0</v>
      </c>
      <c r="AM415" s="174" t="str">
        <f t="shared" si="224"/>
        <v>0.239395868600099+0.649215954284399i</v>
      </c>
      <c r="AN415" s="174" t="str">
        <f t="shared" si="225"/>
        <v>0.706553162964i</v>
      </c>
      <c r="AO415" s="174" t="str">
        <f t="shared" si="226"/>
        <v>0.918849406265382-0.338822159674199i</v>
      </c>
      <c r="AP415" s="174" t="str">
        <f t="shared" si="227"/>
        <v>0.126767355233317-0.1082026590474i</v>
      </c>
      <c r="AQ415" s="174" t="str">
        <f t="shared" si="228"/>
        <v>0.873232644766683+0.1082026590474i</v>
      </c>
      <c r="AR415" s="174" t="str">
        <f t="shared" si="229"/>
        <v>0.939501848711196-0.116414106618358i</v>
      </c>
    </row>
    <row r="416" spans="7:44" x14ac:dyDescent="0.2">
      <c r="G416" s="703">
        <v>39584.5</v>
      </c>
      <c r="H416" s="691">
        <f t="shared" si="221"/>
        <v>39.584499999999998</v>
      </c>
      <c r="I416" s="692">
        <f t="shared" si="201"/>
        <v>38.633128433182129</v>
      </c>
      <c r="J416" s="693">
        <f t="shared" si="202"/>
        <v>1.5449089150757722</v>
      </c>
      <c r="K416" s="693">
        <f t="shared" si="203"/>
        <v>1.0002287321984056</v>
      </c>
      <c r="L416" s="694">
        <f t="shared" si="204"/>
        <v>2.1386379227510813E-2</v>
      </c>
      <c r="M416" s="693">
        <f t="shared" si="205"/>
        <v>1.0012753517227595</v>
      </c>
      <c r="N416" s="694">
        <f t="shared" si="206"/>
        <v>-5.0477673504821255E-2</v>
      </c>
      <c r="O416" s="692">
        <f t="shared" si="207"/>
        <v>71630.423577241076</v>
      </c>
      <c r="P416" s="695">
        <f t="shared" si="208"/>
        <v>1.57078236624643</v>
      </c>
      <c r="Q416" s="704">
        <f t="shared" si="230"/>
        <v>29.862757780080631</v>
      </c>
      <c r="R416" s="705">
        <f t="shared" si="231"/>
        <v>1.5373035397935446</v>
      </c>
      <c r="S416" s="692">
        <f t="shared" si="209"/>
        <v>1.0196030666060802</v>
      </c>
      <c r="T416" s="695">
        <f t="shared" si="210"/>
        <v>0.19640824871997148</v>
      </c>
      <c r="U416" s="696">
        <f t="shared" si="222"/>
        <v>0.92636561261596562</v>
      </c>
      <c r="V416" s="697">
        <f t="shared" si="223"/>
        <v>-0.47911012935989211</v>
      </c>
      <c r="W416" s="698">
        <f t="shared" si="211"/>
        <v>-3.2943097665020633</v>
      </c>
      <c r="X416" s="699">
        <f t="shared" si="212"/>
        <v>-130.80611660440752</v>
      </c>
      <c r="Y416" s="702">
        <f t="shared" si="213"/>
        <v>49.193883395592479</v>
      </c>
      <c r="AA416" s="174">
        <f t="shared" si="214"/>
        <v>39584.5</v>
      </c>
      <c r="AB416" s="174">
        <f t="shared" si="215"/>
        <v>1566932640.25</v>
      </c>
      <c r="AD416" s="701">
        <f t="shared" si="216"/>
        <v>27.440474855646734</v>
      </c>
      <c r="AE416" s="702">
        <f t="shared" si="217"/>
        <v>-13.171559187062083</v>
      </c>
      <c r="AG416" s="701">
        <f t="shared" si="218"/>
        <v>-4.0181386801206092</v>
      </c>
      <c r="AH416" s="702">
        <f t="shared" si="219"/>
        <v>-62.732580686033337</v>
      </c>
      <c r="AJ416" s="174">
        <f t="shared" si="220"/>
        <v>0</v>
      </c>
      <c r="AK416" s="174">
        <f t="shared" si="232"/>
        <v>0</v>
      </c>
      <c r="AM416" s="174" t="str">
        <f t="shared" si="224"/>
        <v>0.242041937966712+0.652303285442242i</v>
      </c>
      <c r="AN416" s="174" t="str">
        <f t="shared" si="225"/>
        <v>0.710619281451i</v>
      </c>
      <c r="AO416" s="174" t="str">
        <f t="shared" si="226"/>
        <v>0.917936372497966-0.340607051180051i</v>
      </c>
      <c r="AP416" s="174" t="str">
        <f t="shared" si="227"/>
        <v>0.126326343672215-0.108717214240374i</v>
      </c>
      <c r="AQ416" s="174" t="str">
        <f t="shared" si="228"/>
        <v>0.873673656327785+0.108717214240374i</v>
      </c>
      <c r="AR416" s="174" t="str">
        <f t="shared" si="229"/>
        <v>0.938906719319551-0.116834612348313i</v>
      </c>
    </row>
    <row r="417" spans="7:44" x14ac:dyDescent="0.2">
      <c r="G417" s="703">
        <v>39811</v>
      </c>
      <c r="H417" s="691">
        <f t="shared" si="221"/>
        <v>39.811</v>
      </c>
      <c r="I417" s="692">
        <f t="shared" si="201"/>
        <v>38.854037056838379</v>
      </c>
      <c r="J417" s="693">
        <f t="shared" si="202"/>
        <v>1.5450561332254571</v>
      </c>
      <c r="K417" s="693">
        <f t="shared" si="203"/>
        <v>1.000231356965914</v>
      </c>
      <c r="L417" s="694">
        <f t="shared" si="204"/>
        <v>2.1508713103310342E-2</v>
      </c>
      <c r="M417" s="693">
        <f t="shared" si="205"/>
        <v>1.0012899790134935</v>
      </c>
      <c r="N417" s="694">
        <f t="shared" si="206"/>
        <v>-5.0766008969818338E-2</v>
      </c>
      <c r="O417" s="692">
        <f t="shared" si="207"/>
        <v>72040.288320690946</v>
      </c>
      <c r="P417" s="695">
        <f t="shared" si="208"/>
        <v>1.5707824456733277</v>
      </c>
      <c r="Q417" s="704">
        <f t="shared" si="230"/>
        <v>30.033439523976053</v>
      </c>
      <c r="R417" s="705">
        <f t="shared" si="231"/>
        <v>1.5374939518043764</v>
      </c>
      <c r="S417" s="692">
        <f t="shared" si="209"/>
        <v>1.0198258563683056</v>
      </c>
      <c r="T417" s="695">
        <f t="shared" si="210"/>
        <v>0.19750316520924832</v>
      </c>
      <c r="U417" s="696">
        <f t="shared" si="222"/>
        <v>0.92561105274494115</v>
      </c>
      <c r="V417" s="697">
        <f t="shared" si="223"/>
        <v>-0.48165869504409242</v>
      </c>
      <c r="W417" s="698">
        <f t="shared" si="211"/>
        <v>-3.3527163692681028</v>
      </c>
      <c r="X417" s="699">
        <f t="shared" si="212"/>
        <v>-131.02191367126045</v>
      </c>
      <c r="Y417" s="702">
        <f t="shared" si="213"/>
        <v>48.97808632873955</v>
      </c>
      <c r="AA417" s="174">
        <f t="shared" si="214"/>
        <v>39811</v>
      </c>
      <c r="AB417" s="174">
        <f t="shared" si="215"/>
        <v>1584915721</v>
      </c>
      <c r="AD417" s="701">
        <f t="shared" si="216"/>
        <v>27.438521884059238</v>
      </c>
      <c r="AE417" s="702">
        <f t="shared" si="217"/>
        <v>-13.223388027112907</v>
      </c>
      <c r="AG417" s="701">
        <f t="shared" si="218"/>
        <v>-4.0604365732700947</v>
      </c>
      <c r="AH417" s="702">
        <f t="shared" si="219"/>
        <v>-62.604504797468593</v>
      </c>
      <c r="AJ417" s="174">
        <f t="shared" si="220"/>
        <v>0</v>
      </c>
      <c r="AK417" s="174">
        <f t="shared" si="232"/>
        <v>0</v>
      </c>
      <c r="AM417" s="174" t="str">
        <f t="shared" si="224"/>
        <v>0.244700538878905+0.655379831876282i</v>
      </c>
      <c r="AN417" s="174" t="str">
        <f t="shared" si="225"/>
        <v>0.714685399938i</v>
      </c>
      <c r="AO417" s="174" t="str">
        <f t="shared" si="226"/>
        <v>0.917018637757449-0.3423891671778i</v>
      </c>
      <c r="AP417" s="174" t="str">
        <f t="shared" si="227"/>
        <v>0.125883243520183-0.10922997197938i</v>
      </c>
      <c r="AQ417" s="174" t="str">
        <f t="shared" si="228"/>
        <v>0.874116756479817+0.10922997197938i</v>
      </c>
      <c r="AR417" s="174" t="str">
        <f t="shared" si="229"/>
        <v>0.938310133936024-0.117251601548685i</v>
      </c>
    </row>
    <row r="418" spans="7:44" x14ac:dyDescent="0.2">
      <c r="G418" s="703">
        <v>40042.75</v>
      </c>
      <c r="H418" s="691">
        <f t="shared" si="221"/>
        <v>40.042749999999998</v>
      </c>
      <c r="I418" s="692">
        <f t="shared" si="201"/>
        <v>39.080066940683089</v>
      </c>
      <c r="J418" s="693">
        <f t="shared" si="202"/>
        <v>1.5452050410333764</v>
      </c>
      <c r="K418" s="693">
        <f t="shared" si="203"/>
        <v>1.0002340580658295</v>
      </c>
      <c r="L418" s="694">
        <f t="shared" si="204"/>
        <v>2.1633881866057289E-2</v>
      </c>
      <c r="M418" s="693">
        <f t="shared" si="205"/>
        <v>1.0013050315060525</v>
      </c>
      <c r="N418" s="694">
        <f t="shared" si="206"/>
        <v>-5.106101896269423E-2</v>
      </c>
      <c r="O418" s="692">
        <f t="shared" si="207"/>
        <v>72459.653240313986</v>
      </c>
      <c r="P418" s="695">
        <f t="shared" si="208"/>
        <v>1.5707825260112147</v>
      </c>
      <c r="Q418" s="704">
        <f t="shared" si="230"/>
        <v>30.208078581415897</v>
      </c>
      <c r="R418" s="705">
        <f t="shared" si="231"/>
        <v>1.5376865502089441</v>
      </c>
      <c r="S418" s="692">
        <f t="shared" si="209"/>
        <v>1.0200550750181416</v>
      </c>
      <c r="T418" s="695">
        <f t="shared" si="210"/>
        <v>0.19862296414079311</v>
      </c>
      <c r="U418" s="696">
        <f t="shared" si="222"/>
        <v>0.92483634590946395</v>
      </c>
      <c r="V418" s="697">
        <f t="shared" si="223"/>
        <v>-0.48426331562039998</v>
      </c>
      <c r="W418" s="698">
        <f t="shared" si="211"/>
        <v>-3.4122257860312946</v>
      </c>
      <c r="X418" s="699">
        <f t="shared" si="212"/>
        <v>-131.24253969235187</v>
      </c>
      <c r="Y418" s="702">
        <f t="shared" si="213"/>
        <v>48.757460307648131</v>
      </c>
      <c r="AA418" s="174">
        <f t="shared" si="214"/>
        <v>40042.75</v>
      </c>
      <c r="AB418" s="174">
        <f t="shared" si="215"/>
        <v>1603421827.5625</v>
      </c>
      <c r="AD418" s="701">
        <f t="shared" si="216"/>
        <v>27.436514270328203</v>
      </c>
      <c r="AE418" s="702">
        <f t="shared" si="217"/>
        <v>-13.276517307153574</v>
      </c>
      <c r="AG418" s="701">
        <f t="shared" si="218"/>
        <v>-4.1033926648751731</v>
      </c>
      <c r="AH418" s="702">
        <f t="shared" si="219"/>
        <v>-62.473534005667602</v>
      </c>
      <c r="AJ418" s="174">
        <f t="shared" si="220"/>
        <v>0</v>
      </c>
      <c r="AK418" s="174">
        <f t="shared" si="232"/>
        <v>0</v>
      </c>
      <c r="AM418" s="174" t="str">
        <f t="shared" si="224"/>
        <v>0.247433687754135+0.658516473349498i</v>
      </c>
      <c r="AN418" s="174" t="str">
        <f t="shared" si="225"/>
        <v>0.7188457662045i</v>
      </c>
      <c r="AO418" s="174" t="str">
        <f t="shared" si="226"/>
        <v>0.916074774741263-0.34420970309192i</v>
      </c>
      <c r="AP418" s="174" t="str">
        <f t="shared" si="227"/>
        <v>0.125427718707644-0.10975274555825i</v>
      </c>
      <c r="AQ418" s="174" t="str">
        <f t="shared" si="228"/>
        <v>0.874572281292356+0.10975274555825i</v>
      </c>
      <c r="AR418" s="174" t="str">
        <f t="shared" si="229"/>
        <v>0.937698238895572-0.117674614694908i</v>
      </c>
    </row>
    <row r="419" spans="7:44" x14ac:dyDescent="0.2">
      <c r="G419" s="703">
        <v>40274.5</v>
      </c>
      <c r="H419" s="691">
        <f t="shared" si="221"/>
        <v>40.274500000000003</v>
      </c>
      <c r="I419" s="692">
        <f t="shared" si="201"/>
        <v>39.306097681104909</v>
      </c>
      <c r="J419" s="693">
        <f t="shared" si="202"/>
        <v>1.5453522362480581</v>
      </c>
      <c r="K419" s="693">
        <f t="shared" si="203"/>
        <v>1.0002367748365464</v>
      </c>
      <c r="L419" s="694">
        <f t="shared" si="204"/>
        <v>2.1759049950816598E-2</v>
      </c>
      <c r="M419" s="693">
        <f t="shared" si="205"/>
        <v>1.0013201711404613</v>
      </c>
      <c r="N419" s="694">
        <f t="shared" si="206"/>
        <v>-5.1356020060333935E-2</v>
      </c>
      <c r="O419" s="692">
        <f t="shared" si="207"/>
        <v>72879.018159937492</v>
      </c>
      <c r="P419" s="695">
        <f t="shared" si="208"/>
        <v>1.5707826054245313</v>
      </c>
      <c r="Q419" s="704">
        <f t="shared" si="230"/>
        <v>30.382718746516872</v>
      </c>
      <c r="R419" s="705">
        <f t="shared" si="231"/>
        <v>1.5378769345054728</v>
      </c>
      <c r="S419" s="692">
        <f t="shared" si="209"/>
        <v>1.0202855721900161</v>
      </c>
      <c r="T419" s="695">
        <f t="shared" si="210"/>
        <v>0.19974225851801017</v>
      </c>
      <c r="U419" s="696">
        <f t="shared" si="222"/>
        <v>0.92405897569655493</v>
      </c>
      <c r="V419" s="697">
        <f t="shared" si="223"/>
        <v>-0.48686487643708087</v>
      </c>
      <c r="W419" s="698">
        <f t="shared" si="211"/>
        <v>-3.4714845571406632</v>
      </c>
      <c r="X419" s="699">
        <f t="shared" si="212"/>
        <v>-131.46298970419045</v>
      </c>
      <c r="Y419" s="702">
        <f t="shared" si="213"/>
        <v>48.537010295809552</v>
      </c>
      <c r="AA419" s="174">
        <f t="shared" si="214"/>
        <v>40274.5</v>
      </c>
      <c r="AB419" s="174">
        <f t="shared" si="215"/>
        <v>1622035350.25</v>
      </c>
      <c r="AD419" s="701">
        <f t="shared" si="216"/>
        <v>27.434497166727411</v>
      </c>
      <c r="AE419" s="702">
        <f t="shared" si="217"/>
        <v>-13.329744484432874</v>
      </c>
      <c r="AG419" s="701">
        <f t="shared" si="218"/>
        <v>-4.1460263614592279</v>
      </c>
      <c r="AH419" s="702">
        <f t="shared" si="219"/>
        <v>-62.342639930001425</v>
      </c>
      <c r="AJ419" s="174">
        <f t="shared" si="220"/>
        <v>0</v>
      </c>
      <c r="AK419" s="174">
        <f t="shared" si="232"/>
        <v>0</v>
      </c>
      <c r="AM419" s="174" t="str">
        <f t="shared" si="224"/>
        <v>0.250179862515575+0.661641716809663i</v>
      </c>
      <c r="AN419" s="174" t="str">
        <f t="shared" si="225"/>
        <v>0.723006132471i</v>
      </c>
      <c r="AO419" s="174" t="str">
        <f t="shared" si="226"/>
        <v>0.915126009441146-0.346027303614344i</v>
      </c>
      <c r="AP419" s="174" t="str">
        <f t="shared" si="227"/>
        <v>0.124970022914071-0.110273619468277i</v>
      </c>
      <c r="AQ419" s="174" t="str">
        <f t="shared" si="228"/>
        <v>0.875029977085929+0.110273619468277i</v>
      </c>
      <c r="AR419" s="174" t="str">
        <f t="shared" si="229"/>
        <v>0.937084871269493-0.118093943304646i</v>
      </c>
    </row>
    <row r="420" spans="7:44" x14ac:dyDescent="0.2">
      <c r="G420" s="703">
        <v>40506.25</v>
      </c>
      <c r="H420" s="691">
        <f t="shared" si="221"/>
        <v>40.506250000000001</v>
      </c>
      <c r="I420" s="692">
        <f t="shared" si="201"/>
        <v>39.532129263411029</v>
      </c>
      <c r="J420" s="693">
        <f t="shared" si="202"/>
        <v>1.5454977482391856</v>
      </c>
      <c r="K420" s="693">
        <f t="shared" si="203"/>
        <v>1.0002395072779369</v>
      </c>
      <c r="L420" s="694">
        <f t="shared" si="204"/>
        <v>2.188421735367178E-2</v>
      </c>
      <c r="M420" s="693">
        <f t="shared" si="205"/>
        <v>1.0013353979127668</v>
      </c>
      <c r="N420" s="694">
        <f t="shared" si="206"/>
        <v>-5.1651012211796785E-2</v>
      </c>
      <c r="O420" s="692">
        <f t="shared" si="207"/>
        <v>73298.383079561434</v>
      </c>
      <c r="P420" s="695">
        <f t="shared" si="208"/>
        <v>1.5707826839291468</v>
      </c>
      <c r="Q420" s="704">
        <f t="shared" si="230"/>
        <v>30.557360000287606</v>
      </c>
      <c r="R420" s="705">
        <f t="shared" si="231"/>
        <v>1.5380651426422149</v>
      </c>
      <c r="S420" s="692">
        <f t="shared" si="209"/>
        <v>1.0205173470176165</v>
      </c>
      <c r="T420" s="695">
        <f t="shared" si="210"/>
        <v>0.20086104587918557</v>
      </c>
      <c r="U420" s="696">
        <f t="shared" si="222"/>
        <v>0.92327896649162255</v>
      </c>
      <c r="V420" s="697">
        <f t="shared" si="223"/>
        <v>-0.48946337020443192</v>
      </c>
      <c r="W420" s="698">
        <f t="shared" si="211"/>
        <v>-3.530495859715304</v>
      </c>
      <c r="X420" s="699">
        <f t="shared" si="212"/>
        <v>-131.6832626547604</v>
      </c>
      <c r="Y420" s="702">
        <f t="shared" si="213"/>
        <v>48.316737345239602</v>
      </c>
      <c r="AA420" s="174">
        <f t="shared" si="214"/>
        <v>40506.25</v>
      </c>
      <c r="AB420" s="174">
        <f t="shared" si="215"/>
        <v>1640756289.0625</v>
      </c>
      <c r="AD420" s="701">
        <f t="shared" si="216"/>
        <v>27.432470566015738</v>
      </c>
      <c r="AE420" s="702">
        <f t="shared" si="217"/>
        <v>-13.383067244539523</v>
      </c>
      <c r="AG420" s="701">
        <f t="shared" si="218"/>
        <v>-4.1883411448008099</v>
      </c>
      <c r="AH420" s="702">
        <f t="shared" si="219"/>
        <v>-62.211824668203924</v>
      </c>
      <c r="AJ420" s="174">
        <f t="shared" si="220"/>
        <v>0</v>
      </c>
      <c r="AK420" s="174">
        <f t="shared" si="232"/>
        <v>0</v>
      </c>
      <c r="AM420" s="174" t="str">
        <f t="shared" si="224"/>
        <v>0.252939015630721+0.664755508163117i</v>
      </c>
      <c r="AN420" s="174" t="str">
        <f t="shared" si="225"/>
        <v>0.7271664987375i</v>
      </c>
      <c r="AO420" s="174" t="str">
        <f t="shared" si="226"/>
        <v>0.914172351610339-0.347841953761445i</v>
      </c>
      <c r="AP420" s="174" t="str">
        <f t="shared" si="227"/>
        <v>0.124510164061547-0.110792584693853i</v>
      </c>
      <c r="AQ420" s="174" t="str">
        <f t="shared" si="228"/>
        <v>0.875489835938453+0.110792584693853i</v>
      </c>
      <c r="AR420" s="174" t="str">
        <f t="shared" si="229"/>
        <v>0.936470057089161-0.118509586124541i</v>
      </c>
    </row>
    <row r="421" spans="7:44" x14ac:dyDescent="0.2">
      <c r="G421" s="703">
        <v>40738</v>
      </c>
      <c r="H421" s="691">
        <f t="shared" si="221"/>
        <v>40.738</v>
      </c>
      <c r="I421" s="692">
        <f t="shared" si="201"/>
        <v>39.758161673242697</v>
      </c>
      <c r="J421" s="693">
        <f t="shared" si="202"/>
        <v>1.545641605708844</v>
      </c>
      <c r="K421" s="693">
        <f t="shared" si="203"/>
        <v>1.0002422553898729</v>
      </c>
      <c r="L421" s="694">
        <f t="shared" si="204"/>
        <v>2.2009384070706482E-2</v>
      </c>
      <c r="M421" s="693">
        <f t="shared" si="205"/>
        <v>1.0013507118189942</v>
      </c>
      <c r="N421" s="694">
        <f t="shared" si="206"/>
        <v>-5.1945995366151396E-2</v>
      </c>
      <c r="O421" s="692">
        <f t="shared" si="207"/>
        <v>73717.747999185842</v>
      </c>
      <c r="P421" s="695">
        <f t="shared" si="208"/>
        <v>1.5707827615405696</v>
      </c>
      <c r="Q421" s="704">
        <f t="shared" si="230"/>
        <v>30.732002324168288</v>
      </c>
      <c r="R421" s="705">
        <f t="shared" si="231"/>
        <v>1.5382512117054463</v>
      </c>
      <c r="S421" s="692">
        <f t="shared" si="209"/>
        <v>1.0207503986306172</v>
      </c>
      <c r="T421" s="695">
        <f t="shared" si="210"/>
        <v>0.20197932376991218</v>
      </c>
      <c r="U421" s="696">
        <f t="shared" si="222"/>
        <v>0.92249634264852232</v>
      </c>
      <c r="V421" s="697">
        <f t="shared" si="223"/>
        <v>-0.49205878976258266</v>
      </c>
      <c r="W421" s="698">
        <f t="shared" si="211"/>
        <v>-3.5892628133953099</v>
      </c>
      <c r="X421" s="699">
        <f t="shared" si="212"/>
        <v>-131.90335751102015</v>
      </c>
      <c r="Y421" s="702">
        <f t="shared" si="213"/>
        <v>48.096642488979853</v>
      </c>
      <c r="AA421" s="174">
        <f t="shared" si="214"/>
        <v>40738</v>
      </c>
      <c r="AB421" s="174">
        <f t="shared" si="215"/>
        <v>1659584644</v>
      </c>
      <c r="AD421" s="701">
        <f t="shared" si="216"/>
        <v>27.430434461631258</v>
      </c>
      <c r="AE421" s="702">
        <f t="shared" si="217"/>
        <v>-13.436483322847845</v>
      </c>
      <c r="AG421" s="701">
        <f t="shared" si="218"/>
        <v>-4.2303404399293667</v>
      </c>
      <c r="AH421" s="702">
        <f t="shared" si="219"/>
        <v>-62.081090272320019</v>
      </c>
      <c r="AJ421" s="174">
        <f t="shared" si="220"/>
        <v>0</v>
      </c>
      <c r="AK421" s="174">
        <f t="shared" si="232"/>
        <v>0</v>
      </c>
      <c r="AM421" s="174" t="str">
        <f t="shared" si="224"/>
        <v>0.255711099342435+0.667857793514423i</v>
      </c>
      <c r="AN421" s="174" t="str">
        <f t="shared" si="225"/>
        <v>0.731326865004i</v>
      </c>
      <c r="AO421" s="174" t="str">
        <f t="shared" si="226"/>
        <v>0.913213811051191-0.349653638583394i</v>
      </c>
      <c r="AP421" s="174" t="str">
        <f t="shared" si="227"/>
        <v>0.124048150109594-0.111309632252404i</v>
      </c>
      <c r="AQ421" s="174" t="str">
        <f t="shared" si="228"/>
        <v>0.875951849890406+0.111309632252404i</v>
      </c>
      <c r="AR421" s="174" t="str">
        <f t="shared" si="229"/>
        <v>0.935853822311531-0.11892154211049i</v>
      </c>
    </row>
    <row r="422" spans="7:44" x14ac:dyDescent="0.2">
      <c r="G422" s="703">
        <v>40975.25</v>
      </c>
      <c r="H422" s="691">
        <f t="shared" si="221"/>
        <v>40.975250000000003</v>
      </c>
      <c r="I422" s="692">
        <f t="shared" si="201"/>
        <v>39.989559233102035</v>
      </c>
      <c r="J422" s="693">
        <f t="shared" si="202"/>
        <v>1.5457871926712698</v>
      </c>
      <c r="K422" s="693">
        <f t="shared" si="203"/>
        <v>1.0002450849539684</v>
      </c>
      <c r="L422" s="694">
        <f t="shared" si="204"/>
        <v>2.2137520588623279E-2</v>
      </c>
      <c r="M422" s="693">
        <f t="shared" si="205"/>
        <v>1.0013664794181876</v>
      </c>
      <c r="N422" s="694">
        <f t="shared" si="206"/>
        <v>-5.2247969826372198E-2</v>
      </c>
      <c r="O422" s="692">
        <f t="shared" si="207"/>
        <v>74147.065484324965</v>
      </c>
      <c r="P422" s="695">
        <f t="shared" si="208"/>
        <v>1.5707828400844854</v>
      </c>
      <c r="Q422" s="704">
        <f t="shared" si="230"/>
        <v>30.91079043138803</v>
      </c>
      <c r="R422" s="705">
        <f t="shared" si="231"/>
        <v>1.5384395186642594</v>
      </c>
      <c r="S422" s="692">
        <f t="shared" si="209"/>
        <v>1.0209903028180956</v>
      </c>
      <c r="T422" s="695">
        <f t="shared" si="210"/>
        <v>0.20312361085220956</v>
      </c>
      <c r="U422" s="696">
        <f t="shared" si="222"/>
        <v>0.92169246214850231</v>
      </c>
      <c r="V422" s="697">
        <f t="shared" si="223"/>
        <v>-0.49471261318610016</v>
      </c>
      <c r="W422" s="698">
        <f t="shared" si="211"/>
        <v>-3.6491745340055992</v>
      </c>
      <c r="X422" s="699">
        <f t="shared" si="212"/>
        <v>-132.12849021853924</v>
      </c>
      <c r="Y422" s="702">
        <f t="shared" si="213"/>
        <v>47.871509781460759</v>
      </c>
      <c r="AA422" s="174">
        <f t="shared" si="214"/>
        <v>40975.25</v>
      </c>
      <c r="AB422" s="174">
        <f t="shared" si="215"/>
        <v>1678971112.5625</v>
      </c>
      <c r="AD422" s="701">
        <f t="shared" si="216"/>
        <v>27.428340184632084</v>
      </c>
      <c r="AE422" s="702">
        <f t="shared" si="217"/>
        <v>-13.491261449519374</v>
      </c>
      <c r="AG422" s="701">
        <f t="shared" si="218"/>
        <v>-4.2730131917834493</v>
      </c>
      <c r="AH422" s="702">
        <f t="shared" si="219"/>
        <v>-61.947339089339067</v>
      </c>
      <c r="AJ422" s="174">
        <f t="shared" si="220"/>
        <v>0</v>
      </c>
      <c r="AK422" s="174">
        <f t="shared" si="232"/>
        <v>0</v>
      </c>
      <c r="AM422" s="174" t="str">
        <f t="shared" si="224"/>
        <v>0.258562315902026+0.671021728857891i</v>
      </c>
      <c r="AN422" s="174" t="str">
        <f t="shared" si="225"/>
        <v>0.7355859670395i</v>
      </c>
      <c r="AO422" s="174" t="str">
        <f t="shared" si="226"/>
        <v>0.91222747432029-0.351505231866586i</v>
      </c>
      <c r="AP422" s="174" t="str">
        <f t="shared" si="227"/>
        <v>0.123572947349662-0.111836954809649i</v>
      </c>
      <c r="AQ422" s="174" t="str">
        <f t="shared" si="228"/>
        <v>0.876427052650338+0.111836954809649i</v>
      </c>
      <c r="AR422" s="174" t="str">
        <f t="shared" si="229"/>
        <v>0.935221518212522-0.119339454838888i</v>
      </c>
    </row>
    <row r="423" spans="7:44" x14ac:dyDescent="0.2">
      <c r="G423" s="703">
        <v>41212.5</v>
      </c>
      <c r="H423" s="691">
        <f t="shared" si="221"/>
        <v>41.212499999999999</v>
      </c>
      <c r="I423" s="692">
        <f t="shared" si="201"/>
        <v>40.220957630809849</v>
      </c>
      <c r="J423" s="693">
        <f t="shared" si="202"/>
        <v>1.545931104460798</v>
      </c>
      <c r="K423" s="693">
        <f t="shared" si="203"/>
        <v>1.0002479309409622</v>
      </c>
      <c r="L423" s="694">
        <f t="shared" si="204"/>
        <v>2.2265656379474977E-2</v>
      </c>
      <c r="M423" s="693">
        <f t="shared" si="205"/>
        <v>1.0013823383276823</v>
      </c>
      <c r="N423" s="694">
        <f t="shared" si="206"/>
        <v>-5.2549934749378489E-2</v>
      </c>
      <c r="O423" s="692">
        <f t="shared" si="207"/>
        <v>74576.382969464539</v>
      </c>
      <c r="P423" s="695">
        <f t="shared" si="208"/>
        <v>1.5707829177240862</v>
      </c>
      <c r="Q423" s="704">
        <f t="shared" si="230"/>
        <v>31.089579622082695</v>
      </c>
      <c r="R423" s="705">
        <f t="shared" si="231"/>
        <v>1.538625659807545</v>
      </c>
      <c r="S423" s="692">
        <f t="shared" si="209"/>
        <v>1.0212315432539243</v>
      </c>
      <c r="T423" s="695">
        <f t="shared" si="210"/>
        <v>0.20426735881306973</v>
      </c>
      <c r="U423" s="696">
        <f t="shared" si="222"/>
        <v>0.9208858929787157</v>
      </c>
      <c r="V423" s="697">
        <f t="shared" si="223"/>
        <v>-0.49736319998140333</v>
      </c>
      <c r="W423" s="698">
        <f t="shared" si="211"/>
        <v>-3.7088366077027226</v>
      </c>
      <c r="X423" s="699">
        <f t="shared" si="212"/>
        <v>-132.35343414669268</v>
      </c>
      <c r="Y423" s="702">
        <f t="shared" si="213"/>
        <v>47.646565853307322</v>
      </c>
      <c r="AA423" s="174">
        <f t="shared" si="214"/>
        <v>41212.5</v>
      </c>
      <c r="AB423" s="174">
        <f t="shared" si="215"/>
        <v>1698470156.25</v>
      </c>
      <c r="AD423" s="701">
        <f t="shared" si="216"/>
        <v>27.426235935688904</v>
      </c>
      <c r="AE423" s="702">
        <f t="shared" si="217"/>
        <v>-13.546132727083492</v>
      </c>
      <c r="AG423" s="701">
        <f t="shared" si="218"/>
        <v>-4.3153623905981808</v>
      </c>
      <c r="AH423" s="702">
        <f t="shared" si="219"/>
        <v>-61.813676866373385</v>
      </c>
      <c r="AJ423" s="174">
        <f t="shared" si="220"/>
        <v>0</v>
      </c>
      <c r="AK423" s="174">
        <f t="shared" si="232"/>
        <v>0</v>
      </c>
      <c r="AM423" s="174" t="str">
        <f t="shared" si="224"/>
        <v>0.261426982083914+0.67417349191905i</v>
      </c>
      <c r="AN423" s="174" t="str">
        <f t="shared" si="225"/>
        <v>0.739845069075i</v>
      </c>
      <c r="AO423" s="174" t="str">
        <f t="shared" si="226"/>
        <v>0.911236041299759-0.353353685807173i</v>
      </c>
      <c r="AP423" s="174" t="str">
        <f t="shared" si="227"/>
        <v>0.123095502986014-0.112362248653175i</v>
      </c>
      <c r="AQ423" s="174" t="str">
        <f t="shared" si="228"/>
        <v>0.876904497013986+0.112362248653175i</v>
      </c>
      <c r="AR423" s="174" t="str">
        <f t="shared" si="229"/>
        <v>0.934587780093845-0.119753502111928i</v>
      </c>
    </row>
    <row r="424" spans="7:44" x14ac:dyDescent="0.2">
      <c r="G424" s="703">
        <v>41449.75</v>
      </c>
      <c r="H424" s="691">
        <f t="shared" si="221"/>
        <v>41.449750000000002</v>
      </c>
      <c r="I424" s="692">
        <f t="shared" si="201"/>
        <v>40.452356851987965</v>
      </c>
      <c r="J424" s="693">
        <f t="shared" si="202"/>
        <v>1.5460733698188405</v>
      </c>
      <c r="K424" s="693">
        <f t="shared" si="203"/>
        <v>1.0002507933507139</v>
      </c>
      <c r="L424" s="694">
        <f t="shared" si="204"/>
        <v>2.2393791439060142E-2</v>
      </c>
      <c r="M424" s="693">
        <f t="shared" si="205"/>
        <v>1.0013982885431407</v>
      </c>
      <c r="N424" s="694">
        <f t="shared" si="206"/>
        <v>-5.2851890080556657E-2</v>
      </c>
      <c r="O424" s="692">
        <f t="shared" si="207"/>
        <v>75005.700454604565</v>
      </c>
      <c r="P424" s="695">
        <f t="shared" si="208"/>
        <v>1.5707829944749001</v>
      </c>
      <c r="Q424" s="704">
        <f t="shared" si="230"/>
        <v>31.268369877666704</v>
      </c>
      <c r="R424" s="705">
        <f t="shared" si="231"/>
        <v>1.5388096722742168</v>
      </c>
      <c r="S424" s="692">
        <f t="shared" si="209"/>
        <v>1.021474118991363</v>
      </c>
      <c r="T424" s="695">
        <f t="shared" si="210"/>
        <v>0.20541056504311908</v>
      </c>
      <c r="U424" s="696">
        <f t="shared" si="222"/>
        <v>0.92007666115536879</v>
      </c>
      <c r="V424" s="697">
        <f t="shared" si="223"/>
        <v>-0.50001054288697999</v>
      </c>
      <c r="W424" s="698">
        <f t="shared" si="211"/>
        <v>-3.7682522028296677</v>
      </c>
      <c r="X424" s="699">
        <f t="shared" si="212"/>
        <v>-132.57818824678031</v>
      </c>
      <c r="Y424" s="702">
        <f t="shared" si="213"/>
        <v>47.421811753219686</v>
      </c>
      <c r="AA424" s="174">
        <f t="shared" si="214"/>
        <v>41449.75</v>
      </c>
      <c r="AB424" s="174">
        <f t="shared" si="215"/>
        <v>1718081775.0625</v>
      </c>
      <c r="AD424" s="701">
        <f t="shared" si="216"/>
        <v>27.424121709837614</v>
      </c>
      <c r="AE424" s="702">
        <f t="shared" si="217"/>
        <v>-13.60109487902081</v>
      </c>
      <c r="AG424" s="701">
        <f t="shared" si="218"/>
        <v>-4.3573915344912413</v>
      </c>
      <c r="AH424" s="702">
        <f t="shared" si="219"/>
        <v>-61.680105663350162</v>
      </c>
      <c r="AJ424" s="174">
        <f t="shared" si="220"/>
        <v>0</v>
      </c>
      <c r="AK424" s="174">
        <f t="shared" si="232"/>
        <v>0</v>
      </c>
      <c r="AM424" s="174" t="str">
        <f t="shared" si="224"/>
        <v>0.264305045923275+0.67731302552516i</v>
      </c>
      <c r="AN424" s="174" t="str">
        <f t="shared" si="225"/>
        <v>0.7441041711105i</v>
      </c>
      <c r="AO424" s="174" t="str">
        <f t="shared" si="226"/>
        <v>0.910239522665676-0.355198984476631i</v>
      </c>
      <c r="AP424" s="174" t="str">
        <f t="shared" si="227"/>
        <v>0.122615825679454-0.112885504254193i</v>
      </c>
      <c r="AQ424" s="174" t="str">
        <f t="shared" si="228"/>
        <v>0.877384174320546+0.112885504254193i</v>
      </c>
      <c r="AR424" s="174" t="str">
        <f t="shared" si="229"/>
        <v>0.933952635550854-0.120163683480314i</v>
      </c>
    </row>
    <row r="425" spans="7:44" x14ac:dyDescent="0.2">
      <c r="G425" s="703">
        <v>41687</v>
      </c>
      <c r="H425" s="691">
        <f t="shared" si="221"/>
        <v>41.686999999999998</v>
      </c>
      <c r="I425" s="692">
        <f t="shared" si="201"/>
        <v>40.6837568825853</v>
      </c>
      <c r="J425" s="693">
        <f t="shared" si="202"/>
        <v>1.5462140168331819</v>
      </c>
      <c r="K425" s="693">
        <f t="shared" si="203"/>
        <v>1.0002536721830828</v>
      </c>
      <c r="L425" s="694">
        <f t="shared" si="204"/>
        <v>2.2521925763177467E-2</v>
      </c>
      <c r="M425" s="693">
        <f t="shared" si="205"/>
        <v>1.0014143300601992</v>
      </c>
      <c r="N425" s="694">
        <f t="shared" si="206"/>
        <v>-5.3153835765303588E-2</v>
      </c>
      <c r="O425" s="692">
        <f t="shared" si="207"/>
        <v>75435.017939745027</v>
      </c>
      <c r="P425" s="695">
        <f t="shared" si="208"/>
        <v>1.570783070352102</v>
      </c>
      <c r="Q425" s="704">
        <f t="shared" si="230"/>
        <v>31.447161179977023</v>
      </c>
      <c r="R425" s="705">
        <f t="shared" si="231"/>
        <v>1.5389915923591677</v>
      </c>
      <c r="S425" s="692">
        <f t="shared" si="209"/>
        <v>1.0217180290793313</v>
      </c>
      <c r="T425" s="695">
        <f t="shared" si="210"/>
        <v>0.20655322694111916</v>
      </c>
      <c r="U425" s="696">
        <f t="shared" si="222"/>
        <v>0.91926479265311845</v>
      </c>
      <c r="V425" s="697">
        <f t="shared" si="223"/>
        <v>-0.5026546347821863</v>
      </c>
      <c r="W425" s="698">
        <f t="shared" si="211"/>
        <v>-3.8274244301952369</v>
      </c>
      <c r="X425" s="699">
        <f t="shared" si="212"/>
        <v>-132.80275148952828</v>
      </c>
      <c r="Y425" s="702">
        <f t="shared" si="213"/>
        <v>47.197248510471724</v>
      </c>
      <c r="AA425" s="174">
        <f t="shared" si="214"/>
        <v>41687</v>
      </c>
      <c r="AB425" s="174">
        <f t="shared" si="215"/>
        <v>1737805969</v>
      </c>
      <c r="AD425" s="701">
        <f t="shared" si="216"/>
        <v>27.421997502771212</v>
      </c>
      <c r="AE425" s="702">
        <f t="shared" si="217"/>
        <v>-13.656145677616612</v>
      </c>
      <c r="AG425" s="701">
        <f t="shared" si="218"/>
        <v>-4.3991040646789372</v>
      </c>
      <c r="AH425" s="702">
        <f t="shared" si="219"/>
        <v>-61.54662749467596</v>
      </c>
      <c r="AJ425" s="174">
        <f t="shared" si="220"/>
        <v>0</v>
      </c>
      <c r="AK425" s="174">
        <f t="shared" si="232"/>
        <v>0</v>
      </c>
      <c r="AM425" s="174" t="str">
        <f t="shared" si="224"/>
        <v>0.267196455212254+0.680440272725325i</v>
      </c>
      <c r="AN425" s="174" t="str">
        <f t="shared" si="225"/>
        <v>0.748363273146i</v>
      </c>
      <c r="AO425" s="174" t="str">
        <f t="shared" si="226"/>
        <v>0.909237929147515-0.357041111984294i</v>
      </c>
      <c r="AP425" s="174" t="str">
        <f t="shared" si="227"/>
        <v>0.122133924131291-0.113406712120888i</v>
      </c>
      <c r="AQ425" s="174" t="str">
        <f t="shared" si="228"/>
        <v>0.877866075868709+0.113406712120888i</v>
      </c>
      <c r="AR425" s="174" t="str">
        <f t="shared" si="229"/>
        <v>0.933316112089492-0.120569998717377i</v>
      </c>
    </row>
    <row r="426" spans="7:44" x14ac:dyDescent="0.2">
      <c r="G426" s="703">
        <v>41929.75</v>
      </c>
      <c r="H426" s="691">
        <f t="shared" si="221"/>
        <v>41.929749999999999</v>
      </c>
      <c r="I426" s="692">
        <f t="shared" si="201"/>
        <v>40.920522120914129</v>
      </c>
      <c r="J426" s="693">
        <f t="shared" si="202"/>
        <v>1.5463562779448983</v>
      </c>
      <c r="K426" s="693">
        <f t="shared" si="203"/>
        <v>1.000256634751352</v>
      </c>
      <c r="L426" s="694">
        <f t="shared" si="204"/>
        <v>2.2653029769650033E-2</v>
      </c>
      <c r="M426" s="693">
        <f t="shared" si="205"/>
        <v>1.001430837952902</v>
      </c>
      <c r="N426" s="694">
        <f t="shared" si="206"/>
        <v>-5.3462771203233742E-2</v>
      </c>
      <c r="O426" s="692">
        <f t="shared" si="207"/>
        <v>75874.287990400248</v>
      </c>
      <c r="P426" s="695">
        <f t="shared" si="208"/>
        <v>1.5707831470995544</v>
      </c>
      <c r="Q426" s="704">
        <f t="shared" si="230"/>
        <v>31.630098340278032</v>
      </c>
      <c r="R426" s="705">
        <f t="shared" si="231"/>
        <v>1.5391756010630031</v>
      </c>
      <c r="S426" s="692">
        <f t="shared" si="209"/>
        <v>1.0219689736759388</v>
      </c>
      <c r="T426" s="695">
        <f t="shared" si="210"/>
        <v>0.20772181225553518</v>
      </c>
      <c r="U426" s="696">
        <f t="shared" si="222"/>
        <v>0.91843140114744659</v>
      </c>
      <c r="V426" s="697">
        <f t="shared" si="223"/>
        <v>-0.50535665058880319</v>
      </c>
      <c r="W426" s="698">
        <f t="shared" si="211"/>
        <v>-3.8877196955560884</v>
      </c>
      <c r="X426" s="699">
        <f t="shared" si="212"/>
        <v>-133.03232202516352</v>
      </c>
      <c r="Y426" s="702">
        <f t="shared" si="213"/>
        <v>46.967677974836477</v>
      </c>
      <c r="AA426" s="174">
        <f t="shared" si="214"/>
        <v>41929.75</v>
      </c>
      <c r="AB426" s="174">
        <f t="shared" si="215"/>
        <v>1758103935.0625</v>
      </c>
      <c r="AD426" s="701">
        <f t="shared" si="216"/>
        <v>27.419813716902496</v>
      </c>
      <c r="AE426" s="702">
        <f t="shared" si="217"/>
        <v>-13.712562159379745</v>
      </c>
      <c r="AG426" s="701">
        <f t="shared" si="218"/>
        <v>-4.4414594095842386</v>
      </c>
      <c r="AH426" s="702">
        <f t="shared" si="219"/>
        <v>-61.410153344400705</v>
      </c>
      <c r="AJ426" s="174">
        <f t="shared" si="220"/>
        <v>0</v>
      </c>
      <c r="AK426" s="174">
        <f t="shared" si="232"/>
        <v>0</v>
      </c>
      <c r="AM426" s="174" t="str">
        <f t="shared" si="224"/>
        <v>0.270168652404636+0.683627240583006i</v>
      </c>
      <c r="AN426" s="174" t="str">
        <f t="shared" si="225"/>
        <v>0.7527211109505i</v>
      </c>
      <c r="AO426" s="174" t="str">
        <f t="shared" si="226"/>
        <v>0.908207874918978-0.358922645418407i</v>
      </c>
      <c r="AP426" s="174" t="str">
        <f t="shared" si="227"/>
        <v>0.121638557932561-0.113937873430501i</v>
      </c>
      <c r="AQ426" s="174" t="str">
        <f t="shared" si="228"/>
        <v>0.878361442067439+0.113937873430501i</v>
      </c>
      <c r="AR426" s="174" t="str">
        <f t="shared" si="229"/>
        <v>0.932663433907516-0.120981731661272i</v>
      </c>
    </row>
    <row r="427" spans="7:44" x14ac:dyDescent="0.2">
      <c r="G427" s="703">
        <v>42172.5</v>
      </c>
      <c r="H427" s="691">
        <f t="shared" si="221"/>
        <v>42.172499999999999</v>
      </c>
      <c r="I427" s="692">
        <f t="shared" si="201"/>
        <v>41.157288177873362</v>
      </c>
      <c r="J427" s="693">
        <f t="shared" si="202"/>
        <v>1.5464969022848074</v>
      </c>
      <c r="K427" s="693">
        <f t="shared" si="203"/>
        <v>1.0002596145121907</v>
      </c>
      <c r="L427" s="694">
        <f t="shared" si="204"/>
        <v>2.2784132997261647E-2</v>
      </c>
      <c r="M427" s="693">
        <f t="shared" si="205"/>
        <v>1.0014474414201135</v>
      </c>
      <c r="N427" s="694">
        <f t="shared" si="206"/>
        <v>-5.377169642667598E-2</v>
      </c>
      <c r="O427" s="692">
        <f t="shared" si="207"/>
        <v>76313.55804105592</v>
      </c>
      <c r="P427" s="695">
        <f t="shared" si="208"/>
        <v>1.5707832229634715</v>
      </c>
      <c r="Q427" s="704">
        <f t="shared" si="230"/>
        <v>31.813036559231968</v>
      </c>
      <c r="R427" s="705">
        <f t="shared" si="231"/>
        <v>1.5393574935194654</v>
      </c>
      <c r="S427" s="692">
        <f t="shared" si="209"/>
        <v>1.0222213131785118</v>
      </c>
      <c r="T427" s="695">
        <f t="shared" si="210"/>
        <v>0.20888982222421423</v>
      </c>
      <c r="U427" s="696">
        <f t="shared" si="222"/>
        <v>0.9175953041731485</v>
      </c>
      <c r="V427" s="697">
        <f t="shared" si="223"/>
        <v>-0.50805524827365167</v>
      </c>
      <c r="W427" s="698">
        <f t="shared" si="211"/>
        <v>-3.9477665888319264</v>
      </c>
      <c r="X427" s="699">
        <f t="shared" si="212"/>
        <v>-133.26169063264675</v>
      </c>
      <c r="Y427" s="702">
        <f t="shared" si="213"/>
        <v>46.738309367353253</v>
      </c>
      <c r="AA427" s="174">
        <f t="shared" si="214"/>
        <v>42172.5</v>
      </c>
      <c r="AB427" s="174">
        <f t="shared" si="215"/>
        <v>1778519756.25</v>
      </c>
      <c r="AD427" s="701">
        <f t="shared" si="216"/>
        <v>27.417619474576711</v>
      </c>
      <c r="AE427" s="702">
        <f t="shared" si="217"/>
        <v>-13.769066877680544</v>
      </c>
      <c r="AG427" s="701">
        <f t="shared" si="218"/>
        <v>-4.4834904027633407</v>
      </c>
      <c r="AH427" s="702">
        <f t="shared" si="219"/>
        <v>-61.273780717338568</v>
      </c>
      <c r="AJ427" s="174">
        <f t="shared" si="220"/>
        <v>0</v>
      </c>
      <c r="AK427" s="174">
        <f t="shared" si="232"/>
        <v>0</v>
      </c>
      <c r="AM427" s="174" t="str">
        <f t="shared" si="224"/>
        <v>0.27315470961999+0.686801225866989i</v>
      </c>
      <c r="AN427" s="174" t="str">
        <f t="shared" si="225"/>
        <v>0.757078948755i</v>
      </c>
      <c r="AO427" s="174" t="str">
        <f t="shared" si="226"/>
        <v>0.907172530680478-0.360800825421427i</v>
      </c>
      <c r="AP427" s="174" t="str">
        <f t="shared" si="227"/>
        <v>0.121140881730002-0.114466870977831i</v>
      </c>
      <c r="AQ427" s="174" t="str">
        <f t="shared" si="228"/>
        <v>0.878859118269998+0.114466870977831i</v>
      </c>
      <c r="AR427" s="174" t="str">
        <f t="shared" si="229"/>
        <v>0.932009370098141-0.121389417370053i</v>
      </c>
    </row>
    <row r="428" spans="7:44" x14ac:dyDescent="0.2">
      <c r="G428" s="703">
        <v>42415.25</v>
      </c>
      <c r="H428" s="691">
        <f t="shared" si="221"/>
        <v>42.41525</v>
      </c>
      <c r="I428" s="692">
        <f t="shared" si="201"/>
        <v>41.394055039415747</v>
      </c>
      <c r="J428" s="693">
        <f t="shared" si="202"/>
        <v>1.5466359179334572</v>
      </c>
      <c r="K428" s="693">
        <f t="shared" si="203"/>
        <v>1.0002626114654456</v>
      </c>
      <c r="L428" s="694">
        <f t="shared" si="204"/>
        <v>2.2915235441512465E-2</v>
      </c>
      <c r="M428" s="693">
        <f t="shared" si="205"/>
        <v>1.0014641404570812</v>
      </c>
      <c r="N428" s="694">
        <f t="shared" si="206"/>
        <v>-5.4080611377175368E-2</v>
      </c>
      <c r="O428" s="692">
        <f t="shared" si="207"/>
        <v>76752.828091712028</v>
      </c>
      <c r="P428" s="695">
        <f t="shared" si="208"/>
        <v>1.5707832979590233</v>
      </c>
      <c r="Q428" s="704">
        <f t="shared" si="230"/>
        <v>31.995975818680165</v>
      </c>
      <c r="R428" s="705">
        <f t="shared" si="231"/>
        <v>1.5395373060157973</v>
      </c>
      <c r="S428" s="692">
        <f t="shared" si="209"/>
        <v>1.0224750465542927</v>
      </c>
      <c r="T428" s="695">
        <f t="shared" si="210"/>
        <v>0.21005725408740564</v>
      </c>
      <c r="U428" s="696">
        <f t="shared" si="222"/>
        <v>0.91675652940749597</v>
      </c>
      <c r="V428" s="697">
        <f t="shared" si="223"/>
        <v>-0.51075042066414611</v>
      </c>
      <c r="W428" s="698">
        <f t="shared" si="211"/>
        <v>-4.0075682636885652</v>
      </c>
      <c r="X428" s="699">
        <f t="shared" si="212"/>
        <v>-133.49085627046577</v>
      </c>
      <c r="Y428" s="702">
        <f t="shared" si="213"/>
        <v>46.50914372953423</v>
      </c>
      <c r="AA428" s="174">
        <f t="shared" si="214"/>
        <v>42415.25</v>
      </c>
      <c r="AB428" s="174">
        <f t="shared" si="215"/>
        <v>1799053432.5625</v>
      </c>
      <c r="AD428" s="701">
        <f t="shared" si="216"/>
        <v>27.415414773186143</v>
      </c>
      <c r="AE428" s="702">
        <f t="shared" si="217"/>
        <v>-13.825657596160246</v>
      </c>
      <c r="AG428" s="701">
        <f t="shared" si="218"/>
        <v>-4.5252005536034687</v>
      </c>
      <c r="AH428" s="702">
        <f t="shared" si="219"/>
        <v>-61.13751163025394</v>
      </c>
      <c r="AJ428" s="174">
        <f t="shared" si="220"/>
        <v>0</v>
      </c>
      <c r="AK428" s="174">
        <f t="shared" si="232"/>
        <v>0</v>
      </c>
      <c r="AM428" s="174" t="str">
        <f t="shared" si="224"/>
        <v>0.276154570150936+0.689962168301005i</v>
      </c>
      <c r="AN428" s="174" t="str">
        <f t="shared" si="225"/>
        <v>0.7614367865595i</v>
      </c>
      <c r="AO428" s="174" t="str">
        <f t="shared" si="226"/>
        <v>0.906131908097784-0.362675635096016i</v>
      </c>
      <c r="AP428" s="174" t="str">
        <f t="shared" si="227"/>
        <v>0.120640904974844-0.114993694716834i</v>
      </c>
      <c r="AQ428" s="174" t="str">
        <f t="shared" si="228"/>
        <v>0.879359095025156+0.114993694716834i</v>
      </c>
      <c r="AR428" s="174" t="str">
        <f t="shared" si="229"/>
        <v>0.931353949822238-0.12179305631235i</v>
      </c>
    </row>
    <row r="429" spans="7:44" x14ac:dyDescent="0.2">
      <c r="G429" s="703">
        <v>42658</v>
      </c>
      <c r="H429" s="691">
        <f t="shared" si="221"/>
        <v>42.658000000000001</v>
      </c>
      <c r="I429" s="692">
        <f t="shared" si="201"/>
        <v>41.630822691813599</v>
      </c>
      <c r="J429" s="693">
        <f t="shared" si="202"/>
        <v>1.5467733523328362</v>
      </c>
      <c r="K429" s="693">
        <f t="shared" si="203"/>
        <v>1.0002656256109617</v>
      </c>
      <c r="L429" s="694">
        <f t="shared" si="204"/>
        <v>2.3046337097902811E-2</v>
      </c>
      <c r="M429" s="693">
        <f t="shared" si="205"/>
        <v>1.0014809350590235</v>
      </c>
      <c r="N429" s="694">
        <f t="shared" si="206"/>
        <v>-5.4389515996288738E-2</v>
      </c>
      <c r="O429" s="692">
        <f t="shared" si="207"/>
        <v>77192.098142368544</v>
      </c>
      <c r="P429" s="695">
        <f t="shared" si="208"/>
        <v>1.5707833721010342</v>
      </c>
      <c r="Q429" s="704">
        <f t="shared" si="230"/>
        <v>32.178916100876783</v>
      </c>
      <c r="R429" s="705">
        <f t="shared" si="231"/>
        <v>1.5397150740146011</v>
      </c>
      <c r="S429" s="692">
        <f t="shared" si="209"/>
        <v>1.0227301727658455</v>
      </c>
      <c r="T429" s="695">
        <f t="shared" si="210"/>
        <v>0.21122410509439307</v>
      </c>
      <c r="U429" s="696">
        <f t="shared" si="222"/>
        <v>0.91591510447489088</v>
      </c>
      <c r="V429" s="697">
        <f t="shared" si="223"/>
        <v>-0.51344216073998317</v>
      </c>
      <c r="W429" s="698">
        <f t="shared" si="211"/>
        <v>-4.0671278163329836</v>
      </c>
      <c r="X429" s="699">
        <f t="shared" si="212"/>
        <v>-133.71981791699372</v>
      </c>
      <c r="Y429" s="702">
        <f t="shared" si="213"/>
        <v>46.280182083006281</v>
      </c>
      <c r="AA429" s="174">
        <f t="shared" si="214"/>
        <v>42658</v>
      </c>
      <c r="AB429" s="174">
        <f t="shared" si="215"/>
        <v>1819704964</v>
      </c>
      <c r="AD429" s="701">
        <f t="shared" si="216"/>
        <v>27.413199610758102</v>
      </c>
      <c r="AE429" s="702">
        <f t="shared" si="217"/>
        <v>-13.882332126206341</v>
      </c>
      <c r="AG429" s="701">
        <f t="shared" si="218"/>
        <v>-4.5665933145552504</v>
      </c>
      <c r="AH429" s="702">
        <f t="shared" si="219"/>
        <v>-61.001348054599958</v>
      </c>
      <c r="AJ429" s="174">
        <f t="shared" si="220"/>
        <v>0</v>
      </c>
      <c r="AK429" s="174">
        <f t="shared" si="232"/>
        <v>0</v>
      </c>
      <c r="AM429" s="174" t="str">
        <f t="shared" si="224"/>
        <v>0.279168177027965+0.693110007856482i</v>
      </c>
      <c r="AN429" s="174" t="str">
        <f t="shared" si="225"/>
        <v>0.765794624364i</v>
      </c>
      <c r="AO429" s="174" t="str">
        <f t="shared" si="226"/>
        <v>0.905086018894579-0.364547057587166i</v>
      </c>
      <c r="AP429" s="174" t="str">
        <f t="shared" si="227"/>
        <v>0.120138637162006-0.115518334642747i</v>
      </c>
      <c r="AQ429" s="174" t="str">
        <f t="shared" si="228"/>
        <v>0.879861362837994+0.115518334642747i</v>
      </c>
      <c r="AR429" s="174" t="str">
        <f t="shared" si="229"/>
        <v>0.930697202134651-0.122192649192456i</v>
      </c>
    </row>
    <row r="430" spans="7:44" x14ac:dyDescent="0.2">
      <c r="G430" s="703">
        <v>42906.5</v>
      </c>
      <c r="H430" s="691">
        <f t="shared" si="221"/>
        <v>42.906500000000001</v>
      </c>
      <c r="I430" s="692">
        <f t="shared" si="201"/>
        <v>41.873199445989343</v>
      </c>
      <c r="J430" s="693">
        <f t="shared" si="202"/>
        <v>1.5469124322522616</v>
      </c>
      <c r="K430" s="693">
        <f t="shared" si="203"/>
        <v>1.0002687289600736</v>
      </c>
      <c r="L430" s="694">
        <f t="shared" si="204"/>
        <v>2.3180543328059838E-2</v>
      </c>
      <c r="M430" s="693">
        <f t="shared" si="205"/>
        <v>1.0014982264555949</v>
      </c>
      <c r="N430" s="694">
        <f t="shared" si="206"/>
        <v>-5.4705726852254916E-2</v>
      </c>
      <c r="O430" s="692">
        <f t="shared" si="207"/>
        <v>77641.773147881438</v>
      </c>
      <c r="P430" s="695">
        <f t="shared" si="208"/>
        <v>1.5707834471302589</v>
      </c>
      <c r="Q430" s="704">
        <f t="shared" si="230"/>
        <v>32.36619071629945</v>
      </c>
      <c r="R430" s="705">
        <f t="shared" si="231"/>
        <v>1.5398949712581662</v>
      </c>
      <c r="S430" s="692">
        <f t="shared" si="209"/>
        <v>1.0229927837582753</v>
      </c>
      <c r="T430" s="695">
        <f t="shared" si="210"/>
        <v>0.21241799068925521</v>
      </c>
      <c r="U430" s="696">
        <f t="shared" si="222"/>
        <v>0.91505103248690667</v>
      </c>
      <c r="V430" s="697">
        <f t="shared" si="223"/>
        <v>-0.5161940974507534</v>
      </c>
      <c r="W430" s="698">
        <f t="shared" si="211"/>
        <v>-4.1278505320029542</v>
      </c>
      <c r="X430" s="699">
        <f t="shared" si="212"/>
        <v>-133.95399061744698</v>
      </c>
      <c r="Y430" s="702">
        <f t="shared" si="213"/>
        <v>46.046009382553024</v>
      </c>
      <c r="AA430" s="174">
        <f t="shared" si="214"/>
        <v>42906.5</v>
      </c>
      <c r="AB430" s="174">
        <f t="shared" si="215"/>
        <v>1840967742.25</v>
      </c>
      <c r="AD430" s="701">
        <f t="shared" si="216"/>
        <v>27.410921140883278</v>
      </c>
      <c r="AE430" s="702">
        <f t="shared" si="217"/>
        <v>-13.940433678135387</v>
      </c>
      <c r="AG430" s="701">
        <f t="shared" si="218"/>
        <v>-4.608641332517168</v>
      </c>
      <c r="AH430" s="702">
        <f t="shared" si="219"/>
        <v>-60.862070484735355</v>
      </c>
      <c r="AJ430" s="174">
        <f t="shared" si="220"/>
        <v>0</v>
      </c>
      <c r="AK430" s="174">
        <f t="shared" si="232"/>
        <v>0</v>
      </c>
      <c r="AM430" s="174" t="str">
        <f t="shared" si="224"/>
        <v>0.282267345837733+0.696318775525397i</v>
      </c>
      <c r="AN430" s="174" t="str">
        <f t="shared" si="225"/>
        <v>0.770255685927i</v>
      </c>
      <c r="AO430" s="174" t="str">
        <f t="shared" si="226"/>
        <v>0.904009912873775-0.366459282281085i</v>
      </c>
      <c r="AP430" s="174" t="str">
        <f t="shared" si="227"/>
        <v>0.119622109027044-0.116053129254233i</v>
      </c>
      <c r="AQ430" s="174" t="str">
        <f t="shared" si="228"/>
        <v>0.880377890972956+0.116053129254233i</v>
      </c>
      <c r="AR430" s="174" t="str">
        <f t="shared" si="229"/>
        <v>0.930023553388707-0.12259751722254i</v>
      </c>
    </row>
    <row r="431" spans="7:44" x14ac:dyDescent="0.2">
      <c r="G431" s="703">
        <v>43155</v>
      </c>
      <c r="H431" s="691">
        <f t="shared" si="221"/>
        <v>43.155000000000001</v>
      </c>
      <c r="I431" s="692">
        <f t="shared" si="201"/>
        <v>42.115577000805025</v>
      </c>
      <c r="J431" s="693">
        <f t="shared" si="202"/>
        <v>1.5470499113485363</v>
      </c>
      <c r="K431" s="693">
        <f t="shared" si="203"/>
        <v>1.0002718503252257</v>
      </c>
      <c r="L431" s="694">
        <f t="shared" si="204"/>
        <v>2.3314748723048465E-2</v>
      </c>
      <c r="M431" s="693">
        <f t="shared" si="205"/>
        <v>1.0015156179878149</v>
      </c>
      <c r="N431" s="694">
        <f t="shared" si="206"/>
        <v>-5.502192675769893E-2</v>
      </c>
      <c r="O431" s="692">
        <f t="shared" si="207"/>
        <v>78091.44815339474</v>
      </c>
      <c r="P431" s="695">
        <f t="shared" si="208"/>
        <v>1.5707835212954</v>
      </c>
      <c r="Q431" s="704">
        <f t="shared" si="230"/>
        <v>32.553466367137908</v>
      </c>
      <c r="R431" s="705">
        <f t="shared" si="231"/>
        <v>1.5400727986588325</v>
      </c>
      <c r="S431" s="692">
        <f t="shared" si="209"/>
        <v>1.0232568521369267</v>
      </c>
      <c r="T431" s="695">
        <f t="shared" si="210"/>
        <v>0.2136112617803283</v>
      </c>
      <c r="U431" s="696">
        <f t="shared" si="222"/>
        <v>0.91418424170177981</v>
      </c>
      <c r="V431" s="697">
        <f t="shared" si="223"/>
        <v>-0.51894242291770287</v>
      </c>
      <c r="W431" s="698">
        <f t="shared" si="211"/>
        <v>-4.188325906634927</v>
      </c>
      <c r="X431" s="699">
        <f t="shared" si="212"/>
        <v>-134.18794744417337</v>
      </c>
      <c r="Y431" s="702">
        <f t="shared" si="213"/>
        <v>45.812052555826625</v>
      </c>
      <c r="AA431" s="174">
        <f t="shared" si="214"/>
        <v>43155</v>
      </c>
      <c r="AB431" s="174">
        <f t="shared" si="215"/>
        <v>1862354025</v>
      </c>
      <c r="AD431" s="701">
        <f t="shared" si="216"/>
        <v>27.408631706293825</v>
      </c>
      <c r="AE431" s="702">
        <f t="shared" si="217"/>
        <v>-13.998618565344948</v>
      </c>
      <c r="AG431" s="701">
        <f t="shared" si="218"/>
        <v>-4.6503638907987064</v>
      </c>
      <c r="AH431" s="702">
        <f t="shared" si="219"/>
        <v>-60.722907523923283</v>
      </c>
      <c r="AJ431" s="174">
        <f t="shared" si="220"/>
        <v>0</v>
      </c>
      <c r="AK431" s="174">
        <f t="shared" si="232"/>
        <v>0</v>
      </c>
      <c r="AM431" s="174" t="str">
        <f t="shared" si="224"/>
        <v>0.285380798271798+0.699513685728412i</v>
      </c>
      <c r="AN431" s="174" t="str">
        <f t="shared" si="225"/>
        <v>0.77471674749i</v>
      </c>
      <c r="AO431" s="174" t="str">
        <f t="shared" si="226"/>
        <v>0.902928312824993-0.368367921819686i</v>
      </c>
      <c r="AP431" s="174" t="str">
        <f t="shared" si="227"/>
        <v>0.119103200288034-0.116585614288069i</v>
      </c>
      <c r="AQ431" s="174" t="str">
        <f t="shared" si="228"/>
        <v>0.880896799711966+0.116585614288069i</v>
      </c>
      <c r="AR431" s="174" t="str">
        <f t="shared" si="229"/>
        <v>0.929348574869386-0.122998147483697i</v>
      </c>
    </row>
    <row r="432" spans="7:44" x14ac:dyDescent="0.2">
      <c r="G432" s="703">
        <v>43403.5</v>
      </c>
      <c r="H432" s="691">
        <f t="shared" si="221"/>
        <v>43.403500000000001</v>
      </c>
      <c r="I432" s="692">
        <f t="shared" si="201"/>
        <v>42.357955342516554</v>
      </c>
      <c r="J432" s="693">
        <f t="shared" si="202"/>
        <v>1.5471858170968427</v>
      </c>
      <c r="K432" s="693">
        <f t="shared" si="203"/>
        <v>1.0002749897062497</v>
      </c>
      <c r="L432" s="694">
        <f t="shared" si="204"/>
        <v>2.3448953278042164E-2</v>
      </c>
      <c r="M432" s="693">
        <f t="shared" si="205"/>
        <v>1.0015331096504665</v>
      </c>
      <c r="N432" s="694">
        <f t="shared" si="206"/>
        <v>-5.5338115649964076E-2</v>
      </c>
      <c r="O432" s="692">
        <f t="shared" si="207"/>
        <v>78541.123158908493</v>
      </c>
      <c r="P432" s="695">
        <f t="shared" si="208"/>
        <v>1.5707835946112989</v>
      </c>
      <c r="Q432" s="704">
        <f t="shared" si="230"/>
        <v>32.740743035624547</v>
      </c>
      <c r="R432" s="705">
        <f t="shared" si="231"/>
        <v>1.5402485917236874</v>
      </c>
      <c r="S432" s="692">
        <f t="shared" si="209"/>
        <v>1.0235223767737849</v>
      </c>
      <c r="T432" s="695">
        <f t="shared" si="210"/>
        <v>0.21480391544637048</v>
      </c>
      <c r="U432" s="696">
        <f t="shared" si="222"/>
        <v>0.91331476156983671</v>
      </c>
      <c r="V432" s="697">
        <f t="shared" si="223"/>
        <v>-0.52168713010189538</v>
      </c>
      <c r="W432" s="698">
        <f t="shared" si="211"/>
        <v>-4.2485570831008177</v>
      </c>
      <c r="X432" s="699">
        <f t="shared" si="212"/>
        <v>-134.42168736383934</v>
      </c>
      <c r="Y432" s="702">
        <f t="shared" si="213"/>
        <v>45.578312636160661</v>
      </c>
      <c r="AA432" s="174">
        <f t="shared" si="214"/>
        <v>43403.5</v>
      </c>
      <c r="AB432" s="174">
        <f t="shared" si="215"/>
        <v>1883863812.25</v>
      </c>
      <c r="AD432" s="701">
        <f t="shared" si="216"/>
        <v>27.406331306816305</v>
      </c>
      <c r="AE432" s="702">
        <f t="shared" si="217"/>
        <v>-14.056884586904276</v>
      </c>
      <c r="AG432" s="701">
        <f t="shared" si="218"/>
        <v>-4.6917645158693508</v>
      </c>
      <c r="AH432" s="702">
        <f t="shared" si="219"/>
        <v>-60.583861146363603</v>
      </c>
      <c r="AJ432" s="174">
        <f t="shared" si="220"/>
        <v>0</v>
      </c>
      <c r="AK432" s="174">
        <f t="shared" si="232"/>
        <v>0</v>
      </c>
      <c r="AM432" s="174" t="str">
        <f t="shared" si="224"/>
        <v>0.288508472369226+0.7026946748835i</v>
      </c>
      <c r="AN432" s="174" t="str">
        <f t="shared" si="225"/>
        <v>0.779177809053i</v>
      </c>
      <c r="AO432" s="174" t="str">
        <f t="shared" si="226"/>
        <v>0.901841231512411-0.370272958260804i</v>
      </c>
      <c r="AP432" s="174" t="str">
        <f t="shared" si="227"/>
        <v>0.118581921271796-0.11711577914725i</v>
      </c>
      <c r="AQ432" s="174" t="str">
        <f t="shared" si="228"/>
        <v>0.881418078728204+0.11711577914725i</v>
      </c>
      <c r="AR432" s="174" t="str">
        <f t="shared" si="229"/>
        <v>0.928672297387614-0.123394541484729i</v>
      </c>
    </row>
    <row r="433" spans="7:44" x14ac:dyDescent="0.2">
      <c r="G433" s="703">
        <v>43652</v>
      </c>
      <c r="H433" s="691">
        <f t="shared" si="221"/>
        <v>43.652000000000001</v>
      </c>
      <c r="I433" s="692">
        <f t="shared" si="201"/>
        <v>42.60033445769259</v>
      </c>
      <c r="J433" s="693">
        <f t="shared" si="202"/>
        <v>1.5473201763473066</v>
      </c>
      <c r="K433" s="693">
        <f t="shared" si="203"/>
        <v>1.0002781471029756</v>
      </c>
      <c r="L433" s="694">
        <f t="shared" si="204"/>
        <v>2.3583156988214588E-2</v>
      </c>
      <c r="M433" s="693">
        <f t="shared" si="205"/>
        <v>1.0015507014383038</v>
      </c>
      <c r="N433" s="694">
        <f t="shared" si="206"/>
        <v>-5.5654293466406796E-2</v>
      </c>
      <c r="O433" s="692">
        <f t="shared" si="207"/>
        <v>78990.798164422653</v>
      </c>
      <c r="P433" s="695">
        <f t="shared" si="208"/>
        <v>1.5707836670924595</v>
      </c>
      <c r="Q433" s="704">
        <f t="shared" si="230"/>
        <v>32.928020704395891</v>
      </c>
      <c r="R433" s="705">
        <f t="shared" si="231"/>
        <v>1.5404223851525438</v>
      </c>
      <c r="S433" s="692">
        <f t="shared" si="209"/>
        <v>1.0237893565357872</v>
      </c>
      <c r="T433" s="695">
        <f t="shared" si="210"/>
        <v>0.21599594877618788</v>
      </c>
      <c r="U433" s="696">
        <f t="shared" si="222"/>
        <v>0.91244262147549482</v>
      </c>
      <c r="V433" s="697">
        <f t="shared" si="223"/>
        <v>-0.52442821212907287</v>
      </c>
      <c r="W433" s="698">
        <f t="shared" si="211"/>
        <v>-4.308547146783849</v>
      </c>
      <c r="X433" s="699">
        <f t="shared" si="212"/>
        <v>-134.65520936354415</v>
      </c>
      <c r="Y433" s="702">
        <f t="shared" si="213"/>
        <v>45.344790636455855</v>
      </c>
      <c r="AA433" s="174">
        <f t="shared" si="214"/>
        <v>43652</v>
      </c>
      <c r="AB433" s="174">
        <f t="shared" si="215"/>
        <v>1905497104</v>
      </c>
      <c r="AD433" s="701">
        <f t="shared" si="216"/>
        <v>27.404019942892816</v>
      </c>
      <c r="AE433" s="702">
        <f t="shared" si="217"/>
        <v>-14.115229588692419</v>
      </c>
      <c r="AG433" s="701">
        <f t="shared" si="218"/>
        <v>-4.7328466771075659</v>
      </c>
      <c r="AH433" s="702">
        <f t="shared" si="219"/>
        <v>-60.444933281008488</v>
      </c>
      <c r="AJ433" s="174">
        <f t="shared" si="220"/>
        <v>0</v>
      </c>
      <c r="AK433" s="174">
        <f t="shared" si="232"/>
        <v>0</v>
      </c>
      <c r="AM433" s="174" t="str">
        <f t="shared" si="224"/>
        <v>0.29165030588606+0.705861679685678i</v>
      </c>
      <c r="AN433" s="174" t="str">
        <f t="shared" si="225"/>
        <v>0.783638870616i</v>
      </c>
      <c r="AO433" s="174" t="str">
        <f t="shared" si="226"/>
        <v>0.900748681763089-0.372174373709666i</v>
      </c>
      <c r="AP433" s="174" t="str">
        <f t="shared" si="227"/>
        <v>0.118058282352323-0.117643613280946i</v>
      </c>
      <c r="AQ433" s="174" t="str">
        <f t="shared" si="228"/>
        <v>0.881941717647677+0.117643613280946i</v>
      </c>
      <c r="AR433" s="174" t="str">
        <f t="shared" si="229"/>
        <v>0.927994751629507-0.123786700983638i</v>
      </c>
    </row>
    <row r="434" spans="7:44" x14ac:dyDescent="0.2">
      <c r="G434" s="703">
        <v>43906</v>
      </c>
      <c r="H434" s="691">
        <f t="shared" si="221"/>
        <v>43.905999999999999</v>
      </c>
      <c r="I434" s="692">
        <f t="shared" si="201"/>
        <v>42.848078886236209</v>
      </c>
      <c r="J434" s="693">
        <f t="shared" si="202"/>
        <v>1.5474559384417168</v>
      </c>
      <c r="K434" s="693">
        <f t="shared" si="203"/>
        <v>1.0002813929997658</v>
      </c>
      <c r="L434" s="694">
        <f t="shared" si="204"/>
        <v>2.3720330123731519E-2</v>
      </c>
      <c r="M434" s="693">
        <f t="shared" si="205"/>
        <v>1.0015687860498985</v>
      </c>
      <c r="N434" s="694">
        <f t="shared" si="206"/>
        <v>-5.5977457670761427E-2</v>
      </c>
      <c r="O434" s="692">
        <f t="shared" si="207"/>
        <v>79450.425735451645</v>
      </c>
      <c r="P434" s="695">
        <f t="shared" si="208"/>
        <v>1.570783740329931</v>
      </c>
      <c r="Q434" s="704">
        <f t="shared" si="230"/>
        <v>33.119444367824507</v>
      </c>
      <c r="R434" s="705">
        <f t="shared" si="231"/>
        <v>1.540597993907745</v>
      </c>
      <c r="S434" s="692">
        <f t="shared" si="209"/>
        <v>1.0240637479122832</v>
      </c>
      <c r="T434" s="695">
        <f t="shared" si="210"/>
        <v>0.21721372103442202</v>
      </c>
      <c r="U434" s="696">
        <f t="shared" si="222"/>
        <v>0.9115484600793442</v>
      </c>
      <c r="V434" s="697">
        <f t="shared" si="223"/>
        <v>-0.52722620858559655</v>
      </c>
      <c r="W434" s="698">
        <f t="shared" si="211"/>
        <v>-4.3696189350690222</v>
      </c>
      <c r="X434" s="699">
        <f t="shared" si="212"/>
        <v>-134.89367361665148</v>
      </c>
      <c r="Y434" s="702">
        <f t="shared" si="213"/>
        <v>45.106326383348517</v>
      </c>
      <c r="AA434" s="174">
        <f t="shared" si="214"/>
        <v>43906</v>
      </c>
      <c r="AB434" s="174">
        <f t="shared" si="215"/>
        <v>1927736836</v>
      </c>
      <c r="AD434" s="701">
        <f t="shared" si="216"/>
        <v>27.401646091963926</v>
      </c>
      <c r="AE434" s="702">
        <f t="shared" si="217"/>
        <v>-14.174945355245034</v>
      </c>
      <c r="AG434" s="701">
        <f t="shared" si="218"/>
        <v>-4.7745125403352571</v>
      </c>
      <c r="AH434" s="702">
        <f t="shared" si="219"/>
        <v>-60.303054991094086</v>
      </c>
      <c r="AJ434" s="174">
        <f t="shared" si="220"/>
        <v>0</v>
      </c>
      <c r="AK434" s="174">
        <f t="shared" si="232"/>
        <v>0</v>
      </c>
      <c r="AM434" s="174" t="str">
        <f t="shared" si="224"/>
        <v>0.294876244839245+0.709084261500701i</v>
      </c>
      <c r="AN434" s="174" t="str">
        <f t="shared" si="225"/>
        <v>0.788198667948i</v>
      </c>
      <c r="AO434" s="174" t="str">
        <f t="shared" si="226"/>
        <v>0.899626312927849-0.374114112127247i</v>
      </c>
      <c r="AP434" s="174" t="str">
        <f t="shared" si="227"/>
        <v>0.117520625860126-0.118180710250117i</v>
      </c>
      <c r="AQ434" s="174" t="str">
        <f t="shared" si="228"/>
        <v>0.882479374139874+0.118180710250117i</v>
      </c>
      <c r="AR434" s="174" t="str">
        <f t="shared" si="229"/>
        <v>0.92730093100967-0.124183166036181i</v>
      </c>
    </row>
    <row r="435" spans="7:44" x14ac:dyDescent="0.2">
      <c r="G435" s="703">
        <v>44160</v>
      </c>
      <c r="H435" s="691">
        <f t="shared" si="221"/>
        <v>44.16</v>
      </c>
      <c r="I435" s="692">
        <f t="shared" si="201"/>
        <v>43.095824095447561</v>
      </c>
      <c r="J435" s="693">
        <f t="shared" si="202"/>
        <v>1.5475901396259277</v>
      </c>
      <c r="K435" s="693">
        <f t="shared" si="203"/>
        <v>1.0002846577181974</v>
      </c>
      <c r="L435" s="694">
        <f t="shared" si="204"/>
        <v>2.3857502366421091E-2</v>
      </c>
      <c r="M435" s="693">
        <f t="shared" si="205"/>
        <v>1.0015869752566491</v>
      </c>
      <c r="N435" s="694">
        <f t="shared" si="206"/>
        <v>-5.6300610171289692E-2</v>
      </c>
      <c r="O435" s="692">
        <f t="shared" si="207"/>
        <v>79910.05330648103</v>
      </c>
      <c r="P435" s="695">
        <f t="shared" si="208"/>
        <v>1.5707838127249061</v>
      </c>
      <c r="Q435" s="704">
        <f t="shared" si="230"/>
        <v>33.310869040866379</v>
      </c>
      <c r="R435" s="705">
        <f t="shared" si="231"/>
        <v>1.5407715843571377</v>
      </c>
      <c r="S435" s="692">
        <f t="shared" si="209"/>
        <v>1.0243396571289287</v>
      </c>
      <c r="T435" s="695">
        <f t="shared" si="210"/>
        <v>0.21843083907496347</v>
      </c>
      <c r="U435" s="696">
        <f t="shared" si="222"/>
        <v>0.91065158153263104</v>
      </c>
      <c r="V435" s="697">
        <f t="shared" si="223"/>
        <v>-0.5300204036401841</v>
      </c>
      <c r="W435" s="698">
        <f t="shared" si="211"/>
        <v>-4.4304451596256254</v>
      </c>
      <c r="X435" s="699">
        <f t="shared" si="212"/>
        <v>-135.13190812070056</v>
      </c>
      <c r="Y435" s="702">
        <f t="shared" si="213"/>
        <v>44.868091879299442</v>
      </c>
      <c r="AA435" s="174">
        <f t="shared" si="214"/>
        <v>44160</v>
      </c>
      <c r="AB435" s="174">
        <f t="shared" si="215"/>
        <v>1950105600</v>
      </c>
      <c r="AD435" s="701">
        <f t="shared" si="216"/>
        <v>27.39926078869199</v>
      </c>
      <c r="AE435" s="702">
        <f t="shared" si="217"/>
        <v>-14.234739230018164</v>
      </c>
      <c r="AG435" s="701">
        <f t="shared" si="218"/>
        <v>-4.8158528392367064</v>
      </c>
      <c r="AH435" s="702">
        <f t="shared" si="219"/>
        <v>-60.161304452475775</v>
      </c>
      <c r="AJ435" s="174">
        <f t="shared" si="220"/>
        <v>0</v>
      </c>
      <c r="AK435" s="174">
        <f t="shared" si="232"/>
        <v>0</v>
      </c>
      <c r="AM435" s="174" t="str">
        <f t="shared" si="224"/>
        <v>0.298116844525069+0.712292100237363i</v>
      </c>
      <c r="AN435" s="174" t="str">
        <f t="shared" si="225"/>
        <v>0.79275846528i</v>
      </c>
      <c r="AO435" s="174" t="str">
        <f t="shared" si="226"/>
        <v>0.898498258212586-0.376050029840772i</v>
      </c>
      <c r="AP435" s="174" t="str">
        <f t="shared" si="227"/>
        <v>0.116980525912488-0.118715350039561i</v>
      </c>
      <c r="AQ435" s="174" t="str">
        <f t="shared" si="228"/>
        <v>0.883019474087512+0.118715350039561i</v>
      </c>
      <c r="AR435" s="174" t="str">
        <f t="shared" si="229"/>
        <v>0.92660584977222-0.12457521156947i</v>
      </c>
    </row>
    <row r="436" spans="7:44" x14ac:dyDescent="0.2">
      <c r="G436" s="703">
        <v>44414</v>
      </c>
      <c r="H436" s="691">
        <f t="shared" si="221"/>
        <v>44.414000000000001</v>
      </c>
      <c r="I436" s="692">
        <f t="shared" si="201"/>
        <v>43.343570071940135</v>
      </c>
      <c r="J436" s="693">
        <f t="shared" si="202"/>
        <v>1.547722806660917</v>
      </c>
      <c r="K436" s="693">
        <f t="shared" si="203"/>
        <v>1.0002879412580863</v>
      </c>
      <c r="L436" s="694">
        <f t="shared" si="204"/>
        <v>2.3994673711129937E-2</v>
      </c>
      <c r="M436" s="693">
        <f t="shared" si="205"/>
        <v>1.0016052690528567</v>
      </c>
      <c r="N436" s="694">
        <f t="shared" si="206"/>
        <v>-5.6623750901139018E-2</v>
      </c>
      <c r="O436" s="692">
        <f t="shared" si="207"/>
        <v>80369.680877510851</v>
      </c>
      <c r="P436" s="695">
        <f t="shared" si="208"/>
        <v>1.5707838842918393</v>
      </c>
      <c r="Q436" s="704">
        <f t="shared" si="230"/>
        <v>33.502294706215373</v>
      </c>
      <c r="R436" s="705">
        <f t="shared" si="231"/>
        <v>1.5409431910868019</v>
      </c>
      <c r="S436" s="692">
        <f t="shared" si="209"/>
        <v>1.0246170829595505</v>
      </c>
      <c r="T436" s="695">
        <f t="shared" si="210"/>
        <v>0.21964729982175879</v>
      </c>
      <c r="U436" s="696">
        <f t="shared" si="222"/>
        <v>0.90975201698846875</v>
      </c>
      <c r="V436" s="697">
        <f t="shared" si="223"/>
        <v>-0.53281079048089708</v>
      </c>
      <c r="W436" s="698">
        <f t="shared" si="211"/>
        <v>-4.4910289375287213</v>
      </c>
      <c r="X436" s="699">
        <f t="shared" si="212"/>
        <v>-135.36991185809893</v>
      </c>
      <c r="Y436" s="702">
        <f t="shared" si="213"/>
        <v>44.630088141901069</v>
      </c>
      <c r="AA436" s="174">
        <f t="shared" si="214"/>
        <v>44414</v>
      </c>
      <c r="AB436" s="174">
        <f t="shared" si="215"/>
        <v>1972603396</v>
      </c>
      <c r="AD436" s="701">
        <f t="shared" si="216"/>
        <v>27.396864035423427</v>
      </c>
      <c r="AE436" s="702">
        <f t="shared" si="217"/>
        <v>-14.294609055958702</v>
      </c>
      <c r="AG436" s="701">
        <f t="shared" si="218"/>
        <v>-4.8568711019653517</v>
      </c>
      <c r="AH436" s="702">
        <f t="shared" si="219"/>
        <v>-60.019683585204838</v>
      </c>
      <c r="AJ436" s="174">
        <f t="shared" si="220"/>
        <v>0</v>
      </c>
      <c r="AK436" s="174">
        <f t="shared" si="232"/>
        <v>0</v>
      </c>
      <c r="AM436" s="174" t="str">
        <f t="shared" si="224"/>
        <v>0.301372037565906+0.715485129199193i</v>
      </c>
      <c r="AN436" s="174" t="str">
        <f t="shared" si="225"/>
        <v>0.797318262612i</v>
      </c>
      <c r="AO436" s="174" t="str">
        <f t="shared" si="226"/>
        <v>0.897364531517536-0.377982107895807i</v>
      </c>
      <c r="AP436" s="174" t="str">
        <f t="shared" si="227"/>
        <v>0.116437993739016-0.119247521533199i</v>
      </c>
      <c r="AQ436" s="174" t="str">
        <f t="shared" si="228"/>
        <v>0.883562006260984+0.119247521533199i</v>
      </c>
      <c r="AR436" s="174" t="str">
        <f t="shared" si="229"/>
        <v>0.925909540268946-0.124962840251873i</v>
      </c>
    </row>
    <row r="437" spans="7:44" x14ac:dyDescent="0.2">
      <c r="G437" s="703">
        <v>44668</v>
      </c>
      <c r="H437" s="691">
        <f t="shared" si="221"/>
        <v>44.667999999999999</v>
      </c>
      <c r="I437" s="692">
        <f t="shared" si="201"/>
        <v>43.591316802631667</v>
      </c>
      <c r="J437" s="693">
        <f t="shared" si="202"/>
        <v>1.5478539656995089</v>
      </c>
      <c r="K437" s="693">
        <f t="shared" si="203"/>
        <v>1.000291243619247</v>
      </c>
      <c r="L437" s="694">
        <f t="shared" si="204"/>
        <v>2.4131844152704914E-2</v>
      </c>
      <c r="M437" s="693">
        <f t="shared" si="205"/>
        <v>1.001623667432791</v>
      </c>
      <c r="N437" s="694">
        <f t="shared" si="206"/>
        <v>-5.6946879793471551E-2</v>
      </c>
      <c r="O437" s="692">
        <f t="shared" si="207"/>
        <v>80829.30844854108</v>
      </c>
      <c r="P437" s="695">
        <f t="shared" si="208"/>
        <v>1.5707839550448568</v>
      </c>
      <c r="Q437" s="704">
        <f t="shared" si="230"/>
        <v>33.693721346958576</v>
      </c>
      <c r="R437" s="705">
        <f t="shared" si="231"/>
        <v>1.5411128478973064</v>
      </c>
      <c r="S437" s="692">
        <f t="shared" si="209"/>
        <v>1.024896024172566</v>
      </c>
      <c r="T437" s="695">
        <f t="shared" si="210"/>
        <v>0.22086310020985725</v>
      </c>
      <c r="U437" s="696">
        <f t="shared" si="222"/>
        <v>0.90884979751974282</v>
      </c>
      <c r="V437" s="697">
        <f t="shared" si="223"/>
        <v>-0.53559736247248391</v>
      </c>
      <c r="W437" s="698">
        <f t="shared" si="211"/>
        <v>-4.5513733286895537</v>
      </c>
      <c r="X437" s="699">
        <f t="shared" si="212"/>
        <v>-135.60768383215756</v>
      </c>
      <c r="Y437" s="702">
        <f t="shared" si="213"/>
        <v>44.392316167842438</v>
      </c>
      <c r="AA437" s="174">
        <f t="shared" si="214"/>
        <v>44668</v>
      </c>
      <c r="AB437" s="174">
        <f t="shared" si="215"/>
        <v>1995230224</v>
      </c>
      <c r="AD437" s="701">
        <f t="shared" si="216"/>
        <v>27.39445583509842</v>
      </c>
      <c r="AE437" s="702">
        <f t="shared" si="217"/>
        <v>-14.354552721637347</v>
      </c>
      <c r="AG437" s="701">
        <f t="shared" si="218"/>
        <v>-4.897570799765564</v>
      </c>
      <c r="AH437" s="702">
        <f t="shared" si="219"/>
        <v>-59.878194264365391</v>
      </c>
      <c r="AJ437" s="174">
        <f t="shared" si="220"/>
        <v>0</v>
      </c>
      <c r="AK437" s="174">
        <f t="shared" si="232"/>
        <v>0</v>
      </c>
      <c r="AM437" s="174" t="str">
        <f t="shared" si="224"/>
        <v>0.304641756280706+0.71866328199764i</v>
      </c>
      <c r="AN437" s="174" t="str">
        <f t="shared" si="225"/>
        <v>0.801878059944i</v>
      </c>
      <c r="AO437" s="174" t="str">
        <f t="shared" si="226"/>
        <v>0.896225146810761-0.379910327390652i</v>
      </c>
      <c r="AP437" s="174" t="str">
        <f t="shared" si="227"/>
        <v>0.115893040619882-0.119777213666273i</v>
      </c>
      <c r="AQ437" s="174" t="str">
        <f t="shared" si="228"/>
        <v>0.884106959380118+0.119777213666273i</v>
      </c>
      <c r="AR437" s="174" t="str">
        <f t="shared" si="229"/>
        <v>0.925212034706781-0.125346055012825i</v>
      </c>
    </row>
    <row r="438" spans="7:44" x14ac:dyDescent="0.2">
      <c r="G438" s="703">
        <v>44928.25</v>
      </c>
      <c r="H438" s="691">
        <f t="shared" si="221"/>
        <v>44.928249999999998</v>
      </c>
      <c r="I438" s="692">
        <f t="shared" si="201"/>
        <v>43.845160432402594</v>
      </c>
      <c r="J438" s="693">
        <f t="shared" si="202"/>
        <v>1.5479868146912168</v>
      </c>
      <c r="K438" s="693">
        <f t="shared" si="203"/>
        <v>1.0002946467607523</v>
      </c>
      <c r="L438" s="694">
        <f t="shared" si="204"/>
        <v>2.4272388909078405E-2</v>
      </c>
      <c r="M438" s="693">
        <f t="shared" si="205"/>
        <v>1.0016426269982557</v>
      </c>
      <c r="N438" s="694">
        <f t="shared" si="206"/>
        <v>-5.7277947344118292E-2</v>
      </c>
      <c r="O438" s="692">
        <f t="shared" si="207"/>
        <v>81300.245753110852</v>
      </c>
      <c r="P438" s="695">
        <f t="shared" si="208"/>
        <v>1.5707840267090758</v>
      </c>
      <c r="Q438" s="704">
        <f t="shared" si="230"/>
        <v>33.889859283307729</v>
      </c>
      <c r="R438" s="705">
        <f t="shared" si="231"/>
        <v>1.5412846913970137</v>
      </c>
      <c r="S438" s="692">
        <f t="shared" si="209"/>
        <v>1.0251833995760606</v>
      </c>
      <c r="T438" s="695">
        <f t="shared" si="210"/>
        <v>0.22210812882063974</v>
      </c>
      <c r="U438" s="696">
        <f t="shared" si="222"/>
        <v>0.90792265645573511</v>
      </c>
      <c r="V438" s="697">
        <f t="shared" si="223"/>
        <v>-0.53844853812674942</v>
      </c>
      <c r="W438" s="698">
        <f t="shared" si="211"/>
        <v>-4.612957418201832</v>
      </c>
      <c r="X438" s="699">
        <f t="shared" si="212"/>
        <v>-135.85106508618406</v>
      </c>
      <c r="Y438" s="702">
        <f t="shared" si="213"/>
        <v>44.148934913815935</v>
      </c>
      <c r="AA438" s="174">
        <f t="shared" si="214"/>
        <v>44928.25</v>
      </c>
      <c r="AB438" s="174">
        <f t="shared" si="215"/>
        <v>2018547648.0625</v>
      </c>
      <c r="AD438" s="701">
        <f t="shared" si="216"/>
        <v>27.391976508529691</v>
      </c>
      <c r="AE438" s="702">
        <f t="shared" si="217"/>
        <v>-14.41604580526578</v>
      </c>
      <c r="AG438" s="701">
        <f t="shared" si="218"/>
        <v>-4.9389451184977862</v>
      </c>
      <c r="AH438" s="702">
        <f t="shared" si="219"/>
        <v>-59.73336177111036</v>
      </c>
      <c r="AJ438" s="174">
        <f t="shared" si="220"/>
        <v>0</v>
      </c>
      <c r="AK438" s="174">
        <f t="shared" si="232"/>
        <v>0</v>
      </c>
      <c r="AM438" s="174" t="str">
        <f t="shared" si="224"/>
        <v>0.308006925785409+0.721904138538518i</v>
      </c>
      <c r="AN438" s="174" t="str">
        <f t="shared" si="225"/>
        <v>0.8065500570135i</v>
      </c>
      <c r="AO438" s="174" t="str">
        <f t="shared" si="226"/>
        <v>0.895051872182107-0.381881971375589i</v>
      </c>
      <c r="AP438" s="174" t="str">
        <f t="shared" si="227"/>
        <v>0.115332179035765-0.120317356423086i</v>
      </c>
      <c r="AQ438" s="174" t="str">
        <f t="shared" si="228"/>
        <v>0.884667820964235+0.120317356423086i</v>
      </c>
      <c r="AR438" s="174" t="str">
        <f t="shared" si="229"/>
        <v>0.924496159072043-0.125734124432838i</v>
      </c>
    </row>
    <row r="439" spans="7:44" x14ac:dyDescent="0.2">
      <c r="G439" s="703">
        <v>45188.5</v>
      </c>
      <c r="H439" s="691">
        <f t="shared" si="221"/>
        <v>45.188499999999998</v>
      </c>
      <c r="I439" s="692">
        <f t="shared" si="201"/>
        <v>44.099004827081856</v>
      </c>
      <c r="J439" s="693">
        <f t="shared" si="202"/>
        <v>1.5481181342642267</v>
      </c>
      <c r="K439" s="693">
        <f t="shared" si="203"/>
        <v>1.0002980696607717</v>
      </c>
      <c r="L439" s="694">
        <f t="shared" si="204"/>
        <v>2.4412932706373413E-2</v>
      </c>
      <c r="M439" s="693">
        <f t="shared" si="205"/>
        <v>1.0016616963453218</v>
      </c>
      <c r="N439" s="694">
        <f t="shared" si="206"/>
        <v>-5.7609002325511936E-2</v>
      </c>
      <c r="O439" s="692">
        <f t="shared" si="207"/>
        <v>81771.183057681032</v>
      </c>
      <c r="P439" s="695">
        <f t="shared" si="208"/>
        <v>1.5707840975478364</v>
      </c>
      <c r="Q439" s="704">
        <f t="shared" si="230"/>
        <v>34.085998208913466</v>
      </c>
      <c r="R439" s="705">
        <f t="shared" si="231"/>
        <v>1.5414545572451042</v>
      </c>
      <c r="S439" s="692">
        <f t="shared" si="209"/>
        <v>1.0254723632203855</v>
      </c>
      <c r="T439" s="695">
        <f t="shared" si="210"/>
        <v>0.22335245769635356</v>
      </c>
      <c r="U439" s="696">
        <f t="shared" si="222"/>
        <v>0.90699279398158339</v>
      </c>
      <c r="V439" s="697">
        <f t="shared" si="223"/>
        <v>-0.54129569534574429</v>
      </c>
      <c r="W439" s="698">
        <f t="shared" si="211"/>
        <v>-4.6742965205780438</v>
      </c>
      <c r="X439" s="699">
        <f t="shared" si="212"/>
        <v>-136.09420097830798</v>
      </c>
      <c r="Y439" s="702">
        <f t="shared" si="213"/>
        <v>43.905799021692019</v>
      </c>
      <c r="AA439" s="174">
        <f t="shared" si="214"/>
        <v>45188.5</v>
      </c>
      <c r="AB439" s="174">
        <f t="shared" si="215"/>
        <v>2042000532.25</v>
      </c>
      <c r="AD439" s="701">
        <f t="shared" si="216"/>
        <v>27.389485172718096</v>
      </c>
      <c r="AE439" s="702">
        <f t="shared" si="217"/>
        <v>-14.477612060823809</v>
      </c>
      <c r="AG439" s="701">
        <f t="shared" si="218"/>
        <v>-4.9799922023169483</v>
      </c>
      <c r="AH439" s="702">
        <f t="shared" si="219"/>
        <v>-59.588671222786239</v>
      </c>
      <c r="AJ439" s="174">
        <f t="shared" si="220"/>
        <v>0</v>
      </c>
      <c r="AK439" s="174">
        <f t="shared" si="232"/>
        <v>0</v>
      </c>
      <c r="AM439" s="174" t="str">
        <f t="shared" si="224"/>
        <v>0.311387199780643+0.725129237704601i</v>
      </c>
      <c r="AN439" s="174" t="str">
        <f t="shared" si="225"/>
        <v>0.811222054083i</v>
      </c>
      <c r="AO439" s="174" t="str">
        <f t="shared" si="226"/>
        <v>0.893872687576625-0.383849524570228i</v>
      </c>
      <c r="AP439" s="174" t="str">
        <f t="shared" si="227"/>
        <v>0.114768800036559-0.120854872950767i</v>
      </c>
      <c r="AQ439" s="174" t="str">
        <f t="shared" si="228"/>
        <v>0.885231199963441+0.120854872950767i</v>
      </c>
      <c r="AR439" s="174" t="str">
        <f t="shared" si="229"/>
        <v>0.923779095772821-0.126117567092992i</v>
      </c>
    </row>
    <row r="440" spans="7:44" x14ac:dyDescent="0.2">
      <c r="G440" s="703">
        <v>45448.75</v>
      </c>
      <c r="H440" s="691">
        <f t="shared" si="221"/>
        <v>45.448749999999997</v>
      </c>
      <c r="I440" s="692">
        <f t="shared" si="201"/>
        <v>44.35284997353606</v>
      </c>
      <c r="J440" s="693">
        <f t="shared" si="202"/>
        <v>1.5482479506739859</v>
      </c>
      <c r="K440" s="693">
        <f t="shared" si="203"/>
        <v>1.0003015123191021</v>
      </c>
      <c r="L440" s="694">
        <f t="shared" si="204"/>
        <v>2.4553475539047624E-2</v>
      </c>
      <c r="M440" s="693">
        <f t="shared" si="205"/>
        <v>1.0016808754677191</v>
      </c>
      <c r="N440" s="694">
        <f t="shared" si="206"/>
        <v>-5.7940044665806878E-2</v>
      </c>
      <c r="O440" s="692">
        <f t="shared" si="207"/>
        <v>82242.120362251604</v>
      </c>
      <c r="P440" s="695">
        <f t="shared" si="208"/>
        <v>1.5707841675753189</v>
      </c>
      <c r="Q440" s="704">
        <f t="shared" si="230"/>
        <v>34.282138106796246</v>
      </c>
      <c r="R440" s="705">
        <f t="shared" si="231"/>
        <v>1.5416224793761646</v>
      </c>
      <c r="S440" s="692">
        <f t="shared" si="209"/>
        <v>1.0257629137632893</v>
      </c>
      <c r="T440" s="695">
        <f t="shared" si="210"/>
        <v>0.22459608357666833</v>
      </c>
      <c r="U440" s="696">
        <f t="shared" si="222"/>
        <v>0.90606024324571699</v>
      </c>
      <c r="V440" s="697">
        <f t="shared" si="223"/>
        <v>-0.54413882756414811</v>
      </c>
      <c r="W440" s="698">
        <f t="shared" si="211"/>
        <v>-4.7353937489846807</v>
      </c>
      <c r="X440" s="699">
        <f t="shared" si="212"/>
        <v>-136.3370905025923</v>
      </c>
      <c r="Y440" s="702">
        <f t="shared" si="213"/>
        <v>43.662909497407696</v>
      </c>
      <c r="AA440" s="174">
        <f t="shared" si="214"/>
        <v>45448.75</v>
      </c>
      <c r="AB440" s="174">
        <f t="shared" si="215"/>
        <v>2065588876.5625</v>
      </c>
      <c r="AD440" s="701">
        <f t="shared" si="216"/>
        <v>27.386981832650786</v>
      </c>
      <c r="AE440" s="702">
        <f t="shared" si="217"/>
        <v>-14.539249358012109</v>
      </c>
      <c r="AG440" s="701">
        <f t="shared" si="218"/>
        <v>-5.0207156073959904</v>
      </c>
      <c r="AH440" s="702">
        <f t="shared" si="219"/>
        <v>-59.444124496085585</v>
      </c>
      <c r="AJ440" s="174">
        <f t="shared" si="220"/>
        <v>0</v>
      </c>
      <c r="AK440" s="174">
        <f t="shared" si="232"/>
        <v>0</v>
      </c>
      <c r="AM440" s="174" t="str">
        <f t="shared" si="224"/>
        <v>0.314782504483421+0.728338509099983i</v>
      </c>
      <c r="AN440" s="174" t="str">
        <f t="shared" si="225"/>
        <v>0.8158940511525i</v>
      </c>
      <c r="AO440" s="174" t="str">
        <f t="shared" si="226"/>
        <v>0.892687608239281-0.385812966816919i</v>
      </c>
      <c r="AP440" s="174" t="str">
        <f t="shared" si="227"/>
        <v>0.11420291591943-0.121389751516664i</v>
      </c>
      <c r="AQ440" s="174" t="str">
        <f t="shared" si="228"/>
        <v>0.88579708408057+0.121389751516664i</v>
      </c>
      <c r="AR440" s="174" t="str">
        <f t="shared" si="229"/>
        <v>0.923060878965969-0.126496386978669i</v>
      </c>
    </row>
    <row r="441" spans="7:44" x14ac:dyDescent="0.2">
      <c r="G441" s="703">
        <v>45709</v>
      </c>
      <c r="H441" s="691">
        <f t="shared" si="221"/>
        <v>45.709000000000003</v>
      </c>
      <c r="I441" s="692">
        <f t="shared" si="201"/>
        <v>44.606695858930735</v>
      </c>
      <c r="J441" s="693">
        <f t="shared" si="202"/>
        <v>1.5483762895784938</v>
      </c>
      <c r="K441" s="693">
        <f t="shared" si="203"/>
        <v>1.0003049747355397</v>
      </c>
      <c r="L441" s="694">
        <f t="shared" si="204"/>
        <v>2.4694017401558934E-2</v>
      </c>
      <c r="M441" s="693">
        <f t="shared" si="205"/>
        <v>1.0017001643591426</v>
      </c>
      <c r="N441" s="694">
        <f t="shared" si="206"/>
        <v>-5.8271074293174095E-2</v>
      </c>
      <c r="O441" s="692">
        <f t="shared" si="207"/>
        <v>82713.057666822599</v>
      </c>
      <c r="P441" s="695">
        <f t="shared" si="208"/>
        <v>1.5707842368053806</v>
      </c>
      <c r="Q441" s="704">
        <f t="shared" si="230"/>
        <v>34.478278960362815</v>
      </c>
      <c r="R441" s="705">
        <f t="shared" si="231"/>
        <v>1.5417884909530339</v>
      </c>
      <c r="S441" s="692">
        <f t="shared" si="209"/>
        <v>1.0260550498566741</v>
      </c>
      <c r="T441" s="695">
        <f t="shared" si="210"/>
        <v>0.22583900321363448</v>
      </c>
      <c r="U441" s="696">
        <f t="shared" si="222"/>
        <v>0.90512503729941707</v>
      </c>
      <c r="V441" s="697">
        <f t="shared" si="223"/>
        <v>-0.5469779284077475</v>
      </c>
      <c r="W441" s="698">
        <f t="shared" si="211"/>
        <v>-4.7962521592044602</v>
      </c>
      <c r="X441" s="699">
        <f t="shared" si="212"/>
        <v>-136.57973267472809</v>
      </c>
      <c r="Y441" s="702">
        <f t="shared" si="213"/>
        <v>43.420267325271908</v>
      </c>
      <c r="AA441" s="174">
        <f t="shared" si="214"/>
        <v>45709</v>
      </c>
      <c r="AB441" s="174">
        <f t="shared" si="215"/>
        <v>2089312681</v>
      </c>
      <c r="AD441" s="701">
        <f t="shared" si="216"/>
        <v>27.384466493893946</v>
      </c>
      <c r="AE441" s="702">
        <f t="shared" si="217"/>
        <v>-14.600955611440146</v>
      </c>
      <c r="AG441" s="701">
        <f t="shared" si="218"/>
        <v>-5.0611188326209966</v>
      </c>
      <c r="AH441" s="702">
        <f t="shared" si="219"/>
        <v>-59.299723422521069</v>
      </c>
      <c r="AJ441" s="174">
        <f t="shared" si="220"/>
        <v>0</v>
      </c>
      <c r="AK441" s="174">
        <f t="shared" si="232"/>
        <v>0</v>
      </c>
      <c r="AM441" s="174" t="str">
        <f t="shared" si="224"/>
        <v>0.318192765782672+0.731531882674239i</v>
      </c>
      <c r="AN441" s="174" t="str">
        <f t="shared" si="225"/>
        <v>0.820566048222i</v>
      </c>
      <c r="AO441" s="174" t="str">
        <f t="shared" si="226"/>
        <v>0.891496649488874-0.387772278017268i</v>
      </c>
      <c r="AP441" s="174" t="str">
        <f t="shared" si="227"/>
        <v>0.113634539036221-0.121921980445706i</v>
      </c>
      <c r="AQ441" s="174" t="str">
        <f t="shared" si="228"/>
        <v>0.886365460963779+0.121921980445706i</v>
      </c>
      <c r="AR441" s="174" t="str">
        <f t="shared" si="229"/>
        <v>0.922341542639835-0.126870588350454i</v>
      </c>
    </row>
    <row r="442" spans="7:44" x14ac:dyDescent="0.2">
      <c r="G442" s="703">
        <v>45975.25</v>
      </c>
      <c r="H442" s="691">
        <f t="shared" si="221"/>
        <v>45.975250000000003</v>
      </c>
      <c r="I442" s="692">
        <f t="shared" si="201"/>
        <v>44.866394850643722</v>
      </c>
      <c r="J442" s="693">
        <f t="shared" si="202"/>
        <v>1.5485060844591763</v>
      </c>
      <c r="K442" s="693">
        <f t="shared" si="203"/>
        <v>1.0003085374235616</v>
      </c>
      <c r="L442" s="694">
        <f t="shared" si="204"/>
        <v>2.4837798412533668E-2</v>
      </c>
      <c r="M442" s="693">
        <f t="shared" si="205"/>
        <v>1.0017200115388656</v>
      </c>
      <c r="N442" s="694">
        <f t="shared" si="206"/>
        <v>-5.8609722496679978E-2</v>
      </c>
      <c r="O442" s="692">
        <f t="shared" si="207"/>
        <v>83194.85231559159</v>
      </c>
      <c r="P442" s="695">
        <f t="shared" si="208"/>
        <v>1.5707843068204368</v>
      </c>
      <c r="Q442" s="704">
        <f t="shared" si="230"/>
        <v>34.678942765339869</v>
      </c>
      <c r="R442" s="705">
        <f t="shared" si="231"/>
        <v>1.5419563865489507</v>
      </c>
      <c r="S442" s="692">
        <f t="shared" si="209"/>
        <v>1.0263555604678076</v>
      </c>
      <c r="T442" s="695">
        <f t="shared" si="210"/>
        <v>0.22710984382998639</v>
      </c>
      <c r="U442" s="696">
        <f t="shared" si="222"/>
        <v>0.90416555703194545</v>
      </c>
      <c r="V442" s="697">
        <f t="shared" si="223"/>
        <v>-0.5498783057185086</v>
      </c>
      <c r="W442" s="698">
        <f t="shared" si="211"/>
        <v>-4.858269632447783</v>
      </c>
      <c r="X442" s="699">
        <f t="shared" si="212"/>
        <v>-136.82771192674983</v>
      </c>
      <c r="Y442" s="702">
        <f t="shared" si="213"/>
        <v>43.172288073250172</v>
      </c>
      <c r="AA442" s="174">
        <f t="shared" si="214"/>
        <v>45975.25</v>
      </c>
      <c r="AB442" s="174">
        <f t="shared" si="215"/>
        <v>2113723612.5625</v>
      </c>
      <c r="AD442" s="701">
        <f t="shared" si="216"/>
        <v>27.381880754193105</v>
      </c>
      <c r="AE442" s="702">
        <f t="shared" si="217"/>
        <v>-14.664153717785476</v>
      </c>
      <c r="AG442" s="701">
        <f t="shared" si="218"/>
        <v>-5.1021257967637865</v>
      </c>
      <c r="AH442" s="702">
        <f t="shared" si="219"/>
        <v>-59.15214581001343</v>
      </c>
      <c r="AJ442" s="174">
        <f t="shared" si="220"/>
        <v>0</v>
      </c>
      <c r="AK442" s="174">
        <f t="shared" si="232"/>
        <v>0</v>
      </c>
      <c r="AM442" s="174" t="str">
        <f t="shared" si="224"/>
        <v>0.321697049997701+0.734782354182637i</v>
      </c>
      <c r="AN442" s="174" t="str">
        <f t="shared" si="225"/>
        <v>0.8253457570395i</v>
      </c>
      <c r="AO442" s="174" t="str">
        <f t="shared" si="226"/>
        <v>0.890272165229622-0.389772464756616i</v>
      </c>
      <c r="AP442" s="174" t="str">
        <f t="shared" si="227"/>
        <v>0.11305049166705-0.122463725697106i</v>
      </c>
      <c r="AQ442" s="174" t="str">
        <f t="shared" si="228"/>
        <v>0.88694950833295+0.122463725697106i</v>
      </c>
      <c r="AR442" s="174" t="str">
        <f t="shared" si="229"/>
        <v>0.921604498922856-0.127248642112038i</v>
      </c>
    </row>
    <row r="443" spans="7:44" x14ac:dyDescent="0.2">
      <c r="G443" s="703">
        <v>46241.5</v>
      </c>
      <c r="H443" s="691">
        <f t="shared" si="221"/>
        <v>46.241500000000002</v>
      </c>
      <c r="I443" s="692">
        <f t="shared" si="201"/>
        <v>45.126094589508099</v>
      </c>
      <c r="J443" s="693">
        <f t="shared" si="202"/>
        <v>1.5486343854083044</v>
      </c>
      <c r="K443" s="693">
        <f t="shared" si="203"/>
        <v>1.0003121207907937</v>
      </c>
      <c r="L443" s="694">
        <f t="shared" si="204"/>
        <v>2.4981578396361944E-2</v>
      </c>
      <c r="M443" s="693">
        <f t="shared" si="205"/>
        <v>1.0017399735938899</v>
      </c>
      <c r="N443" s="694">
        <f t="shared" si="206"/>
        <v>-5.8948357242275921E-2</v>
      </c>
      <c r="O443" s="692">
        <f t="shared" si="207"/>
        <v>83676.646964360989</v>
      </c>
      <c r="P443" s="695">
        <f t="shared" si="208"/>
        <v>1.5707843760292255</v>
      </c>
      <c r="Q443" s="704">
        <f t="shared" si="230"/>
        <v>34.879607536631312</v>
      </c>
      <c r="R443" s="705">
        <f t="shared" si="231"/>
        <v>1.5421223503197738</v>
      </c>
      <c r="S443" s="692">
        <f t="shared" si="209"/>
        <v>1.0266577277080426</v>
      </c>
      <c r="T443" s="695">
        <f t="shared" si="210"/>
        <v>0.2283799384256506</v>
      </c>
      <c r="U443" s="696">
        <f t="shared" si="222"/>
        <v>0.90320336737502149</v>
      </c>
      <c r="V443" s="697">
        <f t="shared" si="223"/>
        <v>-0.55277445073843989</v>
      </c>
      <c r="W443" s="698">
        <f t="shared" si="211"/>
        <v>-4.9200434408904856</v>
      </c>
      <c r="X443" s="699">
        <f t="shared" si="212"/>
        <v>-137.07543027355786</v>
      </c>
      <c r="Y443" s="702">
        <f t="shared" si="213"/>
        <v>42.924569726442144</v>
      </c>
      <c r="AA443" s="174">
        <f t="shared" si="214"/>
        <v>46241.5</v>
      </c>
      <c r="AB443" s="174">
        <f t="shared" si="215"/>
        <v>2138276322.25</v>
      </c>
      <c r="AD443" s="701">
        <f t="shared" si="216"/>
        <v>27.379282469739174</v>
      </c>
      <c r="AE443" s="702">
        <f t="shared" si="217"/>
        <v>-14.727419719522963</v>
      </c>
      <c r="AG443" s="701">
        <f t="shared" si="218"/>
        <v>-5.1428048780006153</v>
      </c>
      <c r="AH443" s="702">
        <f t="shared" si="219"/>
        <v>-59.004724381704968</v>
      </c>
      <c r="AJ443" s="174">
        <f t="shared" si="220"/>
        <v>0</v>
      </c>
      <c r="AK443" s="174">
        <f t="shared" si="232"/>
        <v>0</v>
      </c>
      <c r="AM443" s="174" t="str">
        <f t="shared" si="224"/>
        <v>0.325216830432213+0.738016039167206i</v>
      </c>
      <c r="AN443" s="174" t="str">
        <f t="shared" si="225"/>
        <v>0.830125465857i</v>
      </c>
      <c r="AO443" s="174" t="str">
        <f t="shared" si="226"/>
        <v>0.889041560007194-0.391768285407878i</v>
      </c>
      <c r="AP443" s="174" t="str">
        <f t="shared" si="227"/>
        <v>0.112463861594631-0.123002673194534i</v>
      </c>
      <c r="AQ443" s="174" t="str">
        <f t="shared" si="228"/>
        <v>0.887536138405369+0.123002673194534i</v>
      </c>
      <c r="AR443" s="174" t="str">
        <f t="shared" si="229"/>
        <v>0.920866354889388-0.127621871837028i</v>
      </c>
    </row>
    <row r="444" spans="7:44" x14ac:dyDescent="0.2">
      <c r="G444" s="703">
        <v>46507.75</v>
      </c>
      <c r="H444" s="691">
        <f t="shared" si="221"/>
        <v>46.507750000000001</v>
      </c>
      <c r="I444" s="692">
        <f t="shared" si="201"/>
        <v>45.385795062698158</v>
      </c>
      <c r="J444" s="693">
        <f t="shared" si="202"/>
        <v>1.5487612180667383</v>
      </c>
      <c r="K444" s="693">
        <f t="shared" si="203"/>
        <v>1.0003157248370131</v>
      </c>
      <c r="L444" s="694">
        <f t="shared" si="204"/>
        <v>2.5125357347110185E-2</v>
      </c>
      <c r="M444" s="693">
        <f t="shared" si="205"/>
        <v>1.0017600505173481</v>
      </c>
      <c r="N444" s="694">
        <f t="shared" si="206"/>
        <v>-5.9286978453103933E-2</v>
      </c>
      <c r="O444" s="692">
        <f t="shared" si="207"/>
        <v>84158.441613130766</v>
      </c>
      <c r="P444" s="695">
        <f t="shared" si="208"/>
        <v>1.5707844444455938</v>
      </c>
      <c r="Q444" s="704">
        <f t="shared" si="230"/>
        <v>35.080273257654738</v>
      </c>
      <c r="R444" s="705">
        <f t="shared" si="231"/>
        <v>1.5422864154074833</v>
      </c>
      <c r="S444" s="692">
        <f t="shared" si="209"/>
        <v>1.026961550115068</v>
      </c>
      <c r="T444" s="695">
        <f t="shared" si="210"/>
        <v>0.22964928356327577</v>
      </c>
      <c r="U444" s="696">
        <f t="shared" si="222"/>
        <v>0.90223850338954237</v>
      </c>
      <c r="V444" s="697">
        <f t="shared" si="223"/>
        <v>-0.55566635725688196</v>
      </c>
      <c r="W444" s="698">
        <f t="shared" si="211"/>
        <v>-4.9815766786324183</v>
      </c>
      <c r="X444" s="699">
        <f t="shared" si="212"/>
        <v>-137.32288672930909</v>
      </c>
      <c r="Y444" s="702">
        <f t="shared" si="213"/>
        <v>42.67711327069091</v>
      </c>
      <c r="AA444" s="174">
        <f t="shared" si="214"/>
        <v>46507.75</v>
      </c>
      <c r="AB444" s="174">
        <f t="shared" si="215"/>
        <v>2162970810.0625</v>
      </c>
      <c r="AD444" s="701">
        <f t="shared" si="216"/>
        <v>27.376671648263098</v>
      </c>
      <c r="AE444" s="702">
        <f t="shared" si="217"/>
        <v>-14.79075152160466</v>
      </c>
      <c r="AG444" s="701">
        <f t="shared" si="218"/>
        <v>-5.1831596449232755</v>
      </c>
      <c r="AH444" s="702">
        <f t="shared" si="219"/>
        <v>-58.857460958489632</v>
      </c>
      <c r="AJ444" s="174">
        <f t="shared" si="220"/>
        <v>0</v>
      </c>
      <c r="AK444" s="174">
        <f t="shared" si="232"/>
        <v>0</v>
      </c>
      <c r="AM444" s="174" t="str">
        <f t="shared" si="224"/>
        <v>0.328752026674808+0.741232863752561i</v>
      </c>
      <c r="AN444" s="174" t="str">
        <f t="shared" si="225"/>
        <v>0.8349051746745i</v>
      </c>
      <c r="AO444" s="174" t="str">
        <f t="shared" si="226"/>
        <v>0.887804850462858-0.393759718644667i</v>
      </c>
      <c r="AP444" s="174" t="str">
        <f t="shared" si="227"/>
        <v>0.111874662220865-0.123538810625427i</v>
      </c>
      <c r="AQ444" s="174" t="str">
        <f t="shared" si="228"/>
        <v>0.888125337779135+0.123538810625427i</v>
      </c>
      <c r="AR444" s="174" t="str">
        <f t="shared" si="229"/>
        <v>0.920127146372036-0.127990282960757i</v>
      </c>
    </row>
    <row r="445" spans="7:44" x14ac:dyDescent="0.2">
      <c r="G445" s="703">
        <v>46774</v>
      </c>
      <c r="H445" s="691">
        <f t="shared" si="221"/>
        <v>46.774000000000001</v>
      </c>
      <c r="I445" s="692">
        <f t="shared" si="201"/>
        <v>45.645496257680044</v>
      </c>
      <c r="J445" s="693">
        <f t="shared" si="202"/>
        <v>1.548886607491992</v>
      </c>
      <c r="K445" s="693">
        <f t="shared" si="203"/>
        <v>1.0003193495619971</v>
      </c>
      <c r="L445" s="694">
        <f t="shared" si="204"/>
        <v>2.5269135258845093E-2</v>
      </c>
      <c r="M445" s="693">
        <f t="shared" si="205"/>
        <v>1.0017802423023339</v>
      </c>
      <c r="N445" s="694">
        <f t="shared" si="206"/>
        <v>-5.9625586052324563E-2</v>
      </c>
      <c r="O445" s="692">
        <f t="shared" si="207"/>
        <v>84640.236261900951</v>
      </c>
      <c r="P445" s="695">
        <f t="shared" si="208"/>
        <v>1.5707845120830741</v>
      </c>
      <c r="Q445" s="704">
        <f t="shared" si="230"/>
        <v>35.280939912204914</v>
      </c>
      <c r="R445" s="705">
        <f t="shared" si="231"/>
        <v>1.5424486142004699</v>
      </c>
      <c r="S445" s="692">
        <f t="shared" si="209"/>
        <v>1.0272670262202976</v>
      </c>
      <c r="T445" s="695">
        <f t="shared" si="210"/>
        <v>0.2309178758192264</v>
      </c>
      <c r="U445" s="696">
        <f t="shared" si="222"/>
        <v>0.90127100002081095</v>
      </c>
      <c r="V445" s="697">
        <f t="shared" si="223"/>
        <v>-0.55855401926822557</v>
      </c>
      <c r="W445" s="698">
        <f t="shared" si="211"/>
        <v>-5.0428723825302137</v>
      </c>
      <c r="X445" s="699">
        <f t="shared" si="212"/>
        <v>-137.57008033043206</v>
      </c>
      <c r="Y445" s="702">
        <f t="shared" si="213"/>
        <v>42.429919669567937</v>
      </c>
      <c r="AA445" s="174">
        <f t="shared" si="214"/>
        <v>46774</v>
      </c>
      <c r="AB445" s="174">
        <f t="shared" si="215"/>
        <v>2187807076</v>
      </c>
      <c r="AD445" s="701">
        <f t="shared" si="216"/>
        <v>27.374048298057716</v>
      </c>
      <c r="AE445" s="702">
        <f t="shared" si="217"/>
        <v>-14.854147072927974</v>
      </c>
      <c r="AG445" s="701">
        <f t="shared" si="218"/>
        <v>-5.2231936087973585</v>
      </c>
      <c r="AH445" s="702">
        <f t="shared" si="219"/>
        <v>-58.710357316090686</v>
      </c>
      <c r="AJ445" s="174">
        <f t="shared" si="220"/>
        <v>0</v>
      </c>
      <c r="AK445" s="174">
        <f t="shared" si="232"/>
        <v>0</v>
      </c>
      <c r="AM445" s="174" t="str">
        <f t="shared" si="224"/>
        <v>0.332302557961903+0.744432754448501i</v>
      </c>
      <c r="AN445" s="174" t="str">
        <f t="shared" si="225"/>
        <v>0.839684883492i</v>
      </c>
      <c r="AO445" s="174" t="str">
        <f t="shared" si="226"/>
        <v>0.8865620533177-0.395746743206756i</v>
      </c>
      <c r="AP445" s="174" t="str">
        <f t="shared" si="227"/>
        <v>0.11128290700635-0.124072125741417i</v>
      </c>
      <c r="AQ445" s="174" t="str">
        <f t="shared" si="228"/>
        <v>0.88871709299365+0.124072125741417i</v>
      </c>
      <c r="AR445" s="174" t="str">
        <f t="shared" si="229"/>
        <v>0.91938690900983-0.128353881205811i</v>
      </c>
    </row>
    <row r="446" spans="7:44" x14ac:dyDescent="0.2">
      <c r="G446" s="703">
        <v>47046.25</v>
      </c>
      <c r="H446" s="691">
        <f t="shared" si="221"/>
        <v>47.046250000000001</v>
      </c>
      <c r="I446" s="692">
        <f t="shared" si="201"/>
        <v>45.911050607569997</v>
      </c>
      <c r="J446" s="693">
        <f t="shared" si="202"/>
        <v>1.5490133557211598</v>
      </c>
      <c r="K446" s="693">
        <f t="shared" si="203"/>
        <v>1.0003230773537055</v>
      </c>
      <c r="L446" s="694">
        <f t="shared" si="204"/>
        <v>2.5416152155616628E-2</v>
      </c>
      <c r="M446" s="693">
        <f t="shared" si="205"/>
        <v>1.0018010078795603</v>
      </c>
      <c r="N446" s="694">
        <f t="shared" si="206"/>
        <v>-5.9971810090122535E-2</v>
      </c>
      <c r="O446" s="692">
        <f t="shared" si="207"/>
        <v>85132.888254869176</v>
      </c>
      <c r="P446" s="695">
        <f t="shared" si="208"/>
        <v>1.5707845804531417</v>
      </c>
      <c r="Q446" s="704">
        <f t="shared" si="230"/>
        <v>35.486129581030305</v>
      </c>
      <c r="R446" s="705">
        <f t="shared" si="231"/>
        <v>1.542612571298783</v>
      </c>
      <c r="S446" s="692">
        <f t="shared" si="209"/>
        <v>1.0275810947753126</v>
      </c>
      <c r="T446" s="695">
        <f t="shared" si="210"/>
        <v>0.23221427399489383</v>
      </c>
      <c r="U446" s="696">
        <f t="shared" si="222"/>
        <v>0.90027900077065703</v>
      </c>
      <c r="V446" s="697">
        <f t="shared" si="223"/>
        <v>-0.56150236024877509</v>
      </c>
      <c r="W446" s="698">
        <f t="shared" si="211"/>
        <v>-5.1053068798827814</v>
      </c>
      <c r="X446" s="699">
        <f t="shared" si="212"/>
        <v>-137.82257170408926</v>
      </c>
      <c r="Y446" s="702">
        <f t="shared" si="213"/>
        <v>42.177428295910744</v>
      </c>
      <c r="AA446" s="174">
        <f t="shared" si="214"/>
        <v>47046.25</v>
      </c>
      <c r="AB446" s="174">
        <f t="shared" si="215"/>
        <v>2213349639.0625</v>
      </c>
      <c r="AD446" s="701">
        <f t="shared" si="216"/>
        <v>27.371352883895192</v>
      </c>
      <c r="AE446" s="702">
        <f t="shared" si="217"/>
        <v>-14.919035084598075</v>
      </c>
      <c r="AG446" s="701">
        <f t="shared" si="218"/>
        <v>-5.2638016173573892</v>
      </c>
      <c r="AH446" s="702">
        <f t="shared" si="219"/>
        <v>-58.560105688189815</v>
      </c>
      <c r="AJ446" s="174">
        <f t="shared" si="220"/>
        <v>0</v>
      </c>
      <c r="AK446" s="174">
        <f t="shared" si="232"/>
        <v>0</v>
      </c>
      <c r="AM446" s="174" t="str">
        <f t="shared" si="224"/>
        <v>0.335948874019207+0.747687168596359i</v>
      </c>
      <c r="AN446" s="174" t="str">
        <f t="shared" si="225"/>
        <v>0.8445723040575i</v>
      </c>
      <c r="AO446" s="174" t="str">
        <f t="shared" si="226"/>
        <v>0.88528497205546-0.397773964887599i</v>
      </c>
      <c r="AP446" s="174" t="str">
        <f t="shared" si="227"/>
        <v>0.110675187663465-0.124614528099393i</v>
      </c>
      <c r="AQ446" s="174" t="str">
        <f t="shared" si="228"/>
        <v>0.889324812336535+0.124614528099393i</v>
      </c>
      <c r="AR446" s="174" t="str">
        <f t="shared" si="229"/>
        <v>0.918628963282887-0.128720702683614i</v>
      </c>
    </row>
    <row r="447" spans="7:44" x14ac:dyDescent="0.2">
      <c r="G447" s="703">
        <v>47318.5</v>
      </c>
      <c r="H447" s="691">
        <f t="shared" si="221"/>
        <v>47.3185</v>
      </c>
      <c r="I447" s="692">
        <f t="shared" si="201"/>
        <v>46.176605686542935</v>
      </c>
      <c r="J447" s="693">
        <f t="shared" si="202"/>
        <v>1.5491386461303132</v>
      </c>
      <c r="K447" s="693">
        <f t="shared" si="203"/>
        <v>1.0003268267662033</v>
      </c>
      <c r="L447" s="694">
        <f t="shared" si="204"/>
        <v>2.5563167953471948E-2</v>
      </c>
      <c r="M447" s="693">
        <f t="shared" si="205"/>
        <v>1.0018218935387735</v>
      </c>
      <c r="N447" s="694">
        <f t="shared" si="206"/>
        <v>-6.03180197334858E-2</v>
      </c>
      <c r="O447" s="692">
        <f t="shared" si="207"/>
        <v>85625.54024783778</v>
      </c>
      <c r="P447" s="695">
        <f t="shared" si="208"/>
        <v>1.5707846480364662</v>
      </c>
      <c r="Q447" s="704">
        <f t="shared" si="230"/>
        <v>35.691320192822964</v>
      </c>
      <c r="R447" s="705">
        <f t="shared" si="231"/>
        <v>1.5427746432115599</v>
      </c>
      <c r="S447" s="692">
        <f t="shared" si="209"/>
        <v>1.0278968892756297</v>
      </c>
      <c r="T447" s="695">
        <f t="shared" si="210"/>
        <v>0.23350987777787321</v>
      </c>
      <c r="U447" s="696">
        <f t="shared" si="222"/>
        <v>0.89928431535888509</v>
      </c>
      <c r="V447" s="697">
        <f t="shared" si="223"/>
        <v>-0.56444625121613212</v>
      </c>
      <c r="W447" s="698">
        <f t="shared" si="211"/>
        <v>-5.1674992615790476</v>
      </c>
      <c r="X447" s="699">
        <f t="shared" si="212"/>
        <v>-138.07478627480967</v>
      </c>
      <c r="Y447" s="702">
        <f t="shared" si="213"/>
        <v>41.925213725190332</v>
      </c>
      <c r="AA447" s="174">
        <f t="shared" si="214"/>
        <v>47318.5</v>
      </c>
      <c r="AB447" s="174">
        <f t="shared" si="215"/>
        <v>2239040442.25</v>
      </c>
      <c r="AD447" s="701">
        <f t="shared" si="216"/>
        <v>27.368644389230042</v>
      </c>
      <c r="AE447" s="702">
        <f t="shared" si="217"/>
        <v>-14.983985549017731</v>
      </c>
      <c r="AG447" s="701">
        <f t="shared" si="218"/>
        <v>-5.3040814485741414</v>
      </c>
      <c r="AH447" s="702">
        <f t="shared" si="219"/>
        <v>-58.410024738552607</v>
      </c>
      <c r="AJ447" s="174">
        <f t="shared" si="220"/>
        <v>0</v>
      </c>
      <c r="AK447" s="174">
        <f t="shared" si="232"/>
        <v>0</v>
      </c>
      <c r="AM447" s="174" t="str">
        <f t="shared" si="224"/>
        <v>0.339611052154352+0.750923722866256i</v>
      </c>
      <c r="AN447" s="174" t="str">
        <f t="shared" si="225"/>
        <v>0.849459724623i</v>
      </c>
      <c r="AO447" s="174" t="str">
        <f t="shared" si="226"/>
        <v>0.8840015613448-0.399796532207663i</v>
      </c>
      <c r="AP447" s="174" t="str">
        <f t="shared" si="227"/>
        <v>0.110064824640941-0.125153953811043i</v>
      </c>
      <c r="AQ447" s="174" t="str">
        <f t="shared" si="228"/>
        <v>0.889935175359059+0.125153953811043i</v>
      </c>
      <c r="AR447" s="174" t="str">
        <f t="shared" si="229"/>
        <v>0.917870016556181-0.129082504925446i</v>
      </c>
    </row>
    <row r="448" spans="7:44" x14ac:dyDescent="0.2">
      <c r="G448" s="703">
        <v>47590.75</v>
      </c>
      <c r="H448" s="691">
        <f t="shared" si="221"/>
        <v>47.59075</v>
      </c>
      <c r="I448" s="692">
        <f t="shared" si="201"/>
        <v>46.442161482092224</v>
      </c>
      <c r="J448" s="693">
        <f t="shared" si="202"/>
        <v>1.5492625037228838</v>
      </c>
      <c r="K448" s="693">
        <f t="shared" si="203"/>
        <v>1.0003305977992476</v>
      </c>
      <c r="L448" s="694">
        <f t="shared" si="204"/>
        <v>2.5710182646068357E-2</v>
      </c>
      <c r="M448" s="693">
        <f t="shared" si="205"/>
        <v>1.0018428992724626</v>
      </c>
      <c r="N448" s="694">
        <f t="shared" si="206"/>
        <v>-6.0664214900323067E-2</v>
      </c>
      <c r="O448" s="692">
        <f t="shared" si="207"/>
        <v>86118.192240806777</v>
      </c>
      <c r="P448" s="695">
        <f t="shared" si="208"/>
        <v>1.5707847148465497</v>
      </c>
      <c r="Q448" s="704">
        <f t="shared" si="230"/>
        <v>35.896511731412424</v>
      </c>
      <c r="R448" s="705">
        <f t="shared" si="231"/>
        <v>1.5429348622584884</v>
      </c>
      <c r="S448" s="692">
        <f t="shared" si="209"/>
        <v>1.0282144081309854</v>
      </c>
      <c r="T448" s="695">
        <f t="shared" si="210"/>
        <v>0.23480468355254655</v>
      </c>
      <c r="U448" s="696">
        <f t="shared" si="222"/>
        <v>0.89828698075767965</v>
      </c>
      <c r="V448" s="697">
        <f t="shared" si="223"/>
        <v>-0.56738568640718878</v>
      </c>
      <c r="W448" s="698">
        <f t="shared" si="211"/>
        <v>-5.2294525972667412</v>
      </c>
      <c r="X448" s="699">
        <f t="shared" si="212"/>
        <v>-138.32672308247481</v>
      </c>
      <c r="Y448" s="702">
        <f t="shared" si="213"/>
        <v>41.673276917525186</v>
      </c>
      <c r="AA448" s="174">
        <f t="shared" si="214"/>
        <v>47590.75</v>
      </c>
      <c r="AB448" s="174">
        <f t="shared" si="215"/>
        <v>2264879485.5625</v>
      </c>
      <c r="AD448" s="701">
        <f t="shared" si="216"/>
        <v>27.365922824644997</v>
      </c>
      <c r="AE448" s="702">
        <f t="shared" si="217"/>
        <v>-15.048996408019164</v>
      </c>
      <c r="AG448" s="701">
        <f t="shared" si="218"/>
        <v>-5.3440366787442786</v>
      </c>
      <c r="AH448" s="702">
        <f t="shared" si="219"/>
        <v>-58.260116225631897</v>
      </c>
      <c r="AJ448" s="174">
        <f t="shared" si="220"/>
        <v>0</v>
      </c>
      <c r="AK448" s="174">
        <f t="shared" si="232"/>
        <v>0</v>
      </c>
      <c r="AM448" s="174" t="str">
        <f t="shared" si="224"/>
        <v>0.343289004889505+0.754142339947163i</v>
      </c>
      <c r="AN448" s="174" t="str">
        <f t="shared" si="225"/>
        <v>0.8543471451885i</v>
      </c>
      <c r="AO448" s="174" t="str">
        <f t="shared" si="226"/>
        <v>0.882711839320036-0.401814422653409i</v>
      </c>
      <c r="AP448" s="174" t="str">
        <f t="shared" si="227"/>
        <v>0.109451832518416-0.125690389991194i</v>
      </c>
      <c r="AQ448" s="174" t="str">
        <f t="shared" si="228"/>
        <v>0.890548167481584+0.125690389991194i</v>
      </c>
      <c r="AR448" s="174" t="str">
        <f t="shared" si="229"/>
        <v>0.917110106291337-0.129439294957628i</v>
      </c>
    </row>
    <row r="449" spans="7:44" x14ac:dyDescent="0.2">
      <c r="G449" s="703">
        <v>47863</v>
      </c>
      <c r="H449" s="691">
        <f t="shared" si="221"/>
        <v>47.863</v>
      </c>
      <c r="I449" s="692">
        <f t="shared" si="201"/>
        <v>46.707717981995621</v>
      </c>
      <c r="J449" s="693">
        <f t="shared" si="202"/>
        <v>1.5493849529338535</v>
      </c>
      <c r="K449" s="693">
        <f t="shared" si="203"/>
        <v>1.0003343904525936</v>
      </c>
      <c r="L449" s="694">
        <f t="shared" si="204"/>
        <v>2.5857196227063436E-2</v>
      </c>
      <c r="M449" s="693">
        <f t="shared" si="205"/>
        <v>1.0018640250730757</v>
      </c>
      <c r="N449" s="694">
        <f t="shared" si="206"/>
        <v>-6.101039550856379E-2</v>
      </c>
      <c r="O449" s="692">
        <f t="shared" si="207"/>
        <v>86610.844233776152</v>
      </c>
      <c r="P449" s="695">
        <f t="shared" si="208"/>
        <v>1.5707847808965871</v>
      </c>
      <c r="Q449" s="704">
        <f t="shared" si="230"/>
        <v>36.101704180995732</v>
      </c>
      <c r="R449" s="705">
        <f t="shared" si="231"/>
        <v>1.543093260024857</v>
      </c>
      <c r="S449" s="692">
        <f t="shared" si="209"/>
        <v>1.0285336497444013</v>
      </c>
      <c r="T449" s="695">
        <f t="shared" si="210"/>
        <v>0.23609868771845133</v>
      </c>
      <c r="U449" s="696">
        <f t="shared" si="222"/>
        <v>0.89728703380334029</v>
      </c>
      <c r="V449" s="697">
        <f t="shared" si="223"/>
        <v>-0.57032066027797612</v>
      </c>
      <c r="W449" s="698">
        <f t="shared" si="211"/>
        <v>-5.2911698996151424</v>
      </c>
      <c r="X449" s="699">
        <f t="shared" si="212"/>
        <v>-138.57838118988212</v>
      </c>
      <c r="Y449" s="702">
        <f t="shared" si="213"/>
        <v>41.421618810117877</v>
      </c>
      <c r="AA449" s="174">
        <f t="shared" si="214"/>
        <v>47863</v>
      </c>
      <c r="AB449" s="174">
        <f t="shared" si="215"/>
        <v>2290866769</v>
      </c>
      <c r="AD449" s="701">
        <f t="shared" si="216"/>
        <v>27.363188201267672</v>
      </c>
      <c r="AE449" s="702">
        <f t="shared" si="217"/>
        <v>-15.114065646363359</v>
      </c>
      <c r="AG449" s="701">
        <f t="shared" si="218"/>
        <v>-5.3836708269017928</v>
      </c>
      <c r="AH449" s="702">
        <f t="shared" si="219"/>
        <v>-58.110381862756128</v>
      </c>
      <c r="AJ449" s="174">
        <f t="shared" si="220"/>
        <v>0</v>
      </c>
      <c r="AK449" s="174">
        <f t="shared" si="232"/>
        <v>0</v>
      </c>
      <c r="AM449" s="174" t="str">
        <f t="shared" si="224"/>
        <v>0.346982644370025+0.757342942956515i</v>
      </c>
      <c r="AN449" s="174" t="str">
        <f t="shared" si="225"/>
        <v>0.859234565754i</v>
      </c>
      <c r="AO449" s="174" t="str">
        <f t="shared" si="226"/>
        <v>0.881415824201541-0.403827613784996i</v>
      </c>
      <c r="AP449" s="174" t="str">
        <f t="shared" si="227"/>
        <v>0.108836225938329-0.126223823826086i</v>
      </c>
      <c r="AQ449" s="174" t="str">
        <f t="shared" si="228"/>
        <v>0.891163774061671+0.126223823826086i</v>
      </c>
      <c r="AR449" s="174" t="str">
        <f t="shared" si="229"/>
        <v>0.916349269729379-0.129791080104519i</v>
      </c>
    </row>
    <row r="450" spans="7:44" x14ac:dyDescent="0.2">
      <c r="G450" s="703">
        <v>48141.75</v>
      </c>
      <c r="H450" s="691">
        <f t="shared" si="221"/>
        <v>48.141750000000002</v>
      </c>
      <c r="I450" s="692">
        <f t="shared" si="201"/>
        <v>46.979615391121634</v>
      </c>
      <c r="J450" s="693">
        <f t="shared" si="202"/>
        <v>1.5495088913511392</v>
      </c>
      <c r="K450" s="693">
        <f t="shared" si="203"/>
        <v>1.0003382960564617</v>
      </c>
      <c r="L450" s="694">
        <f t="shared" si="204"/>
        <v>2.6007718615828693E-2</v>
      </c>
      <c r="M450" s="693">
        <f t="shared" si="205"/>
        <v>1.0018857796477323</v>
      </c>
      <c r="N450" s="694">
        <f t="shared" si="206"/>
        <v>-6.1364826048746282E-2</v>
      </c>
      <c r="O450" s="692">
        <f t="shared" si="207"/>
        <v>87115.258349626733</v>
      </c>
      <c r="P450" s="695">
        <f t="shared" si="208"/>
        <v>1.570784847749561</v>
      </c>
      <c r="Q450" s="704">
        <f t="shared" si="230"/>
        <v>36.311796551615828</v>
      </c>
      <c r="R450" s="705">
        <f t="shared" si="231"/>
        <v>1.5432535847677384</v>
      </c>
      <c r="S450" s="692">
        <f t="shared" si="209"/>
        <v>1.0288622965588077</v>
      </c>
      <c r="T450" s="695">
        <f t="shared" si="210"/>
        <v>0.23742275209320512</v>
      </c>
      <c r="U450" s="696">
        <f t="shared" si="222"/>
        <v>0.89626054467222926</v>
      </c>
      <c r="V450" s="697">
        <f t="shared" si="223"/>
        <v>-0.57332107906229257</v>
      </c>
      <c r="W450" s="698">
        <f t="shared" si="211"/>
        <v>-5.3541192438372933</v>
      </c>
      <c r="X450" s="699">
        <f t="shared" si="212"/>
        <v>-138.8357579477555</v>
      </c>
      <c r="Y450" s="702">
        <f t="shared" si="213"/>
        <v>41.164242052244504</v>
      </c>
      <c r="AA450" s="174">
        <f t="shared" si="214"/>
        <v>48141.75</v>
      </c>
      <c r="AB450" s="174">
        <f t="shared" si="215"/>
        <v>2317628093.0625</v>
      </c>
      <c r="AD450" s="701">
        <f t="shared" si="216"/>
        <v>27.360374770435605</v>
      </c>
      <c r="AE450" s="702">
        <f t="shared" si="217"/>
        <v>-15.180746846191202</v>
      </c>
      <c r="AG450" s="701">
        <f t="shared" si="218"/>
        <v>-5.4239221888297529</v>
      </c>
      <c r="AH450" s="702">
        <f t="shared" si="219"/>
        <v>-57.957254754182578</v>
      </c>
      <c r="AJ450" s="174">
        <f t="shared" si="220"/>
        <v>0</v>
      </c>
      <c r="AK450" s="174">
        <f t="shared" si="232"/>
        <v>0</v>
      </c>
      <c r="AM450" s="174" t="str">
        <f t="shared" si="224"/>
        <v>0.350780630773583+0.760601216552573i</v>
      </c>
      <c r="AN450" s="174" t="str">
        <f t="shared" si="225"/>
        <v>0.8642386740465i</v>
      </c>
      <c r="AO450" s="174" t="str">
        <f t="shared" si="226"/>
        <v>0.8800823654319-0.40588397778032i</v>
      </c>
      <c r="AP450" s="174" t="str">
        <f t="shared" si="227"/>
        <v>0.108203228204403-0.126766869425429i</v>
      </c>
      <c r="AQ450" s="174" t="str">
        <f t="shared" si="228"/>
        <v>0.891796771795597+0.126766869425429i</v>
      </c>
      <c r="AR450" s="174" t="str">
        <f t="shared" si="229"/>
        <v>0.915569347031324-0.1301460865701i</v>
      </c>
    </row>
    <row r="451" spans="7:44" x14ac:dyDescent="0.2">
      <c r="G451" s="703">
        <v>48420.5</v>
      </c>
      <c r="H451" s="691">
        <f t="shared" si="221"/>
        <v>48.420499999999997</v>
      </c>
      <c r="I451" s="692">
        <f t="shared" si="201"/>
        <v>47.25151351358388</v>
      </c>
      <c r="J451" s="693">
        <f t="shared" si="202"/>
        <v>1.5496314034192384</v>
      </c>
      <c r="K451" s="693">
        <f t="shared" si="203"/>
        <v>1.0003422243248066</v>
      </c>
      <c r="L451" s="694">
        <f t="shared" si="204"/>
        <v>2.6158239825824183E-2</v>
      </c>
      <c r="M451" s="693">
        <f t="shared" si="205"/>
        <v>1.0019076600748154</v>
      </c>
      <c r="N451" s="694">
        <f t="shared" si="206"/>
        <v>-6.1719241152797776E-2</v>
      </c>
      <c r="O451" s="692">
        <f t="shared" si="207"/>
        <v>87619.672465477677</v>
      </c>
      <c r="P451" s="695">
        <f t="shared" si="208"/>
        <v>1.5707849138328085</v>
      </c>
      <c r="Q451" s="704">
        <f t="shared" si="230"/>
        <v>36.521889844856865</v>
      </c>
      <c r="R451" s="705">
        <f t="shared" si="231"/>
        <v>1.5434120649686378</v>
      </c>
      <c r="S451" s="692">
        <f t="shared" si="209"/>
        <v>1.0291927459657098</v>
      </c>
      <c r="T451" s="695">
        <f t="shared" si="210"/>
        <v>0.23874596853511146</v>
      </c>
      <c r="U451" s="696">
        <f t="shared" si="222"/>
        <v>0.89523139466658319</v>
      </c>
      <c r="V451" s="697">
        <f t="shared" si="223"/>
        <v>-0.57631680989007861</v>
      </c>
      <c r="W451" s="698">
        <f t="shared" si="211"/>
        <v>-5.4168273640462878</v>
      </c>
      <c r="X451" s="699">
        <f t="shared" si="212"/>
        <v>-139.09284062222486</v>
      </c>
      <c r="Y451" s="702">
        <f t="shared" si="213"/>
        <v>40.907159377775145</v>
      </c>
      <c r="AA451" s="174">
        <f t="shared" si="214"/>
        <v>48420.5</v>
      </c>
      <c r="AB451" s="174">
        <f t="shared" si="215"/>
        <v>2344544820.25</v>
      </c>
      <c r="AD451" s="701">
        <f t="shared" si="216"/>
        <v>27.35754767509842</v>
      </c>
      <c r="AE451" s="702">
        <f t="shared" si="217"/>
        <v>-15.247485103414274</v>
      </c>
      <c r="AG451" s="701">
        <f t="shared" si="218"/>
        <v>-5.4638442417249768</v>
      </c>
      <c r="AH451" s="702">
        <f t="shared" si="219"/>
        <v>-57.804313705057844</v>
      </c>
      <c r="AJ451" s="174">
        <f t="shared" si="220"/>
        <v>0</v>
      </c>
      <c r="AK451" s="174">
        <f t="shared" si="232"/>
        <v>0</v>
      </c>
      <c r="AM451" s="174" t="str">
        <f t="shared" si="224"/>
        <v>0.354594874310236+0.763840443897402i</v>
      </c>
      <c r="AN451" s="174" t="str">
        <f t="shared" si="225"/>
        <v>0.869242782339i</v>
      </c>
      <c r="AO451" s="174" t="str">
        <f t="shared" si="226"/>
        <v>0.878742348417347-0.407935368017754i</v>
      </c>
      <c r="AP451" s="174" t="str">
        <f t="shared" si="227"/>
        <v>0.107567520948294-0.127306740649567i</v>
      </c>
      <c r="AQ451" s="174" t="str">
        <f t="shared" si="228"/>
        <v>0.892432479051706+0.127306740649567i</v>
      </c>
      <c r="AR451" s="174" t="str">
        <f t="shared" si="229"/>
        <v>0.914788531572818-0.130495862792766i</v>
      </c>
    </row>
    <row r="452" spans="7:44" x14ac:dyDescent="0.2">
      <c r="G452" s="703">
        <v>48699.25</v>
      </c>
      <c r="H452" s="691">
        <f t="shared" si="221"/>
        <v>48.699249999999999</v>
      </c>
      <c r="I452" s="692">
        <f t="shared" si="201"/>
        <v>47.523412337138595</v>
      </c>
      <c r="J452" s="693">
        <f t="shared" si="202"/>
        <v>1.5497525136164381</v>
      </c>
      <c r="K452" s="693">
        <f t="shared" si="203"/>
        <v>1.0003461752573615</v>
      </c>
      <c r="L452" s="694">
        <f t="shared" si="204"/>
        <v>2.6308759850243234E-2</v>
      </c>
      <c r="M452" s="693">
        <f t="shared" si="205"/>
        <v>1.0019296663460799</v>
      </c>
      <c r="N452" s="694">
        <f t="shared" si="206"/>
        <v>-6.2073640732696299E-2</v>
      </c>
      <c r="O452" s="692">
        <f t="shared" si="207"/>
        <v>88124.086581329029</v>
      </c>
      <c r="P452" s="695">
        <f t="shared" si="208"/>
        <v>1.5707849791595472</v>
      </c>
      <c r="Q452" s="704">
        <f t="shared" si="230"/>
        <v>36.731984044887696</v>
      </c>
      <c r="R452" s="705">
        <f t="shared" si="231"/>
        <v>1.5435687322699447</v>
      </c>
      <c r="S452" s="692">
        <f t="shared" si="209"/>
        <v>1.0295249962293589</v>
      </c>
      <c r="T452" s="695">
        <f t="shared" si="210"/>
        <v>0.24006833322925586</v>
      </c>
      <c r="U452" s="696">
        <f t="shared" si="222"/>
        <v>0.89419962286698262</v>
      </c>
      <c r="V452" s="697">
        <f t="shared" si="223"/>
        <v>-0.57930784751621045</v>
      </c>
      <c r="W452" s="698">
        <f t="shared" si="211"/>
        <v>-5.4792973167343195</v>
      </c>
      <c r="X452" s="699">
        <f t="shared" si="212"/>
        <v>-139.34962827981937</v>
      </c>
      <c r="Y452" s="702">
        <f t="shared" si="213"/>
        <v>40.65037172018063</v>
      </c>
      <c r="AA452" s="174">
        <f t="shared" si="214"/>
        <v>48699.25</v>
      </c>
      <c r="AB452" s="174">
        <f t="shared" si="215"/>
        <v>2371616950.5625</v>
      </c>
      <c r="AD452" s="701">
        <f t="shared" si="216"/>
        <v>27.354706928873213</v>
      </c>
      <c r="AE452" s="702">
        <f t="shared" si="217"/>
        <v>-15.314278387236008</v>
      </c>
      <c r="AG452" s="701">
        <f t="shared" si="218"/>
        <v>-5.5034405843593888</v>
      </c>
      <c r="AH452" s="702">
        <f t="shared" si="219"/>
        <v>-57.651560413754623</v>
      </c>
      <c r="AJ452" s="174">
        <f t="shared" si="220"/>
        <v>0</v>
      </c>
      <c r="AK452" s="174">
        <f t="shared" si="232"/>
        <v>0</v>
      </c>
      <c r="AM452" s="174" t="str">
        <f t="shared" si="224"/>
        <v>0.358425279467329+0.767060543877356i</v>
      </c>
      <c r="AN452" s="174" t="str">
        <f t="shared" si="225"/>
        <v>0.8742468906315i</v>
      </c>
      <c r="AO452" s="174" t="str">
        <f t="shared" si="226"/>
        <v>0.877395792993076-0.409981760653933i</v>
      </c>
      <c r="AP452" s="174" t="str">
        <f t="shared" si="227"/>
        <v>0.106929120088778-0.127843423979559i</v>
      </c>
      <c r="AQ452" s="174" t="str">
        <f t="shared" si="228"/>
        <v>0.893070879911222+0.127843423979559i</v>
      </c>
      <c r="AR452" s="174" t="str">
        <f t="shared" si="229"/>
        <v>0.914006862594135-0.130840417578574i</v>
      </c>
    </row>
    <row r="453" spans="7:44" x14ac:dyDescent="0.2">
      <c r="G453" s="703">
        <v>48978</v>
      </c>
      <c r="H453" s="691">
        <f t="shared" si="221"/>
        <v>48.978000000000002</v>
      </c>
      <c r="I453" s="692">
        <f t="shared" si="201"/>
        <v>47.795311849820628</v>
      </c>
      <c r="J453" s="693">
        <f t="shared" si="202"/>
        <v>1.5498722458641798</v>
      </c>
      <c r="K453" s="693">
        <f t="shared" si="203"/>
        <v>1.000350148853858</v>
      </c>
      <c r="L453" s="694">
        <f t="shared" si="204"/>
        <v>2.6459278682279479E-2</v>
      </c>
      <c r="M453" s="693">
        <f t="shared" si="205"/>
        <v>1.0019517984532338</v>
      </c>
      <c r="N453" s="694">
        <f t="shared" si="206"/>
        <v>-6.2428024700443167E-2</v>
      </c>
      <c r="O453" s="692">
        <f t="shared" si="207"/>
        <v>88628.500697180731</v>
      </c>
      <c r="P453" s="695">
        <f t="shared" si="208"/>
        <v>1.5707850437426938</v>
      </c>
      <c r="Q453" s="704">
        <f t="shared" si="230"/>
        <v>36.94207913623724</v>
      </c>
      <c r="R453" s="705">
        <f t="shared" si="231"/>
        <v>1.5437236175945903</v>
      </c>
      <c r="S453" s="692">
        <f t="shared" si="209"/>
        <v>1.0298590456067926</v>
      </c>
      <c r="T453" s="695">
        <f t="shared" si="210"/>
        <v>0.24138984237754868</v>
      </c>
      <c r="U453" s="696">
        <f t="shared" si="222"/>
        <v>0.89316526819482167</v>
      </c>
      <c r="V453" s="697">
        <f t="shared" si="223"/>
        <v>-0.58229418693054857</v>
      </c>
      <c r="W453" s="698">
        <f t="shared" si="211"/>
        <v>-5.5415321013929404</v>
      </c>
      <c r="X453" s="699">
        <f t="shared" si="212"/>
        <v>-139.60612001079704</v>
      </c>
      <c r="Y453" s="702">
        <f t="shared" si="213"/>
        <v>40.393879989202958</v>
      </c>
      <c r="AA453" s="174">
        <f t="shared" si="214"/>
        <v>48978</v>
      </c>
      <c r="AB453" s="174">
        <f t="shared" si="215"/>
        <v>2398844484</v>
      </c>
      <c r="AD453" s="701">
        <f t="shared" si="216"/>
        <v>27.351852545908951</v>
      </c>
      <c r="AE453" s="702">
        <f t="shared" si="217"/>
        <v>-15.381124709028517</v>
      </c>
      <c r="AG453" s="701">
        <f t="shared" si="218"/>
        <v>-5.5427147579928171</v>
      </c>
      <c r="AH453" s="702">
        <f t="shared" si="219"/>
        <v>-57.498996533278458</v>
      </c>
      <c r="AJ453" s="174">
        <f t="shared" si="220"/>
        <v>0</v>
      </c>
      <c r="AK453" s="174">
        <f t="shared" si="232"/>
        <v>0</v>
      </c>
      <c r="AM453" s="174" t="str">
        <f t="shared" si="224"/>
        <v>0.362271750327505+0.770261435857759i</v>
      </c>
      <c r="AN453" s="174" t="str">
        <f t="shared" si="225"/>
        <v>0.879250998924i</v>
      </c>
      <c r="AO453" s="174" t="str">
        <f t="shared" si="226"/>
        <v>0.876042719087474-0.412023131928018i</v>
      </c>
      <c r="AP453" s="174" t="str">
        <f t="shared" si="227"/>
        <v>0.106288041612082-0.128376905976293i</v>
      </c>
      <c r="AQ453" s="174" t="str">
        <f t="shared" si="228"/>
        <v>0.893711958387918+0.128376905976293i</v>
      </c>
      <c r="AR453" s="174" t="str">
        <f t="shared" si="229"/>
        <v>0.91322437908423-0.131179760043076i</v>
      </c>
    </row>
    <row r="454" spans="7:44" x14ac:dyDescent="0.2">
      <c r="G454" s="703">
        <v>49263.25</v>
      </c>
      <c r="H454" s="691">
        <f t="shared" si="221"/>
        <v>49.263249999999999</v>
      </c>
      <c r="I454" s="692">
        <f t="shared" si="201"/>
        <v>48.07355232141699</v>
      </c>
      <c r="J454" s="693">
        <f t="shared" si="202"/>
        <v>1.5499933679426319</v>
      </c>
      <c r="K454" s="693">
        <f t="shared" si="203"/>
        <v>1.0003542385707611</v>
      </c>
      <c r="L454" s="694">
        <f t="shared" si="204"/>
        <v>2.6613306128974411E-2</v>
      </c>
      <c r="M454" s="693">
        <f t="shared" si="205"/>
        <v>1.0019745769082335</v>
      </c>
      <c r="N454" s="694">
        <f t="shared" si="206"/>
        <v>-6.2790656075962681E-2</v>
      </c>
      <c r="O454" s="692">
        <f t="shared" si="207"/>
        <v>89144.676935913667</v>
      </c>
      <c r="P454" s="695">
        <f t="shared" si="208"/>
        <v>1.5707851090751808</v>
      </c>
      <c r="Q454" s="704">
        <f t="shared" si="230"/>
        <v>37.1570742129135</v>
      </c>
      <c r="R454" s="705">
        <f t="shared" si="231"/>
        <v>1.5438803013328255</v>
      </c>
      <c r="S454" s="692">
        <f t="shared" si="209"/>
        <v>1.0302027451820446</v>
      </c>
      <c r="T454" s="695">
        <f t="shared" si="210"/>
        <v>0.24274127733759396</v>
      </c>
      <c r="U454" s="696">
        <f t="shared" si="222"/>
        <v>0.8921041605611123</v>
      </c>
      <c r="V454" s="697">
        <f t="shared" si="223"/>
        <v>-0.58534529415576164</v>
      </c>
      <c r="W454" s="698">
        <f t="shared" si="211"/>
        <v>-5.6049777141247024</v>
      </c>
      <c r="X454" s="699">
        <f t="shared" si="212"/>
        <v>-139.86828543240941</v>
      </c>
      <c r="Y454" s="702">
        <f t="shared" si="213"/>
        <v>40.131714567590592</v>
      </c>
      <c r="AA454" s="174">
        <f t="shared" si="214"/>
        <v>49263.25</v>
      </c>
      <c r="AB454" s="174">
        <f t="shared" si="215"/>
        <v>2426867800.5625</v>
      </c>
      <c r="AD454" s="701">
        <f t="shared" si="216"/>
        <v>27.348917501218722</v>
      </c>
      <c r="AE454" s="702">
        <f t="shared" si="217"/>
        <v>-15.449582654960324</v>
      </c>
      <c r="AG454" s="701">
        <f t="shared" si="218"/>
        <v>-5.5825748522461671</v>
      </c>
      <c r="AH454" s="702">
        <f t="shared" si="219"/>
        <v>-57.343072874866358</v>
      </c>
      <c r="AJ454" s="174">
        <f t="shared" si="220"/>
        <v>0</v>
      </c>
      <c r="AK454" s="174">
        <f t="shared" si="232"/>
        <v>0</v>
      </c>
      <c r="AM454" s="174" t="str">
        <f t="shared" si="224"/>
        <v>0.366224446196531+0.773516998779669i</v>
      </c>
      <c r="AN454" s="174" t="str">
        <f t="shared" si="225"/>
        <v>0.8843717949435i</v>
      </c>
      <c r="AO454" s="174" t="str">
        <f t="shared" si="226"/>
        <v>0.874651366317134-0.414106881619769i</v>
      </c>
      <c r="AP454" s="174" t="str">
        <f t="shared" si="227"/>
        <v>0.105629258967245-0.128919499796611i</v>
      </c>
      <c r="AQ454" s="174" t="str">
        <f t="shared" si="228"/>
        <v>0.894370741032755+0.128919499796611i</v>
      </c>
      <c r="AR454" s="174" t="str">
        <f t="shared" si="229"/>
        <v>0.912422846490201-0.131521629203441i</v>
      </c>
    </row>
    <row r="455" spans="7:44" x14ac:dyDescent="0.2">
      <c r="G455" s="703">
        <v>49548.5</v>
      </c>
      <c r="H455" s="691">
        <f t="shared" si="221"/>
        <v>49.548499999999997</v>
      </c>
      <c r="I455" s="692">
        <f t="shared" si="201"/>
        <v>48.351793490162279</v>
      </c>
      <c r="J455" s="693">
        <f t="shared" si="202"/>
        <v>1.5501130960249494</v>
      </c>
      <c r="K455" s="693">
        <f t="shared" si="203"/>
        <v>1.0003583520203283</v>
      </c>
      <c r="L455" s="694">
        <f t="shared" si="204"/>
        <v>2.6767332312609169E-2</v>
      </c>
      <c r="M455" s="693">
        <f t="shared" si="205"/>
        <v>1.0019974871184065</v>
      </c>
      <c r="N455" s="694">
        <f t="shared" si="206"/>
        <v>-6.3153270916366661E-2</v>
      </c>
      <c r="O455" s="692">
        <f t="shared" si="207"/>
        <v>89660.853174646967</v>
      </c>
      <c r="P455" s="695">
        <f t="shared" si="208"/>
        <v>1.5707851736554315</v>
      </c>
      <c r="Q455" s="704">
        <f t="shared" si="230"/>
        <v>37.372070191292821</v>
      </c>
      <c r="R455" s="705">
        <f t="shared" si="231"/>
        <v>1.5440351823181999</v>
      </c>
      <c r="S455" s="692">
        <f t="shared" si="209"/>
        <v>1.0305483250382976</v>
      </c>
      <c r="T455" s="695">
        <f t="shared" si="210"/>
        <v>0.24409180839350886</v>
      </c>
      <c r="U455" s="696">
        <f t="shared" si="222"/>
        <v>0.89104043013879719</v>
      </c>
      <c r="V455" s="697">
        <f t="shared" si="223"/>
        <v>-0.5883914716367431</v>
      </c>
      <c r="W455" s="698">
        <f t="shared" si="211"/>
        <v>-5.6681832415944111</v>
      </c>
      <c r="X455" s="699">
        <f t="shared" si="212"/>
        <v>-140.13013911250209</v>
      </c>
      <c r="Y455" s="702">
        <f t="shared" si="213"/>
        <v>39.869860887497907</v>
      </c>
      <c r="AA455" s="174">
        <f t="shared" si="214"/>
        <v>49548.5</v>
      </c>
      <c r="AB455" s="174">
        <f t="shared" si="215"/>
        <v>2455053852.25</v>
      </c>
      <c r="AD455" s="701">
        <f t="shared" si="216"/>
        <v>27.345968208019464</v>
      </c>
      <c r="AE455" s="702">
        <f t="shared" si="217"/>
        <v>-15.518092058030906</v>
      </c>
      <c r="AG455" s="701">
        <f t="shared" si="218"/>
        <v>-5.6221049015575666</v>
      </c>
      <c r="AH455" s="702">
        <f t="shared" si="219"/>
        <v>-57.187350924873556</v>
      </c>
      <c r="AJ455" s="174">
        <f t="shared" si="220"/>
        <v>0</v>
      </c>
      <c r="AK455" s="174">
        <f t="shared" si="232"/>
        <v>0</v>
      </c>
      <c r="AM455" s="174" t="str">
        <f t="shared" si="224"/>
        <v>0.370193761241576+0.776752278156277i</v>
      </c>
      <c r="AN455" s="174" t="str">
        <f t="shared" si="225"/>
        <v>0.889492590963i</v>
      </c>
      <c r="AO455" s="174" t="str">
        <f t="shared" si="226"/>
        <v>0.873253230041336-0.416185322961251i</v>
      </c>
      <c r="AP455" s="174" t="str">
        <f t="shared" si="227"/>
        <v>0.104967706459737-0.129458713026046i</v>
      </c>
      <c r="AQ455" s="174" t="str">
        <f t="shared" si="228"/>
        <v>0.895032293540263+0.129458713026046i</v>
      </c>
      <c r="AR455" s="174" t="str">
        <f t="shared" si="229"/>
        <v>0.911620542729175-0.131858060409209i</v>
      </c>
    </row>
    <row r="456" spans="7:44" x14ac:dyDescent="0.2">
      <c r="G456" s="703">
        <v>49833.75</v>
      </c>
      <c r="H456" s="691">
        <f t="shared" si="221"/>
        <v>49.833750000000002</v>
      </c>
      <c r="I456" s="692">
        <f t="shared" si="201"/>
        <v>48.630035344090082</v>
      </c>
      <c r="J456" s="693">
        <f t="shared" si="202"/>
        <v>1.5502314540353559</v>
      </c>
      <c r="K456" s="693">
        <f t="shared" si="203"/>
        <v>1.0003624892022669</v>
      </c>
      <c r="L456" s="694">
        <f t="shared" si="204"/>
        <v>2.6921357225891122E-2</v>
      </c>
      <c r="M456" s="693">
        <f t="shared" si="205"/>
        <v>1.0020205290747162</v>
      </c>
      <c r="N456" s="694">
        <f t="shared" si="206"/>
        <v>-6.3515869127432456E-2</v>
      </c>
      <c r="O456" s="692">
        <f t="shared" si="207"/>
        <v>90177.029413380646</v>
      </c>
      <c r="P456" s="695">
        <f t="shared" si="208"/>
        <v>1.5707852374963631</v>
      </c>
      <c r="Q456" s="704">
        <f t="shared" si="230"/>
        <v>37.587067055902111</v>
      </c>
      <c r="R456" s="705">
        <f t="shared" si="231"/>
        <v>1.5441882914782905</v>
      </c>
      <c r="S456" s="692">
        <f t="shared" si="209"/>
        <v>1.0308957832846126</v>
      </c>
      <c r="T456" s="695">
        <f t="shared" si="210"/>
        <v>0.24544143153024894</v>
      </c>
      <c r="U456" s="696">
        <f t="shared" si="222"/>
        <v>0.88997411810301241</v>
      </c>
      <c r="V456" s="697">
        <f t="shared" si="223"/>
        <v>-0.59143271475881776</v>
      </c>
      <c r="W456" s="698">
        <f t="shared" si="211"/>
        <v>-5.7311517211936094</v>
      </c>
      <c r="X456" s="699">
        <f t="shared" si="212"/>
        <v>-140.39168015112543</v>
      </c>
      <c r="Y456" s="702">
        <f t="shared" si="213"/>
        <v>39.608319848874572</v>
      </c>
      <c r="AA456" s="174">
        <f t="shared" si="214"/>
        <v>49833.75</v>
      </c>
      <c r="AB456" s="174">
        <f t="shared" si="215"/>
        <v>2483402639.0625</v>
      </c>
      <c r="AD456" s="701">
        <f t="shared" si="216"/>
        <v>27.34300468310424</v>
      </c>
      <c r="AE456" s="702">
        <f t="shared" si="217"/>
        <v>-15.586650916915618</v>
      </c>
      <c r="AG456" s="701">
        <f t="shared" si="218"/>
        <v>-5.6613085219046342</v>
      </c>
      <c r="AH456" s="702">
        <f t="shared" si="219"/>
        <v>-57.031832313477771</v>
      </c>
      <c r="AJ456" s="174">
        <f t="shared" si="220"/>
        <v>0</v>
      </c>
      <c r="AK456" s="174">
        <f t="shared" si="232"/>
        <v>0</v>
      </c>
      <c r="AM456" s="174" t="str">
        <f t="shared" si="224"/>
        <v>0.374179591377297+0.779967189150488i</v>
      </c>
      <c r="AN456" s="174" t="str">
        <f t="shared" si="225"/>
        <v>0.8946133869825i</v>
      </c>
      <c r="AO456" s="174" t="str">
        <f t="shared" si="226"/>
        <v>0.871848331916081-0.418258430761238i</v>
      </c>
      <c r="AP456" s="174" t="str">
        <f t="shared" si="227"/>
        <v>0.104303401437117-0.129994531525081i</v>
      </c>
      <c r="AQ456" s="174" t="str">
        <f t="shared" si="228"/>
        <v>0.895696598562883+0.129994531525081i</v>
      </c>
      <c r="AR456" s="174" t="str">
        <f t="shared" si="229"/>
        <v>0.910817508751132-0.132189064405197i</v>
      </c>
    </row>
    <row r="457" spans="7:44" x14ac:dyDescent="0.2">
      <c r="G457" s="703">
        <v>50119</v>
      </c>
      <c r="H457" s="691">
        <f t="shared" si="221"/>
        <v>50.119</v>
      </c>
      <c r="I457" s="692">
        <f t="shared" si="201"/>
        <v>48.908277871506272</v>
      </c>
      <c r="J457" s="693">
        <f t="shared" si="202"/>
        <v>1.550348465353804</v>
      </c>
      <c r="K457" s="693">
        <f t="shared" si="203"/>
        <v>1.0003666501162822</v>
      </c>
      <c r="L457" s="694">
        <f t="shared" si="204"/>
        <v>2.7075380861528001E-2</v>
      </c>
      <c r="M457" s="693">
        <f t="shared" si="205"/>
        <v>1.0020437027680733</v>
      </c>
      <c r="N457" s="694">
        <f t="shared" si="206"/>
        <v>-6.3878450614963542E-2</v>
      </c>
      <c r="O457" s="692">
        <f t="shared" si="207"/>
        <v>90693.205652114702</v>
      </c>
      <c r="P457" s="695">
        <f t="shared" si="208"/>
        <v>1.5707853006105994</v>
      </c>
      <c r="Q457" s="704">
        <f t="shared" si="230"/>
        <v>37.802064791620261</v>
      </c>
      <c r="R457" s="705">
        <f t="shared" si="231"/>
        <v>1.5443396590374139</v>
      </c>
      <c r="S457" s="692">
        <f t="shared" si="209"/>
        <v>1.0312451180223268</v>
      </c>
      <c r="T457" s="695">
        <f t="shared" si="210"/>
        <v>0.24679014275139619</v>
      </c>
      <c r="U457" s="696">
        <f t="shared" si="222"/>
        <v>0.88890526544421544</v>
      </c>
      <c r="V457" s="697">
        <f t="shared" si="223"/>
        <v>-0.59446901915818751</v>
      </c>
      <c r="W457" s="698">
        <f t="shared" si="211"/>
        <v>-5.7938861334304628</v>
      </c>
      <c r="X457" s="699">
        <f t="shared" si="212"/>
        <v>-140.65290767286507</v>
      </c>
      <c r="Y457" s="702">
        <f t="shared" si="213"/>
        <v>39.347092327134931</v>
      </c>
      <c r="AA457" s="174">
        <f t="shared" si="214"/>
        <v>50119</v>
      </c>
      <c r="AB457" s="174">
        <f t="shared" si="215"/>
        <v>2511914161</v>
      </c>
      <c r="AD457" s="701">
        <f t="shared" si="216"/>
        <v>27.340026943784757</v>
      </c>
      <c r="AE457" s="702">
        <f t="shared" si="217"/>
        <v>-15.655257271634081</v>
      </c>
      <c r="AG457" s="701">
        <f t="shared" si="218"/>
        <v>-5.700189271615999</v>
      </c>
      <c r="AH457" s="702">
        <f t="shared" si="219"/>
        <v>-56.876518625299603</v>
      </c>
      <c r="AJ457" s="174">
        <f t="shared" si="220"/>
        <v>0</v>
      </c>
      <c r="AK457" s="174">
        <f t="shared" si="232"/>
        <v>0</v>
      </c>
      <c r="AM457" s="174" t="str">
        <f t="shared" si="224"/>
        <v>0.378181832085287+0.783161647459315i</v>
      </c>
      <c r="AN457" s="174" t="str">
        <f t="shared" si="225"/>
        <v>0.899734183002i</v>
      </c>
      <c r="AO457" s="174" t="str">
        <f t="shared" si="226"/>
        <v>0.870436693697981-0.420326179920683i</v>
      </c>
      <c r="AP457" s="174" t="str">
        <f t="shared" si="227"/>
        <v>0.103636361319119-0.130526941243219i</v>
      </c>
      <c r="AQ457" s="174" t="str">
        <f t="shared" si="228"/>
        <v>0.896363638680881+0.130526941243219i</v>
      </c>
      <c r="AR457" s="174" t="str">
        <f t="shared" si="229"/>
        <v>0.910013785221824-0.132514652255385i</v>
      </c>
    </row>
    <row r="458" spans="7:44" x14ac:dyDescent="0.2">
      <c r="G458" s="703">
        <v>50410.75</v>
      </c>
      <c r="H458" s="691">
        <f t="shared" si="221"/>
        <v>50.41075</v>
      </c>
      <c r="I458" s="692">
        <f t="shared" si="201"/>
        <v>49.192861404214035</v>
      </c>
      <c r="J458" s="693">
        <f t="shared" si="202"/>
        <v>1.5504667737548377</v>
      </c>
      <c r="K458" s="693">
        <f t="shared" si="203"/>
        <v>1.0003709303942707</v>
      </c>
      <c r="L458" s="694">
        <f t="shared" si="204"/>
        <v>2.7232912908957102E-2</v>
      </c>
      <c r="M458" s="693">
        <f t="shared" si="205"/>
        <v>1.0020675407856185</v>
      </c>
      <c r="N458" s="694">
        <f t="shared" si="206"/>
        <v>-6.4249276859688342E-2</v>
      </c>
      <c r="O458" s="692">
        <f t="shared" si="207"/>
        <v>91221.14401372998</v>
      </c>
      <c r="P458" s="695">
        <f t="shared" si="208"/>
        <v>1.5707853644241565</v>
      </c>
      <c r="Q458" s="704">
        <f t="shared" si="230"/>
        <v>38.021962572668087</v>
      </c>
      <c r="R458" s="705">
        <f t="shared" si="231"/>
        <v>1.5444927050179555</v>
      </c>
      <c r="S458" s="692">
        <f t="shared" si="209"/>
        <v>1.0316043521918743</v>
      </c>
      <c r="T458" s="695">
        <f t="shared" si="210"/>
        <v>0.24816863962614183</v>
      </c>
      <c r="U458" s="696">
        <f t="shared" si="222"/>
        <v>0.88780947121460663</v>
      </c>
      <c r="V458" s="697">
        <f t="shared" si="223"/>
        <v>-0.59756939881330562</v>
      </c>
      <c r="W458" s="698">
        <f t="shared" si="211"/>
        <v>-5.8578109961939919</v>
      </c>
      <c r="X458" s="699">
        <f t="shared" si="212"/>
        <v>-140.91976259214226</v>
      </c>
      <c r="Y458" s="702">
        <f t="shared" si="213"/>
        <v>39.080237407857737</v>
      </c>
      <c r="AA458" s="174">
        <f t="shared" si="214"/>
        <v>50410.75</v>
      </c>
      <c r="AB458" s="174">
        <f t="shared" si="215"/>
        <v>2541243715.5625</v>
      </c>
      <c r="AD458" s="701">
        <f t="shared" si="216"/>
        <v>27.336966665254451</v>
      </c>
      <c r="AE458" s="702">
        <f t="shared" si="217"/>
        <v>-15.725474092200237</v>
      </c>
      <c r="AG458" s="701">
        <f t="shared" si="218"/>
        <v>-5.7396256574899605</v>
      </c>
      <c r="AH458" s="702">
        <f t="shared" si="219"/>
        <v>-56.717879385351686</v>
      </c>
      <c r="AJ458" s="174">
        <f t="shared" si="220"/>
        <v>0</v>
      </c>
      <c r="AK458" s="174">
        <f t="shared" si="232"/>
        <v>0</v>
      </c>
      <c r="AM458" s="174" t="str">
        <f t="shared" si="224"/>
        <v>0.382292138332831+0.786407653596132i</v>
      </c>
      <c r="AN458" s="174" t="str">
        <f t="shared" si="225"/>
        <v>0.9049716667485i</v>
      </c>
      <c r="AO458" s="174" t="str">
        <f t="shared" si="226"/>
        <v>0.868985938998112-0.422435477683384i</v>
      </c>
      <c r="AP458" s="174" t="str">
        <f t="shared" si="227"/>
        <v>0.102951310277861-0.131067942266022i</v>
      </c>
      <c r="AQ458" s="174" t="str">
        <f t="shared" si="228"/>
        <v>0.897048689722139+0.131067942266022i</v>
      </c>
      <c r="AR458" s="174" t="str">
        <f t="shared" si="229"/>
        <v>0.909191076007485-0.132842068467703i</v>
      </c>
    </row>
    <row r="459" spans="7:44" x14ac:dyDescent="0.2">
      <c r="G459" s="703">
        <v>50702.5</v>
      </c>
      <c r="H459" s="691">
        <f t="shared" si="221"/>
        <v>50.702500000000001</v>
      </c>
      <c r="I459" s="692">
        <f t="shared" si="201"/>
        <v>49.477445617547517</v>
      </c>
      <c r="J459" s="693">
        <f t="shared" si="202"/>
        <v>1.5505837211857278</v>
      </c>
      <c r="K459" s="693">
        <f t="shared" si="203"/>
        <v>1.0003752354975972</v>
      </c>
      <c r="L459" s="694">
        <f t="shared" si="204"/>
        <v>2.7390443604420799E-2</v>
      </c>
      <c r="M459" s="693">
        <f t="shared" si="205"/>
        <v>1.0020915165930124</v>
      </c>
      <c r="N459" s="694">
        <f t="shared" si="206"/>
        <v>-6.4620085410797654E-2</v>
      </c>
      <c r="O459" s="692">
        <f t="shared" si="207"/>
        <v>91749.08237534565</v>
      </c>
      <c r="P459" s="695">
        <f t="shared" si="208"/>
        <v>1.5707854275033273</v>
      </c>
      <c r="Q459" s="704">
        <f t="shared" si="230"/>
        <v>38.241861234064949</v>
      </c>
      <c r="R459" s="705">
        <f t="shared" si="231"/>
        <v>1.5446439909095235</v>
      </c>
      <c r="S459" s="692">
        <f t="shared" si="209"/>
        <v>1.0319655453043743</v>
      </c>
      <c r="T459" s="695">
        <f t="shared" si="210"/>
        <v>0.24954617415540056</v>
      </c>
      <c r="U459" s="696">
        <f t="shared" si="222"/>
        <v>0.88671110539141818</v>
      </c>
      <c r="V459" s="697">
        <f t="shared" si="223"/>
        <v>-0.60066460366549179</v>
      </c>
      <c r="W459" s="698">
        <f t="shared" si="211"/>
        <v>-5.9214971329832782</v>
      </c>
      <c r="X459" s="699">
        <f t="shared" si="212"/>
        <v>-141.18628776815609</v>
      </c>
      <c r="Y459" s="702">
        <f t="shared" si="213"/>
        <v>38.813712231843908</v>
      </c>
      <c r="AA459" s="174">
        <f t="shared" si="214"/>
        <v>50702.5</v>
      </c>
      <c r="AB459" s="174">
        <f t="shared" si="215"/>
        <v>2570743506.25</v>
      </c>
      <c r="AD459" s="701">
        <f t="shared" si="216"/>
        <v>27.333891555360267</v>
      </c>
      <c r="AE459" s="702">
        <f t="shared" si="217"/>
        <v>-15.795736578024135</v>
      </c>
      <c r="AG459" s="701">
        <f t="shared" si="218"/>
        <v>-5.7787316409010678</v>
      </c>
      <c r="AH459" s="702">
        <f t="shared" si="219"/>
        <v>-56.559457725618984</v>
      </c>
      <c r="AJ459" s="174">
        <f t="shared" si="220"/>
        <v>0</v>
      </c>
      <c r="AK459" s="174">
        <f t="shared" si="232"/>
        <v>0</v>
      </c>
      <c r="AM459" s="174" t="str">
        <f t="shared" si="224"/>
        <v>0.38641938903177+0.789632087648326i</v>
      </c>
      <c r="AN459" s="174" t="str">
        <f t="shared" si="225"/>
        <v>0.910209150495i</v>
      </c>
      <c r="AO459" s="174" t="str">
        <f t="shared" si="226"/>
        <v>0.867528179890193-0.424539116994839i</v>
      </c>
      <c r="AP459" s="174" t="str">
        <f t="shared" si="227"/>
        <v>0.102263435161372-0.131605347941388i</v>
      </c>
      <c r="AQ459" s="174" t="str">
        <f t="shared" si="228"/>
        <v>0.897736564838628+0.131605347941388i</v>
      </c>
      <c r="AR459" s="174" t="str">
        <f t="shared" si="229"/>
        <v>0.90836773058938-0.133163843297876i</v>
      </c>
    </row>
    <row r="460" spans="7:44" x14ac:dyDescent="0.2">
      <c r="G460" s="703">
        <v>50994.25</v>
      </c>
      <c r="H460" s="691">
        <f t="shared" si="221"/>
        <v>50.994250000000001</v>
      </c>
      <c r="I460" s="692">
        <f t="shared" si="201"/>
        <v>49.762030499829422</v>
      </c>
      <c r="J460" s="693">
        <f t="shared" si="202"/>
        <v>1.5506993309930706</v>
      </c>
      <c r="K460" s="693">
        <f t="shared" si="203"/>
        <v>1.0003795654259418</v>
      </c>
      <c r="L460" s="694">
        <f t="shared" si="204"/>
        <v>2.754797294011806E-2</v>
      </c>
      <c r="M460" s="693">
        <f t="shared" si="205"/>
        <v>1.0021156301803651</v>
      </c>
      <c r="N460" s="694">
        <f t="shared" si="206"/>
        <v>-6.4990876167593539E-2</v>
      </c>
      <c r="O460" s="692">
        <f t="shared" si="207"/>
        <v>92277.020736961669</v>
      </c>
      <c r="P460" s="695">
        <f t="shared" si="208"/>
        <v>1.570785489860717</v>
      </c>
      <c r="Q460" s="704">
        <f t="shared" si="230"/>
        <v>38.461760760711101</v>
      </c>
      <c r="R460" s="705">
        <f t="shared" si="231"/>
        <v>1.5447935468942915</v>
      </c>
      <c r="S460" s="692">
        <f t="shared" si="209"/>
        <v>1.0323286953036308</v>
      </c>
      <c r="T460" s="695">
        <f t="shared" si="210"/>
        <v>0.2509227421240256</v>
      </c>
      <c r="U460" s="696">
        <f t="shared" si="222"/>
        <v>0.88561021121656525</v>
      </c>
      <c r="V460" s="697">
        <f t="shared" si="223"/>
        <v>-0.60375462984862649</v>
      </c>
      <c r="W460" s="698">
        <f t="shared" si="211"/>
        <v>-5.9849475565806465</v>
      </c>
      <c r="X460" s="699">
        <f t="shared" si="212"/>
        <v>-141.45248234163398</v>
      </c>
      <c r="Y460" s="702">
        <f t="shared" si="213"/>
        <v>38.547517658366019</v>
      </c>
      <c r="AA460" s="174">
        <f t="shared" si="214"/>
        <v>50994.25</v>
      </c>
      <c r="AB460" s="174">
        <f t="shared" si="215"/>
        <v>2600413533.0625</v>
      </c>
      <c r="AD460" s="701">
        <f t="shared" si="216"/>
        <v>27.330801634213039</v>
      </c>
      <c r="AE460" s="702">
        <f t="shared" si="217"/>
        <v>-15.86604275900671</v>
      </c>
      <c r="AG460" s="701">
        <f t="shared" si="218"/>
        <v>-5.8175108500582038</v>
      </c>
      <c r="AH460" s="702">
        <f t="shared" si="219"/>
        <v>-56.401255199952637</v>
      </c>
      <c r="AJ460" s="174">
        <f t="shared" si="220"/>
        <v>0</v>
      </c>
      <c r="AK460" s="174">
        <f t="shared" si="232"/>
        <v>0</v>
      </c>
      <c r="AM460" s="174" t="str">
        <f t="shared" si="224"/>
        <v>0.390563470966776+0.79283486116589i</v>
      </c>
      <c r="AN460" s="174" t="str">
        <f t="shared" si="225"/>
        <v>0.9154466342415i</v>
      </c>
      <c r="AO460" s="174" t="str">
        <f t="shared" si="226"/>
        <v>0.866063439976268-0.426637071302775i</v>
      </c>
      <c r="AP460" s="174" t="str">
        <f t="shared" si="227"/>
        <v>0.101572754838871-0.132139143527648i</v>
      </c>
      <c r="AQ460" s="174" t="str">
        <f t="shared" si="228"/>
        <v>0.898427245161129+0.132139143527648i</v>
      </c>
      <c r="AR460" s="174" t="str">
        <f t="shared" si="229"/>
        <v>0.9075437915418-0.133479989586313i</v>
      </c>
    </row>
    <row r="461" spans="7:44" x14ac:dyDescent="0.2">
      <c r="G461" s="703">
        <v>51286</v>
      </c>
      <c r="H461" s="691">
        <f t="shared" si="221"/>
        <v>51.286000000000001</v>
      </c>
      <c r="I461" s="692">
        <f t="shared" ref="I461:I524" si="233">SQRT(1+(G461/pole1)^2)</f>
        <v>50.046616039648043</v>
      </c>
      <c r="J461" s="693">
        <f t="shared" ref="J461:J524" si="234">ATAN(G461/pole1)</f>
        <v>1.5508136259925731</v>
      </c>
      <c r="K461" s="693">
        <f t="shared" ref="K461:K524" si="235">SQRT(1+(G461/Zero1)^2)</f>
        <v>1.0003839201789815</v>
      </c>
      <c r="L461" s="694">
        <f t="shared" ref="L461:L524" si="236">ATAN(G461/Zero1)</f>
        <v>2.7705500908248259E-2</v>
      </c>
      <c r="M461" s="693">
        <f t="shared" ref="M461:M524" si="237">SQRT(1+(G461/z_RHP)^2)</f>
        <v>1.0021398815377307</v>
      </c>
      <c r="N461" s="694">
        <f t="shared" ref="N461:N524" si="238">-ATAN(G461/z_RHP)</f>
        <v>-6.536164902940729E-2</v>
      </c>
      <c r="O461" s="692">
        <f t="shared" ref="O461:O524" si="239">SQRT(1+(G461/Pole2)^2)</f>
        <v>92804.959098578052</v>
      </c>
      <c r="P461" s="695">
        <f t="shared" ref="P461:P524" si="240">ATAN(G461/Pole2)</f>
        <v>1.5707855515086433</v>
      </c>
      <c r="Q461" s="704">
        <f t="shared" si="230"/>
        <v>38.681661137850099</v>
      </c>
      <c r="R461" s="705">
        <f t="shared" si="231"/>
        <v>1.5449414024684187</v>
      </c>
      <c r="S461" s="692">
        <f t="shared" ref="S461:S524" si="241">SQRT(1+(G461/pole4)^2)</f>
        <v>1.032693800125208</v>
      </c>
      <c r="T461" s="695">
        <f t="shared" ref="T461:T524" si="242">ATAN(G461/pole4)</f>
        <v>0.25229833933743562</v>
      </c>
      <c r="U461" s="696">
        <f t="shared" si="222"/>
        <v>0.88450683171962097</v>
      </c>
      <c r="V461" s="697">
        <f t="shared" si="223"/>
        <v>-0.60683947376327618</v>
      </c>
      <c r="W461" s="698">
        <f t="shared" ref="W461:W524" si="243">20*LOG10(((K461*Q461*M461*U461)/(I461*O461*S461))*Adc)</f>
        <v>-6.0481652231336902</v>
      </c>
      <c r="X461" s="699">
        <f t="shared" ref="X461:X524" si="244">((L461+R461+N461+V461)-(J461+P461+T461))*radconv</f>
        <v>-141.71834547863492</v>
      </c>
      <c r="Y461" s="702">
        <f t="shared" ref="Y461:Y524" si="245">IF(X461&gt;0,X461,X461+180)</f>
        <v>38.281654521365084</v>
      </c>
      <c r="AA461" s="174">
        <f t="shared" ref="AA461:AA524" si="246">IF(W461&lt;0,G461,1000000000)</f>
        <v>51286</v>
      </c>
      <c r="AB461" s="174">
        <f t="shared" ref="AB461:AB524" si="247">G461^2</f>
        <v>2630253796</v>
      </c>
      <c r="AD461" s="701">
        <f t="shared" ref="AD461:AD524" si="248">20*LOG10((Q461/(O461*S461))*Aea)</f>
        <v>27.327696922428864</v>
      </c>
      <c r="AE461" s="702">
        <f t="shared" ref="AE461:AE524" si="249">(R461-(P461+T461))*radconv</f>
        <v>-15.936390705516462</v>
      </c>
      <c r="AG461" s="701">
        <f t="shared" ref="AG461:AG524" si="250">20*LOG10((K461*M461/(I461*U461))*Acs*Am)</f>
        <v>-5.8559668554883384</v>
      </c>
      <c r="AH461" s="702">
        <f t="shared" ref="AH461:AH524" si="251">(L461+N461-(J461+V461))*radconv</f>
        <v>-56.243273316507803</v>
      </c>
      <c r="AJ461" s="174">
        <f t="shared" ref="AJ461:AJ524" si="252">SUM((W462&lt;0)*(W461&gt;0))*G461</f>
        <v>0</v>
      </c>
      <c r="AK461" s="174">
        <f t="shared" si="232"/>
        <v>0</v>
      </c>
      <c r="AM461" s="174" t="str">
        <f t="shared" si="224"/>
        <v>0.394724270460818+0.796015886292988i</v>
      </c>
      <c r="AN461" s="174" t="str">
        <f t="shared" si="225"/>
        <v>0.920684117988i</v>
      </c>
      <c r="AO461" s="174" t="str">
        <f t="shared" si="226"/>
        <v>0.864591742966683-0.42872931415763i</v>
      </c>
      <c r="AP461" s="174" t="str">
        <f t="shared" si="227"/>
        <v>0.10087928825653-0.132669314382165i</v>
      </c>
      <c r="AQ461" s="174" t="str">
        <f t="shared" si="228"/>
        <v>0.89912071174347+0.132669314382165i</v>
      </c>
      <c r="AR461" s="174" t="str">
        <f t="shared" si="229"/>
        <v>0.906719301119837-0.133790520500173i</v>
      </c>
    </row>
    <row r="462" spans="7:44" x14ac:dyDescent="0.2">
      <c r="G462" s="703">
        <v>51584.75</v>
      </c>
      <c r="H462" s="691">
        <f t="shared" ref="H462:H525" si="253">G462/1000</f>
        <v>51.58475</v>
      </c>
      <c r="I462" s="692">
        <f t="shared" si="233"/>
        <v>50.338030351277396</v>
      </c>
      <c r="J462" s="693">
        <f t="shared" si="234"/>
        <v>1.5509293240731639</v>
      </c>
      <c r="K462" s="693">
        <f t="shared" si="235"/>
        <v>1.0003884051411778</v>
      </c>
      <c r="L462" s="694">
        <f t="shared" si="236"/>
        <v>2.7866807042403446E-2</v>
      </c>
      <c r="M462" s="693">
        <f t="shared" si="237"/>
        <v>1.0021648575189499</v>
      </c>
      <c r="N462" s="694">
        <f t="shared" si="238"/>
        <v>-6.5741299248895851E-2</v>
      </c>
      <c r="O462" s="692">
        <f t="shared" si="239"/>
        <v>93345.56436175885</v>
      </c>
      <c r="P462" s="695">
        <f t="shared" si="240"/>
        <v>1.5707856139130703</v>
      </c>
      <c r="Q462" s="704">
        <f t="shared" si="230"/>
        <v>38.906838482865922</v>
      </c>
      <c r="R462" s="705">
        <f t="shared" si="231"/>
        <v>1.54509107357561</v>
      </c>
      <c r="S462" s="692">
        <f t="shared" si="241"/>
        <v>1.0330696885330914</v>
      </c>
      <c r="T462" s="695">
        <f t="shared" si="242"/>
        <v>0.25370593112229944</v>
      </c>
      <c r="U462" s="696">
        <f t="shared" ref="U462:U525" si="254">IMABS(IMPRODUCT(AO462, AR462))</f>
        <v>0.88337444791663566</v>
      </c>
      <c r="V462" s="697">
        <f t="shared" ref="V462:V525" si="255">IMARGUMENT(IMPRODUCT(AO462, AR462))</f>
        <v>-0.60999295903446482</v>
      </c>
      <c r="W462" s="698">
        <f t="shared" si="243"/>
        <v>-6.11266150918539</v>
      </c>
      <c r="X462" s="699">
        <f t="shared" si="244"/>
        <v>-141.99024320333146</v>
      </c>
      <c r="Y462" s="702">
        <f t="shared" si="245"/>
        <v>38.00975679666854</v>
      </c>
      <c r="AA462" s="174">
        <f t="shared" si="246"/>
        <v>51584.75</v>
      </c>
      <c r="AB462" s="174">
        <f t="shared" si="247"/>
        <v>2660986432.5625</v>
      </c>
      <c r="AD462" s="701">
        <f t="shared" si="248"/>
        <v>27.324502413690837</v>
      </c>
      <c r="AE462" s="702">
        <f t="shared" si="249"/>
        <v>-16.008467826901985</v>
      </c>
      <c r="AG462" s="701">
        <f t="shared" si="250"/>
        <v>-5.8950142830352039</v>
      </c>
      <c r="AH462" s="702">
        <f t="shared" si="251"/>
        <v>-56.081731125814301</v>
      </c>
      <c r="AJ462" s="174">
        <f t="shared" si="252"/>
        <v>0</v>
      </c>
      <c r="AK462" s="174">
        <f t="shared" si="232"/>
        <v>0</v>
      </c>
      <c r="AM462" s="174" t="str">
        <f t="shared" ref="AM462:AM525" si="256">IMSUB(1,IMEXP(COMPLEX(0,-2*Pi*G462*Tsw)))</f>
        <v>0.399002105425867+0.79925060570353i</v>
      </c>
      <c r="AN462" s="174" t="str">
        <f t="shared" ref="AN462:AN525" si="257">COMPLEX(0, 2*Pi*G462*Tsw)</f>
        <v>0.9260472654405i</v>
      </c>
      <c r="AO462" s="174" t="str">
        <f t="shared" ref="AO462:AO525" si="258">IMDIV(AM462, AN462)</f>
        <v>0.863077550715885-0.430865810327803i</v>
      </c>
      <c r="AP462" s="174" t="str">
        <f t="shared" ref="AP462:AP525" si="259">IMDIV(IMEXP(COMPLEX(0,-2*Pi*G462*Tsw)),6)</f>
        <v>0.100166315762356-0.133208434283922i</v>
      </c>
      <c r="AQ462" s="174" t="str">
        <f t="shared" ref="AQ462:AQ525" si="260">IMSUB(1, AP462)</f>
        <v>0.899833684237644+0.133208434283922i</v>
      </c>
      <c r="AR462" s="174" t="str">
        <f t="shared" ref="AR462:AR525" si="261">IMDIV(0.833, AQ462)</f>
        <v>0.905874501003734-0.134102697031919i</v>
      </c>
    </row>
    <row r="463" spans="7:44" x14ac:dyDescent="0.2">
      <c r="G463" s="703">
        <v>51883.5</v>
      </c>
      <c r="H463" s="691">
        <f t="shared" si="253"/>
        <v>51.883499999999998</v>
      </c>
      <c r="I463" s="692">
        <f t="shared" si="233"/>
        <v>50.62944532897707</v>
      </c>
      <c r="J463" s="693">
        <f t="shared" si="234"/>
        <v>1.5510436902760312</v>
      </c>
      <c r="K463" s="693">
        <f t="shared" si="235"/>
        <v>1.0003929161329153</v>
      </c>
      <c r="L463" s="694">
        <f t="shared" si="236"/>
        <v>2.8028111726026008E-2</v>
      </c>
      <c r="M463" s="693">
        <f t="shared" si="237"/>
        <v>1.0021899779392764</v>
      </c>
      <c r="N463" s="694">
        <f t="shared" si="238"/>
        <v>-6.6120930490834076E-2</v>
      </c>
      <c r="O463" s="692">
        <f t="shared" si="239"/>
        <v>93886.169624939997</v>
      </c>
      <c r="P463" s="695">
        <f t="shared" si="240"/>
        <v>1.5707856755988363</v>
      </c>
      <c r="Q463" s="704">
        <f t="shared" si="230"/>
        <v>39.132016689420411</v>
      </c>
      <c r="R463" s="705">
        <f t="shared" si="231"/>
        <v>1.5452390221747316</v>
      </c>
      <c r="S463" s="692">
        <f t="shared" si="241"/>
        <v>1.0334476222857392</v>
      </c>
      <c r="T463" s="695">
        <f t="shared" si="242"/>
        <v>0.25511249617435405</v>
      </c>
      <c r="U463" s="696">
        <f t="shared" si="254"/>
        <v>0.88223954872767274</v>
      </c>
      <c r="V463" s="697">
        <f t="shared" si="255"/>
        <v>-0.61314100358521517</v>
      </c>
      <c r="W463" s="698">
        <f t="shared" si="243"/>
        <v>-6.1769198325199079</v>
      </c>
      <c r="X463" s="699">
        <f t="shared" si="244"/>
        <v>-142.26179170632204</v>
      </c>
      <c r="Y463" s="702">
        <f t="shared" si="245"/>
        <v>37.738208293677957</v>
      </c>
      <c r="AA463" s="174">
        <f t="shared" si="246"/>
        <v>51883.5</v>
      </c>
      <c r="AB463" s="174">
        <f t="shared" si="247"/>
        <v>2691897572.25</v>
      </c>
      <c r="AD463" s="701">
        <f t="shared" si="248"/>
        <v>27.321292441368822</v>
      </c>
      <c r="AE463" s="702">
        <f t="shared" si="249"/>
        <v>-16.080584772097225</v>
      </c>
      <c r="AG463" s="701">
        <f t="shared" si="250"/>
        <v>-5.9337302092209878</v>
      </c>
      <c r="AH463" s="702">
        <f t="shared" si="251"/>
        <v>-55.920423350243169</v>
      </c>
      <c r="AJ463" s="174">
        <f t="shared" si="252"/>
        <v>0</v>
      </c>
      <c r="AK463" s="174">
        <f t="shared" si="232"/>
        <v>0</v>
      </c>
      <c r="AM463" s="174" t="str">
        <f t="shared" si="256"/>
        <v>0.40329722706263+0.802462336043788i</v>
      </c>
      <c r="AN463" s="174" t="str">
        <f t="shared" si="257"/>
        <v>0.931410412893i</v>
      </c>
      <c r="AO463" s="174" t="str">
        <f t="shared" si="258"/>
        <v>0.861556114185267-0.432996261884137i</v>
      </c>
      <c r="AP463" s="174" t="str">
        <f t="shared" si="259"/>
        <v>0.0994504621562283-0.133743722673965i</v>
      </c>
      <c r="AQ463" s="174" t="str">
        <f t="shared" si="260"/>
        <v>0.900549537843772+0.133743722673965i</v>
      </c>
      <c r="AR463" s="174" t="str">
        <f t="shared" si="261"/>
        <v>0.905029211381214-0.134409014465348i</v>
      </c>
    </row>
    <row r="464" spans="7:44" x14ac:dyDescent="0.2">
      <c r="G464" s="703">
        <v>52182.25</v>
      </c>
      <c r="H464" s="691">
        <f t="shared" si="253"/>
        <v>52.182250000000003</v>
      </c>
      <c r="I464" s="692">
        <f t="shared" si="233"/>
        <v>50.92086096131149</v>
      </c>
      <c r="J464" s="693">
        <f t="shared" si="234"/>
        <v>1.5511567474648162</v>
      </c>
      <c r="K464" s="693">
        <f t="shared" si="235"/>
        <v>1.000397453153842</v>
      </c>
      <c r="L464" s="694">
        <f t="shared" si="236"/>
        <v>2.8189414950741586E-2</v>
      </c>
      <c r="M464" s="693">
        <f t="shared" si="237"/>
        <v>1.0022152427878497</v>
      </c>
      <c r="N464" s="694">
        <f t="shared" si="238"/>
        <v>-6.6500542647228281E-2</v>
      </c>
      <c r="O464" s="692">
        <f t="shared" si="239"/>
        <v>94426.774888121508</v>
      </c>
      <c r="P464" s="695">
        <f t="shared" si="240"/>
        <v>1.5707857365782849</v>
      </c>
      <c r="Q464" s="704">
        <f t="shared" si="230"/>
        <v>39.357195742725956</v>
      </c>
      <c r="R464" s="705">
        <f t="shared" si="231"/>
        <v>1.5453852778248278</v>
      </c>
      <c r="S464" s="692">
        <f t="shared" si="241"/>
        <v>1.0338275991400168</v>
      </c>
      <c r="T464" s="695">
        <f t="shared" si="242"/>
        <v>0.2565180300571156</v>
      </c>
      <c r="U464" s="696">
        <f t="shared" si="254"/>
        <v>0.88110217964661219</v>
      </c>
      <c r="V464" s="697">
        <f t="shared" si="255"/>
        <v>-0.61628360440677343</v>
      </c>
      <c r="W464" s="698">
        <f t="shared" si="243"/>
        <v>-6.2409431911271174</v>
      </c>
      <c r="X464" s="699">
        <f t="shared" si="244"/>
        <v>-142.53299017240727</v>
      </c>
      <c r="Y464" s="702">
        <f t="shared" si="245"/>
        <v>37.467009827592733</v>
      </c>
      <c r="AA464" s="174">
        <f t="shared" si="246"/>
        <v>52182.25</v>
      </c>
      <c r="AB464" s="174">
        <f t="shared" si="247"/>
        <v>2722987215.0625</v>
      </c>
      <c r="AD464" s="701">
        <f t="shared" si="248"/>
        <v>27.318067029153642</v>
      </c>
      <c r="AE464" s="702">
        <f t="shared" si="249"/>
        <v>-16.152739594009141</v>
      </c>
      <c r="AG464" s="701">
        <f t="shared" si="250"/>
        <v>-5.9721182879693613</v>
      </c>
      <c r="AH464" s="702">
        <f t="shared" si="251"/>
        <v>-55.759351466465674</v>
      </c>
      <c r="AJ464" s="174">
        <f t="shared" si="252"/>
        <v>0</v>
      </c>
      <c r="AK464" s="174">
        <f t="shared" si="232"/>
        <v>0</v>
      </c>
      <c r="AM464" s="174" t="str">
        <f t="shared" si="256"/>
        <v>0.407609511829315+0.805650984933859i</v>
      </c>
      <c r="AN464" s="174" t="str">
        <f t="shared" si="257"/>
        <v>0.9367735603455i</v>
      </c>
      <c r="AO464" s="174" t="str">
        <f t="shared" si="258"/>
        <v>0.860027459183113-0.435120640765075i</v>
      </c>
      <c r="AP464" s="174" t="str">
        <f t="shared" si="259"/>
        <v>0.0987317480284475-0.134275164155643i</v>
      </c>
      <c r="AQ464" s="174" t="str">
        <f t="shared" si="260"/>
        <v>0.901268251971552+0.134275164155643i</v>
      </c>
      <c r="AR464" s="174" t="str">
        <f t="shared" si="261"/>
        <v>0.904183476570233-0.134709487966209i</v>
      </c>
    </row>
    <row r="465" spans="7:44" x14ac:dyDescent="0.2">
      <c r="G465" s="703">
        <v>52481</v>
      </c>
      <c r="H465" s="691">
        <f t="shared" si="253"/>
        <v>52.481000000000002</v>
      </c>
      <c r="I465" s="692">
        <f t="shared" si="233"/>
        <v>51.212277237105368</v>
      </c>
      <c r="J465" s="693">
        <f t="shared" si="234"/>
        <v>1.5512685179828869</v>
      </c>
      <c r="K465" s="693">
        <f t="shared" si="235"/>
        <v>1.0004020162036036</v>
      </c>
      <c r="L465" s="694">
        <f t="shared" si="236"/>
        <v>2.8350716708176276E-2</v>
      </c>
      <c r="M465" s="693">
        <f t="shared" si="237"/>
        <v>1.002240652053747</v>
      </c>
      <c r="N465" s="694">
        <f t="shared" si="238"/>
        <v>-6.6880135610117658E-2</v>
      </c>
      <c r="O465" s="692">
        <f t="shared" si="239"/>
        <v>94967.380151303369</v>
      </c>
      <c r="P465" s="695">
        <f t="shared" si="240"/>
        <v>1.5707857968634777</v>
      </c>
      <c r="Q465" s="704">
        <f t="shared" si="230"/>
        <v>39.58237562833137</v>
      </c>
      <c r="R465" s="705">
        <f t="shared" si="231"/>
        <v>1.5455298694126032</v>
      </c>
      <c r="S465" s="692">
        <f t="shared" si="241"/>
        <v>1.0342096168439683</v>
      </c>
      <c r="T465" s="695">
        <f t="shared" si="242"/>
        <v>0.25792252835689944</v>
      </c>
      <c r="U465" s="696">
        <f t="shared" si="254"/>
        <v>0.87996238592353171</v>
      </c>
      <c r="V465" s="697">
        <f t="shared" si="255"/>
        <v>-0.61942075877456171</v>
      </c>
      <c r="W465" s="698">
        <f t="shared" si="243"/>
        <v>-6.3047345263604893</v>
      </c>
      <c r="X465" s="699">
        <f t="shared" si="244"/>
        <v>-142.80383781267423</v>
      </c>
      <c r="Y465" s="702">
        <f t="shared" si="245"/>
        <v>37.196162187325768</v>
      </c>
      <c r="AA465" s="174">
        <f t="shared" si="246"/>
        <v>52481</v>
      </c>
      <c r="AB465" s="174">
        <f t="shared" si="247"/>
        <v>2754255361</v>
      </c>
      <c r="AD465" s="701">
        <f t="shared" si="248"/>
        <v>27.314826201231234</v>
      </c>
      <c r="AE465" s="702">
        <f t="shared" si="249"/>
        <v>-16.224930385357023</v>
      </c>
      <c r="AG465" s="701">
        <f t="shared" si="250"/>
        <v>-6.0101821152011183</v>
      </c>
      <c r="AH465" s="702">
        <f t="shared" si="251"/>
        <v>-55.598516905063413</v>
      </c>
      <c r="AJ465" s="174">
        <f t="shared" si="252"/>
        <v>0</v>
      </c>
      <c r="AK465" s="174">
        <f t="shared" si="232"/>
        <v>0</v>
      </c>
      <c r="AM465" s="174" t="str">
        <f t="shared" si="256"/>
        <v>0.411938835690459+0.808816460657736i</v>
      </c>
      <c r="AN465" s="174" t="str">
        <f t="shared" si="257"/>
        <v>0.942136707798i</v>
      </c>
      <c r="AO465" s="174" t="str">
        <f t="shared" si="258"/>
        <v>0.858491611634722-0.437238919024033i</v>
      </c>
      <c r="AP465" s="174" t="str">
        <f t="shared" si="259"/>
        <v>0.0980101940515902-0.134802743442956i</v>
      </c>
      <c r="AQ465" s="174" t="str">
        <f t="shared" si="260"/>
        <v>0.90198980594841+0.134802743442956i</v>
      </c>
      <c r="AR465" s="174" t="str">
        <f t="shared" si="261"/>
        <v>0.90333734053024-0.135004133034409i</v>
      </c>
    </row>
    <row r="466" spans="7:44" x14ac:dyDescent="0.2">
      <c r="G466" s="703">
        <v>52786.5</v>
      </c>
      <c r="H466" s="691">
        <f t="shared" si="253"/>
        <v>52.786499999999997</v>
      </c>
      <c r="I466" s="692">
        <f t="shared" si="233"/>
        <v>51.510278467743589</v>
      </c>
      <c r="J466" s="693">
        <f t="shared" si="234"/>
        <v>1.5513815060046456</v>
      </c>
      <c r="K466" s="693">
        <f t="shared" si="235"/>
        <v>1.0004067092688174</v>
      </c>
      <c r="L466" s="694">
        <f t="shared" si="236"/>
        <v>2.8515661414357213E-2</v>
      </c>
      <c r="M466" s="693">
        <f t="shared" si="237"/>
        <v>1.0022667847574329</v>
      </c>
      <c r="N466" s="694">
        <f t="shared" si="238"/>
        <v>-6.7268285189062596E-2</v>
      </c>
      <c r="O466" s="692">
        <f t="shared" si="239"/>
        <v>95520.199926708097</v>
      </c>
      <c r="P466" s="695">
        <f t="shared" si="240"/>
        <v>1.5707858578050831</v>
      </c>
      <c r="Q466" s="704">
        <f t="shared" si="230"/>
        <v>39.812644106311424</v>
      </c>
      <c r="R466" s="705">
        <f t="shared" si="231"/>
        <v>1.5456760364527007</v>
      </c>
      <c r="S466" s="692">
        <f t="shared" si="241"/>
        <v>1.0346023740921666</v>
      </c>
      <c r="T466" s="695">
        <f t="shared" si="242"/>
        <v>0.25935768457176417</v>
      </c>
      <c r="U466" s="696">
        <f t="shared" si="254"/>
        <v>0.87879437899359969</v>
      </c>
      <c r="V466" s="697">
        <f t="shared" si="255"/>
        <v>-0.62262315948004643</v>
      </c>
      <c r="W466" s="698">
        <f t="shared" si="243"/>
        <v>-6.3697302326959448</v>
      </c>
      <c r="X466" s="699">
        <f t="shared" si="244"/>
        <v>-143.08044142293173</v>
      </c>
      <c r="Y466" s="702">
        <f t="shared" si="245"/>
        <v>36.919558577068273</v>
      </c>
      <c r="AA466" s="174">
        <f t="shared" si="246"/>
        <v>52786.5</v>
      </c>
      <c r="AB466" s="174">
        <f t="shared" si="247"/>
        <v>2786414582.25</v>
      </c>
      <c r="AD466" s="701">
        <f t="shared" si="248"/>
        <v>27.311496233186908</v>
      </c>
      <c r="AE466" s="702">
        <f t="shared" si="249"/>
        <v>-16.298787516690421</v>
      </c>
      <c r="AG466" s="701">
        <f t="shared" si="250"/>
        <v>-6.04877432568275</v>
      </c>
      <c r="AH466" s="702">
        <f t="shared" si="251"/>
        <v>-55.43429529410021</v>
      </c>
      <c r="AJ466" s="174">
        <f t="shared" si="252"/>
        <v>0</v>
      </c>
      <c r="AK466" s="174">
        <f t="shared" si="232"/>
        <v>0</v>
      </c>
      <c r="AM466" s="174" t="str">
        <f t="shared" si="256"/>
        <v>0.416383468079634+0.812029398278932i</v>
      </c>
      <c r="AN466" s="174" t="str">
        <f t="shared" si="257"/>
        <v>0.947621030967i</v>
      </c>
      <c r="AO466" s="174" t="str">
        <f t="shared" si="258"/>
        <v>0.856913651916628-0.439398720029182i</v>
      </c>
      <c r="AP466" s="174" t="str">
        <f t="shared" si="259"/>
        <v>0.0972694219867277-0.135338233046489i</v>
      </c>
      <c r="AQ466" s="174" t="str">
        <f t="shared" si="260"/>
        <v>0.902730578013272+0.135338233046489i</v>
      </c>
      <c r="AR466" s="174" t="str">
        <f t="shared" si="261"/>
        <v>0.902471717268134-0.135299424395597i</v>
      </c>
    </row>
    <row r="467" spans="7:44" x14ac:dyDescent="0.2">
      <c r="G467" s="703">
        <v>53092</v>
      </c>
      <c r="H467" s="691">
        <f t="shared" si="253"/>
        <v>53.091999999999999</v>
      </c>
      <c r="I467" s="692">
        <f t="shared" si="233"/>
        <v>51.808280348412133</v>
      </c>
      <c r="J467" s="693">
        <f t="shared" si="234"/>
        <v>1.5514931942107697</v>
      </c>
      <c r="K467" s="693">
        <f t="shared" si="235"/>
        <v>1.0004114295515967</v>
      </c>
      <c r="L467" s="694">
        <f t="shared" si="236"/>
        <v>2.8680604568494774E-2</v>
      </c>
      <c r="M467" s="693">
        <f t="shared" si="237"/>
        <v>1.0022930684548408</v>
      </c>
      <c r="N467" s="694">
        <f t="shared" si="238"/>
        <v>-6.7656414469149204E-2</v>
      </c>
      <c r="O467" s="692">
        <f t="shared" si="239"/>
        <v>96073.019702113175</v>
      </c>
      <c r="P467" s="695">
        <f t="shared" si="240"/>
        <v>1.5707859180453525</v>
      </c>
      <c r="Q467" s="704">
        <f t="shared" si="230"/>
        <v>40.042913425098085</v>
      </c>
      <c r="R467" s="705">
        <f t="shared" si="231"/>
        <v>1.5458205224101464</v>
      </c>
      <c r="S467" s="692">
        <f t="shared" si="241"/>
        <v>1.0349972606634688</v>
      </c>
      <c r="T467" s="695">
        <f t="shared" si="242"/>
        <v>0.26079174861688043</v>
      </c>
      <c r="U467" s="696">
        <f t="shared" si="254"/>
        <v>0.87762393153289953</v>
      </c>
      <c r="V467" s="697">
        <f t="shared" si="255"/>
        <v>-0.62581985997247203</v>
      </c>
      <c r="W467" s="698">
        <f t="shared" si="243"/>
        <v>-6.4344893579042299</v>
      </c>
      <c r="X467" s="699">
        <f t="shared" si="244"/>
        <v>-143.35667658901508</v>
      </c>
      <c r="Y467" s="702">
        <f t="shared" si="245"/>
        <v>36.64332341098492</v>
      </c>
      <c r="AA467" s="174">
        <f t="shared" si="246"/>
        <v>53092</v>
      </c>
      <c r="AB467" s="174">
        <f t="shared" si="247"/>
        <v>2818760464</v>
      </c>
      <c r="AD467" s="701">
        <f t="shared" si="248"/>
        <v>27.308150197635385</v>
      </c>
      <c r="AE467" s="702">
        <f t="shared" si="249"/>
        <v>-16.37267835006412</v>
      </c>
      <c r="AG467" s="701">
        <f t="shared" si="250"/>
        <v>-6.0870348920147102</v>
      </c>
      <c r="AH467" s="702">
        <f t="shared" si="251"/>
        <v>-55.27032473322452</v>
      </c>
      <c r="AJ467" s="174">
        <f t="shared" si="252"/>
        <v>0</v>
      </c>
      <c r="AK467" s="174">
        <f t="shared" si="232"/>
        <v>0</v>
      </c>
      <c r="AM467" s="174" t="str">
        <f t="shared" si="256"/>
        <v>0.420845654326497+0.815217911903006i</v>
      </c>
      <c r="AN467" s="174" t="str">
        <f t="shared" si="257"/>
        <v>0.953105354136i</v>
      </c>
      <c r="AO467" s="174" t="str">
        <f t="shared" si="258"/>
        <v>0.855328226166571-0.441552082883847i</v>
      </c>
      <c r="AP467" s="174" t="str">
        <f t="shared" si="259"/>
        <v>0.0965257242789172-0.135869651983834i</v>
      </c>
      <c r="AQ467" s="174" t="str">
        <f t="shared" si="260"/>
        <v>0.903474275721083+0.135869651983834i</v>
      </c>
      <c r="AR467" s="174" t="str">
        <f t="shared" si="261"/>
        <v>0.901605766262297-0.135588654796957i</v>
      </c>
    </row>
    <row r="468" spans="7:44" x14ac:dyDescent="0.2">
      <c r="G468" s="703">
        <v>53397.5</v>
      </c>
      <c r="H468" s="691">
        <f t="shared" si="253"/>
        <v>53.397500000000001</v>
      </c>
      <c r="I468" s="692">
        <f t="shared" si="233"/>
        <v>52.106282867958221</v>
      </c>
      <c r="J468" s="693">
        <f t="shared" si="234"/>
        <v>1.5516036048998862</v>
      </c>
      <c r="K468" s="693">
        <f t="shared" si="235"/>
        <v>1.0004161770515561</v>
      </c>
      <c r="L468" s="694">
        <f t="shared" si="236"/>
        <v>2.8845546161636027E-2</v>
      </c>
      <c r="M468" s="693">
        <f t="shared" si="237"/>
        <v>1.0023195031340926</v>
      </c>
      <c r="N468" s="694">
        <f t="shared" si="238"/>
        <v>-6.8044523335039978E-2</v>
      </c>
      <c r="O468" s="692">
        <f t="shared" si="239"/>
        <v>96625.839477518603</v>
      </c>
      <c r="P468" s="695">
        <f t="shared" si="240"/>
        <v>1.5707859775963238</v>
      </c>
      <c r="Q468" s="704">
        <f t="shared" si="230"/>
        <v>40.273183570268962</v>
      </c>
      <c r="R468" s="705">
        <f t="shared" si="231"/>
        <v>1.5459633561146551</v>
      </c>
      <c r="S468" s="692">
        <f t="shared" si="241"/>
        <v>1.0353942741215827</v>
      </c>
      <c r="T468" s="695">
        <f t="shared" si="242"/>
        <v>0.2622247158468361</v>
      </c>
      <c r="U468" s="696">
        <f t="shared" si="254"/>
        <v>0.87645109112202646</v>
      </c>
      <c r="V468" s="697">
        <f t="shared" si="255"/>
        <v>-0.62901085824513292</v>
      </c>
      <c r="W468" s="698">
        <f t="shared" si="243"/>
        <v>-6.4990148720286456</v>
      </c>
      <c r="X468" s="699">
        <f t="shared" si="244"/>
        <v>-143.63254255017659</v>
      </c>
      <c r="Y468" s="702">
        <f t="shared" si="245"/>
        <v>36.367457449823405</v>
      </c>
      <c r="AA468" s="174">
        <f t="shared" si="246"/>
        <v>53397.5</v>
      </c>
      <c r="AB468" s="174">
        <f t="shared" si="247"/>
        <v>2851293006.25</v>
      </c>
      <c r="AD468" s="701">
        <f t="shared" si="248"/>
        <v>27.304788121956456</v>
      </c>
      <c r="AE468" s="702">
        <f t="shared" si="249"/>
        <v>-16.446600968184352</v>
      </c>
      <c r="AG468" s="701">
        <f t="shared" si="250"/>
        <v>-6.1249674794225131</v>
      </c>
      <c r="AH468" s="702">
        <f t="shared" si="251"/>
        <v>-55.106606608933937</v>
      </c>
      <c r="AJ468" s="174">
        <f t="shared" si="252"/>
        <v>0</v>
      </c>
      <c r="AK468" s="174">
        <f t="shared" si="232"/>
        <v>0</v>
      </c>
      <c r="AM468" s="174" t="str">
        <f t="shared" si="256"/>
        <v>0.425325260218637+0.818381905626721i</v>
      </c>
      <c r="AN468" s="174" t="str">
        <f t="shared" si="257"/>
        <v>0.958589677305i</v>
      </c>
      <c r="AO468" s="174" t="str">
        <f t="shared" si="258"/>
        <v>0.853735362483287-0.443698978080388i</v>
      </c>
      <c r="AP468" s="174" t="str">
        <f t="shared" si="259"/>
        <v>0.0957791232968938-0.13639698427112i</v>
      </c>
      <c r="AQ468" s="174" t="str">
        <f t="shared" si="260"/>
        <v>0.904220876703106+0.13639698427112i</v>
      </c>
      <c r="AR468" s="174" t="str">
        <f t="shared" si="261"/>
        <v>0.90073953334625-0.135871841855896i</v>
      </c>
    </row>
    <row r="469" spans="7:44" x14ac:dyDescent="0.2">
      <c r="G469" s="703">
        <v>53703</v>
      </c>
      <c r="H469" s="691">
        <f t="shared" si="253"/>
        <v>53.703000000000003</v>
      </c>
      <c r="I469" s="692">
        <f t="shared" si="233"/>
        <v>52.404286015482697</v>
      </c>
      <c r="J469" s="693">
        <f t="shared" si="234"/>
        <v>1.5517127598635327</v>
      </c>
      <c r="K469" s="693">
        <f t="shared" si="235"/>
        <v>1.0004209517683085</v>
      </c>
      <c r="L469" s="694">
        <f t="shared" si="236"/>
        <v>2.901048618482854E-2</v>
      </c>
      <c r="M469" s="693">
        <f t="shared" si="237"/>
        <v>1.0023460887832427</v>
      </c>
      <c r="N469" s="694">
        <f t="shared" si="238"/>
        <v>-6.8432611671434204E-2</v>
      </c>
      <c r="O469" s="692">
        <f t="shared" si="239"/>
        <v>97178.659252924364</v>
      </c>
      <c r="P469" s="695">
        <f t="shared" si="240"/>
        <v>1.5707860364697603</v>
      </c>
      <c r="Q469" s="704">
        <f t="shared" si="230"/>
        <v>40.503454527729588</v>
      </c>
      <c r="R469" s="705">
        <f t="shared" si="231"/>
        <v>1.5461045657406012</v>
      </c>
      <c r="S469" s="692">
        <f t="shared" si="241"/>
        <v>1.035793412020839</v>
      </c>
      <c r="T469" s="695">
        <f t="shared" si="242"/>
        <v>0.26365658164133943</v>
      </c>
      <c r="U469" s="696">
        <f t="shared" si="254"/>
        <v>0.87527590506476849</v>
      </c>
      <c r="V469" s="697">
        <f t="shared" si="255"/>
        <v>-0.63219615259176953</v>
      </c>
      <c r="W469" s="698">
        <f t="shared" si="243"/>
        <v>-6.5633096888011631</v>
      </c>
      <c r="X469" s="699">
        <f t="shared" si="244"/>
        <v>-143.90803857280258</v>
      </c>
      <c r="Y469" s="702">
        <f t="shared" si="245"/>
        <v>36.091961427197418</v>
      </c>
      <c r="AA469" s="174">
        <f t="shared" si="246"/>
        <v>53703</v>
      </c>
      <c r="AB469" s="174">
        <f t="shared" si="247"/>
        <v>2884012209</v>
      </c>
      <c r="AD469" s="701">
        <f t="shared" si="248"/>
        <v>27.301410034012903</v>
      </c>
      <c r="AE469" s="702">
        <f t="shared" si="249"/>
        <v>-16.520553492729153</v>
      </c>
      <c r="AG469" s="701">
        <f t="shared" si="250"/>
        <v>-6.1625756951073107</v>
      </c>
      <c r="AH469" s="702">
        <f t="shared" si="251"/>
        <v>-54.943142261459762</v>
      </c>
      <c r="AJ469" s="174">
        <f t="shared" si="252"/>
        <v>0</v>
      </c>
      <c r="AK469" s="174">
        <f t="shared" si="232"/>
        <v>0</v>
      </c>
      <c r="AM469" s="174" t="str">
        <f t="shared" si="256"/>
        <v>0.429822151019698+0.821521284284343i</v>
      </c>
      <c r="AN469" s="174" t="str">
        <f t="shared" si="257"/>
        <v>0.964074000474i</v>
      </c>
      <c r="AO469" s="174" t="str">
        <f t="shared" si="258"/>
        <v>0.852135089091118-0.445839376239137i</v>
      </c>
      <c r="AP469" s="174" t="str">
        <f t="shared" si="259"/>
        <v>0.095029641496717-0.13692021404739i</v>
      </c>
      <c r="AQ469" s="174" t="str">
        <f t="shared" si="260"/>
        <v>0.904970358503283+0.13692021404739i</v>
      </c>
      <c r="AR469" s="174" t="str">
        <f t="shared" si="261"/>
        <v>0.899873063954853-0.136149003527536i</v>
      </c>
    </row>
    <row r="470" spans="7:44" x14ac:dyDescent="0.2">
      <c r="G470" s="703">
        <v>54015.75</v>
      </c>
      <c r="H470" s="691">
        <f t="shared" si="253"/>
        <v>54.015749999999997</v>
      </c>
      <c r="I470" s="692">
        <f t="shared" si="233"/>
        <v>52.709361890185193</v>
      </c>
      <c r="J470" s="693">
        <f t="shared" si="234"/>
        <v>1.5518232267026491</v>
      </c>
      <c r="K470" s="693">
        <f t="shared" si="235"/>
        <v>1.0004258679895659</v>
      </c>
      <c r="L470" s="694">
        <f t="shared" si="236"/>
        <v>2.9179338861000485E-2</v>
      </c>
      <c r="M470" s="693">
        <f t="shared" si="237"/>
        <v>1.0023734617260551</v>
      </c>
      <c r="N470" s="694">
        <f t="shared" si="238"/>
        <v>-6.8829888573747694E-2</v>
      </c>
      <c r="O470" s="692">
        <f t="shared" si="239"/>
        <v>97744.598319236175</v>
      </c>
      <c r="P470" s="695">
        <f t="shared" si="240"/>
        <v>1.5707860960505158</v>
      </c>
      <c r="Q470" s="704">
        <f t="shared" si="230"/>
        <v>40.739191007632861</v>
      </c>
      <c r="R470" s="705">
        <f t="shared" si="231"/>
        <v>1.5462474728936759</v>
      </c>
      <c r="S470" s="692">
        <f t="shared" si="241"/>
        <v>1.0362042201967803</v>
      </c>
      <c r="T470" s="695">
        <f t="shared" si="242"/>
        <v>0.26512128213300096</v>
      </c>
      <c r="U470" s="696">
        <f t="shared" si="254"/>
        <v>0.8740704492663196</v>
      </c>
      <c r="V470" s="697">
        <f t="shared" si="255"/>
        <v>-0.6354511289843725</v>
      </c>
      <c r="W470" s="698">
        <f t="shared" si="243"/>
        <v>-6.6288943335140251</v>
      </c>
      <c r="X470" s="699">
        <f t="shared" si="244"/>
        <v>-144.18968860400463</v>
      </c>
      <c r="Y470" s="702">
        <f t="shared" si="245"/>
        <v>35.81031139599537</v>
      </c>
      <c r="AA470" s="174">
        <f t="shared" si="246"/>
        <v>54015.75</v>
      </c>
      <c r="AB470" s="174">
        <f t="shared" si="247"/>
        <v>2917701248.0625</v>
      </c>
      <c r="AD470" s="701">
        <f t="shared" si="248"/>
        <v>27.297935221495123</v>
      </c>
      <c r="AE470" s="702">
        <f t="shared" si="249"/>
        <v>-16.596290086231051</v>
      </c>
      <c r="AG470" s="701">
        <f t="shared" si="250"/>
        <v>-6.2007441101890812</v>
      </c>
      <c r="AH470" s="702">
        <f t="shared" si="251"/>
        <v>-54.776062879311944</v>
      </c>
      <c r="AJ470" s="174">
        <f t="shared" si="252"/>
        <v>0</v>
      </c>
      <c r="AK470" s="174">
        <f t="shared" si="232"/>
        <v>0</v>
      </c>
      <c r="AM470" s="174" t="str">
        <f t="shared" si="256"/>
        <v>0.434443524031664+0.824709568569613i</v>
      </c>
      <c r="AN470" s="174" t="str">
        <f t="shared" si="257"/>
        <v>0.9696884753385i</v>
      </c>
      <c r="AO470" s="174" t="str">
        <f t="shared" si="258"/>
        <v>0.850489192708743-0.448023808759827i</v>
      </c>
      <c r="AP470" s="174" t="str">
        <f t="shared" si="259"/>
        <v>0.0942594126613893-0.137451594761602i</v>
      </c>
      <c r="AQ470" s="174" t="str">
        <f t="shared" si="260"/>
        <v>0.905740587338611+0.137451594761602i</v>
      </c>
      <c r="AR470" s="174" t="str">
        <f t="shared" si="261"/>
        <v>0.898985833926529-0.136426520207485i</v>
      </c>
    </row>
    <row r="471" spans="7:44" x14ac:dyDescent="0.2">
      <c r="G471" s="703">
        <v>54328.5</v>
      </c>
      <c r="H471" s="691">
        <f t="shared" si="253"/>
        <v>54.328499999999998</v>
      </c>
      <c r="I471" s="692">
        <f t="shared" si="233"/>
        <v>53.014438400693152</v>
      </c>
      <c r="J471" s="693">
        <f t="shared" si="234"/>
        <v>1.5519324221597104</v>
      </c>
      <c r="K471" s="693">
        <f t="shared" si="235"/>
        <v>1.000430812733911</v>
      </c>
      <c r="L471" s="694">
        <f t="shared" si="236"/>
        <v>2.9348189872838996E-2</v>
      </c>
      <c r="M471" s="693">
        <f t="shared" si="237"/>
        <v>1.0024009928637505</v>
      </c>
      <c r="N471" s="694">
        <f t="shared" si="238"/>
        <v>-6.9227143716182299E-2</v>
      </c>
      <c r="O471" s="692">
        <f t="shared" si="239"/>
        <v>98310.537385548334</v>
      </c>
      <c r="P471" s="695">
        <f t="shared" si="240"/>
        <v>1.5707861549453004</v>
      </c>
      <c r="Q471" s="704">
        <f t="shared" ref="Q471:Q534" si="262">SQRT(1+(G471/Zero2)^2)</f>
        <v>40.974928309957143</v>
      </c>
      <c r="R471" s="705">
        <f t="shared" ref="R471:R534" si="263">ATAN(G471/Zero2)</f>
        <v>1.5463887357003367</v>
      </c>
      <c r="S471" s="692">
        <f t="shared" si="241"/>
        <v>1.0366172496261552</v>
      </c>
      <c r="T471" s="695">
        <f t="shared" si="242"/>
        <v>0.26658481857283156</v>
      </c>
      <c r="U471" s="696">
        <f t="shared" si="254"/>
        <v>0.87286263459746682</v>
      </c>
      <c r="V471" s="697">
        <f t="shared" si="255"/>
        <v>-0.63870012484658933</v>
      </c>
      <c r="W471" s="698">
        <f t="shared" si="243"/>
        <v>-6.6942432059845682</v>
      </c>
      <c r="X471" s="699">
        <f t="shared" si="244"/>
        <v>-144.47094945938929</v>
      </c>
      <c r="Y471" s="702">
        <f t="shared" si="245"/>
        <v>35.529050540610712</v>
      </c>
      <c r="AA471" s="174">
        <f t="shared" si="246"/>
        <v>54328.5</v>
      </c>
      <c r="AB471" s="174">
        <f t="shared" si="247"/>
        <v>2951585912.25</v>
      </c>
      <c r="AD471" s="701">
        <f t="shared" si="248"/>
        <v>27.294443688289924</v>
      </c>
      <c r="AE471" s="702">
        <f t="shared" si="249"/>
        <v>-16.672054159282268</v>
      </c>
      <c r="AG471" s="701">
        <f t="shared" si="250"/>
        <v>-6.2385800448902078</v>
      </c>
      <c r="AH471" s="702">
        <f t="shared" si="251"/>
        <v>-54.609252160098976</v>
      </c>
      <c r="AJ471" s="174">
        <f t="shared" si="252"/>
        <v>0</v>
      </c>
      <c r="AK471" s="174">
        <f t="shared" si="232"/>
        <v>0</v>
      </c>
      <c r="AM471" s="174" t="str">
        <f t="shared" si="256"/>
        <v>0.439082724653539+0.827871856157644i</v>
      </c>
      <c r="AN471" s="174" t="str">
        <f t="shared" si="257"/>
        <v>0.975302950203i</v>
      </c>
      <c r="AO471" s="174" t="str">
        <f t="shared" si="258"/>
        <v>0.848835591018494-0.450201370314883i</v>
      </c>
      <c r="AP471" s="174" t="str">
        <f t="shared" si="259"/>
        <v>0.0934862125577435-0.137978642692941i</v>
      </c>
      <c r="AQ471" s="174" t="str">
        <f t="shared" si="260"/>
        <v>0.906513787442257+0.137978642692941i</v>
      </c>
      <c r="AR471" s="174" t="str">
        <f t="shared" si="261"/>
        <v>0.898098451143775-0.136697761258644i</v>
      </c>
    </row>
    <row r="472" spans="7:44" x14ac:dyDescent="0.2">
      <c r="G472" s="703">
        <v>54641.25</v>
      </c>
      <c r="H472" s="691">
        <f t="shared" si="253"/>
        <v>54.641249999999999</v>
      </c>
      <c r="I472" s="692">
        <f t="shared" si="233"/>
        <v>53.319515536092986</v>
      </c>
      <c r="J472" s="693">
        <f t="shared" si="234"/>
        <v>1.5520403680554087</v>
      </c>
      <c r="K472" s="693">
        <f t="shared" si="235"/>
        <v>1.0004357860009205</v>
      </c>
      <c r="L472" s="694">
        <f t="shared" si="236"/>
        <v>2.9517039210740718E-2</v>
      </c>
      <c r="M472" s="693">
        <f t="shared" si="237"/>
        <v>1.0024286821832951</v>
      </c>
      <c r="N472" s="694">
        <f t="shared" si="238"/>
        <v>-6.9624376975153127E-2</v>
      </c>
      <c r="O472" s="692">
        <f t="shared" si="239"/>
        <v>98876.476451860814</v>
      </c>
      <c r="P472" s="695">
        <f t="shared" si="240"/>
        <v>1.570786213165893</v>
      </c>
      <c r="Q472" s="704">
        <f t="shared" si="262"/>
        <v>41.210666420588986</v>
      </c>
      <c r="R472" s="705">
        <f t="shared" si="263"/>
        <v>1.5465283823734497</v>
      </c>
      <c r="S472" s="692">
        <f t="shared" si="241"/>
        <v>1.0370324976549206</v>
      </c>
      <c r="T472" s="695">
        <f t="shared" si="242"/>
        <v>0.26804718608583533</v>
      </c>
      <c r="U472" s="696">
        <f t="shared" si="254"/>
        <v>0.87165251089357421</v>
      </c>
      <c r="V472" s="697">
        <f t="shared" si="255"/>
        <v>-0.64194313930896807</v>
      </c>
      <c r="W472" s="698">
        <f t="shared" si="243"/>
        <v>-6.7593592574818206</v>
      </c>
      <c r="X472" s="699">
        <f t="shared" si="244"/>
        <v>-144.75182043772358</v>
      </c>
      <c r="Y472" s="702">
        <f t="shared" si="245"/>
        <v>35.24817956227642</v>
      </c>
      <c r="AA472" s="174">
        <f t="shared" si="246"/>
        <v>54641.25</v>
      </c>
      <c r="AB472" s="174">
        <f t="shared" si="247"/>
        <v>2985666201.5625</v>
      </c>
      <c r="AD472" s="701">
        <f t="shared" si="248"/>
        <v>27.290935465777725</v>
      </c>
      <c r="AE472" s="702">
        <f t="shared" si="249"/>
        <v>-16.747843816762856</v>
      </c>
      <c r="AG472" s="701">
        <f t="shared" si="250"/>
        <v>-6.276087188585163</v>
      </c>
      <c r="AH472" s="702">
        <f t="shared" si="251"/>
        <v>-54.442711397339664</v>
      </c>
      <c r="AJ472" s="174">
        <f t="shared" si="252"/>
        <v>0</v>
      </c>
      <c r="AK472" s="174">
        <f t="shared" si="232"/>
        <v>0</v>
      </c>
      <c r="AM472" s="174" t="str">
        <f t="shared" si="256"/>
        <v>0.443739606647304+0.831008047366032i</v>
      </c>
      <c r="AN472" s="174" t="str">
        <f t="shared" si="257"/>
        <v>0.9809174250675i</v>
      </c>
      <c r="AO472" s="174" t="str">
        <f t="shared" si="258"/>
        <v>0.847174314707324-0.452372029803394i</v>
      </c>
      <c r="AP472" s="174" t="str">
        <f t="shared" si="259"/>
        <v>0.0927100655587827-0.138501341227672i</v>
      </c>
      <c r="AQ472" s="174" t="str">
        <f t="shared" si="260"/>
        <v>0.907289934441217+0.138501341227672i</v>
      </c>
      <c r="AR472" s="174" t="str">
        <f t="shared" si="261"/>
        <v>0.897210963046431-0.13696274699954i</v>
      </c>
    </row>
    <row r="473" spans="7:44" x14ac:dyDescent="0.2">
      <c r="G473" s="703">
        <v>54954</v>
      </c>
      <c r="H473" s="691">
        <f t="shared" si="253"/>
        <v>54.954000000000001</v>
      </c>
      <c r="I473" s="692">
        <f t="shared" si="233"/>
        <v>53.624593285719406</v>
      </c>
      <c r="J473" s="693">
        <f t="shared" si="234"/>
        <v>1.5521470857139905</v>
      </c>
      <c r="K473" s="693">
        <f t="shared" si="235"/>
        <v>1.0004407877901693</v>
      </c>
      <c r="L473" s="694">
        <f t="shared" si="236"/>
        <v>2.9685886865102862E-2</v>
      </c>
      <c r="M473" s="693">
        <f t="shared" si="237"/>
        <v>1.0024565296715808</v>
      </c>
      <c r="N473" s="694">
        <f t="shared" si="238"/>
        <v>-7.0021588227116488E-2</v>
      </c>
      <c r="O473" s="692">
        <f t="shared" si="239"/>
        <v>99442.415518173642</v>
      </c>
      <c r="P473" s="695">
        <f t="shared" si="240"/>
        <v>1.5707862707238045</v>
      </c>
      <c r="Q473" s="704">
        <f t="shared" si="262"/>
        <v>41.446405325735931</v>
      </c>
      <c r="R473" s="705">
        <f t="shared" si="263"/>
        <v>1.5466664404842587</v>
      </c>
      <c r="S473" s="692">
        <f t="shared" si="241"/>
        <v>1.0374499616190371</v>
      </c>
      <c r="T473" s="695">
        <f t="shared" si="242"/>
        <v>0.2695083798247988</v>
      </c>
      <c r="U473" s="696">
        <f t="shared" si="254"/>
        <v>0.87044012767597378</v>
      </c>
      <c r="V473" s="697">
        <f t="shared" si="255"/>
        <v>-0.64518017182031517</v>
      </c>
      <c r="W473" s="698">
        <f t="shared" si="243"/>
        <v>-6.8242453830561853</v>
      </c>
      <c r="X473" s="699">
        <f t="shared" si="244"/>
        <v>-145.03230086590614</v>
      </c>
      <c r="Y473" s="702">
        <f t="shared" si="245"/>
        <v>34.967699134093863</v>
      </c>
      <c r="AA473" s="174">
        <f t="shared" si="246"/>
        <v>54954</v>
      </c>
      <c r="AB473" s="174">
        <f t="shared" si="247"/>
        <v>3019942116</v>
      </c>
      <c r="AD473" s="701">
        <f t="shared" si="248"/>
        <v>27.287410585812637</v>
      </c>
      <c r="AE473" s="702">
        <f t="shared" si="249"/>
        <v>-16.823657201891535</v>
      </c>
      <c r="AG473" s="701">
        <f t="shared" si="250"/>
        <v>-6.3132691723249916</v>
      </c>
      <c r="AH473" s="702">
        <f t="shared" si="251"/>
        <v>-54.276441837876078</v>
      </c>
      <c r="AJ473" s="174">
        <f t="shared" si="252"/>
        <v>0</v>
      </c>
      <c r="AK473" s="174">
        <f t="shared" si="232"/>
        <v>0</v>
      </c>
      <c r="AM473" s="174" t="str">
        <f t="shared" si="256"/>
        <v>0.448414023217584+0.834118043334987i</v>
      </c>
      <c r="AN473" s="174" t="str">
        <f t="shared" si="257"/>
        <v>0.986531899932i</v>
      </c>
      <c r="AO473" s="174" t="str">
        <f t="shared" si="258"/>
        <v>0.845505394597459-0.454535756267478i</v>
      </c>
      <c r="AP473" s="174" t="str">
        <f t="shared" si="259"/>
        <v>0.0919309961304027-0.139019673889165i</v>
      </c>
      <c r="AQ473" s="174" t="str">
        <f t="shared" si="260"/>
        <v>0.908069003869597+0.139019673889165i</v>
      </c>
      <c r="AR473" s="174" t="str">
        <f t="shared" si="261"/>
        <v>0.896323416630962-0.137221498089095i</v>
      </c>
    </row>
    <row r="474" spans="7:44" x14ac:dyDescent="0.2">
      <c r="G474" s="703">
        <v>55274</v>
      </c>
      <c r="H474" s="691">
        <f t="shared" si="253"/>
        <v>55.274000000000001</v>
      </c>
      <c r="I474" s="692">
        <f t="shared" si="233"/>
        <v>53.936743806298779</v>
      </c>
      <c r="J474" s="693">
        <f t="shared" si="234"/>
        <v>1.5522550277035341</v>
      </c>
      <c r="K474" s="693">
        <f t="shared" si="235"/>
        <v>1.0004459350494066</v>
      </c>
      <c r="L474" s="694">
        <f t="shared" si="236"/>
        <v>2.9858646901191045E-2</v>
      </c>
      <c r="M474" s="693">
        <f t="shared" si="237"/>
        <v>1.0024851864025222</v>
      </c>
      <c r="N474" s="694">
        <f t="shared" si="238"/>
        <v>-7.0427984506808108E-2</v>
      </c>
      <c r="O474" s="692">
        <f t="shared" si="239"/>
        <v>100021.47387539252</v>
      </c>
      <c r="P474" s="695">
        <f t="shared" si="240"/>
        <v>1.5707863289418229</v>
      </c>
      <c r="Q474" s="704">
        <f t="shared" si="262"/>
        <v>41.687609809962474</v>
      </c>
      <c r="R474" s="705">
        <f t="shared" si="263"/>
        <v>1.5468060828598882</v>
      </c>
      <c r="S474" s="692">
        <f t="shared" si="241"/>
        <v>1.0378793937997415</v>
      </c>
      <c r="T474" s="695">
        <f t="shared" si="242"/>
        <v>0.27100222622968362</v>
      </c>
      <c r="U474" s="696">
        <f t="shared" si="254"/>
        <v>0.86919735228335493</v>
      </c>
      <c r="V474" s="697">
        <f t="shared" si="255"/>
        <v>-0.64848605164660855</v>
      </c>
      <c r="W474" s="698">
        <f t="shared" si="243"/>
        <v>-6.8904006427608264</v>
      </c>
      <c r="X474" s="699">
        <f t="shared" si="244"/>
        <v>-145.31887833011322</v>
      </c>
      <c r="Y474" s="702">
        <f t="shared" si="245"/>
        <v>34.681121669886778</v>
      </c>
      <c r="AA474" s="174">
        <f t="shared" si="246"/>
        <v>55274</v>
      </c>
      <c r="AB474" s="174">
        <f t="shared" si="247"/>
        <v>3055215076</v>
      </c>
      <c r="AD474" s="701">
        <f t="shared" si="248"/>
        <v>27.283786786565422</v>
      </c>
      <c r="AE474" s="702">
        <f t="shared" si="249"/>
        <v>-16.90125071310289</v>
      </c>
      <c r="AG474" s="701">
        <f t="shared" si="250"/>
        <v>-6.3509802621801779</v>
      </c>
      <c r="AH474" s="702">
        <f t="shared" si="251"/>
        <v>-54.106599867190816</v>
      </c>
      <c r="AJ474" s="174">
        <f t="shared" si="252"/>
        <v>0</v>
      </c>
      <c r="AK474" s="174">
        <f t="shared" ref="AK474:AK537" si="264">IF(AJ474&gt;0,Y474,0)</f>
        <v>0</v>
      </c>
      <c r="AM474" s="174" t="str">
        <f t="shared" si="256"/>
        <v>0.453214794874733+0.837272918143254i</v>
      </c>
      <c r="AN474" s="174" t="str">
        <f t="shared" si="257"/>
        <v>0.992276526492i</v>
      </c>
      <c r="AO474" s="174" t="str">
        <f t="shared" si="258"/>
        <v>0.843789907137347-0.456742432955645i</v>
      </c>
      <c r="AP474" s="174" t="str">
        <f t="shared" si="259"/>
        <v>0.0911308675208778-0.139545486357209i</v>
      </c>
      <c r="AQ474" s="174" t="str">
        <f t="shared" si="260"/>
        <v>0.908869132479122+0.139545486357209i</v>
      </c>
      <c r="AR474" s="174" t="str">
        <f t="shared" si="261"/>
        <v>0.895415283789569-0.137479816183508i</v>
      </c>
    </row>
    <row r="475" spans="7:44" x14ac:dyDescent="0.2">
      <c r="G475" s="703">
        <v>55594</v>
      </c>
      <c r="H475" s="691">
        <f t="shared" si="253"/>
        <v>55.594000000000001</v>
      </c>
      <c r="I475" s="692">
        <f t="shared" si="233"/>
        <v>54.248894948088491</v>
      </c>
      <c r="J475" s="693">
        <f t="shared" si="234"/>
        <v>1.5523617274859536</v>
      </c>
      <c r="K475" s="693">
        <f t="shared" si="235"/>
        <v>1.0004511121676756</v>
      </c>
      <c r="L475" s="694">
        <f t="shared" si="236"/>
        <v>3.0031405154443632E-2</v>
      </c>
      <c r="M475" s="693">
        <f t="shared" si="237"/>
        <v>1.0025140086923663</v>
      </c>
      <c r="N475" s="694">
        <f t="shared" si="238"/>
        <v>-7.0834357485816346E-2</v>
      </c>
      <c r="O475" s="692">
        <f t="shared" si="239"/>
        <v>100600.53223261176</v>
      </c>
      <c r="P475" s="695">
        <f t="shared" si="240"/>
        <v>1.5707863864896336</v>
      </c>
      <c r="Q475" s="704">
        <f t="shared" si="262"/>
        <v>41.928815097744248</v>
      </c>
      <c r="R475" s="705">
        <f t="shared" si="263"/>
        <v>1.5469441185875152</v>
      </c>
      <c r="S475" s="692">
        <f t="shared" si="241"/>
        <v>1.0383111401694758</v>
      </c>
      <c r="T475" s="695">
        <f t="shared" si="242"/>
        <v>0.27249483363270521</v>
      </c>
      <c r="U475" s="696">
        <f t="shared" si="254"/>
        <v>0.86795231527834293</v>
      </c>
      <c r="V475" s="697">
        <f t="shared" si="255"/>
        <v>-0.65178566880650513</v>
      </c>
      <c r="W475" s="698">
        <f t="shared" si="243"/>
        <v>-6.9563211503107638</v>
      </c>
      <c r="X475" s="699">
        <f t="shared" si="244"/>
        <v>-145.60504559003149</v>
      </c>
      <c r="Y475" s="702">
        <f t="shared" si="245"/>
        <v>34.394954409968506</v>
      </c>
      <c r="AA475" s="174">
        <f t="shared" si="246"/>
        <v>55594</v>
      </c>
      <c r="AB475" s="174">
        <f t="shared" si="247"/>
        <v>3090692836</v>
      </c>
      <c r="AD475" s="701">
        <f t="shared" si="248"/>
        <v>27.280145617557572</v>
      </c>
      <c r="AE475" s="702">
        <f t="shared" si="249"/>
        <v>-16.978865250486319</v>
      </c>
      <c r="AG475" s="701">
        <f t="shared" si="250"/>
        <v>-6.3883584512716309</v>
      </c>
      <c r="AH475" s="702">
        <f t="shared" si="251"/>
        <v>-53.93704431475156</v>
      </c>
      <c r="AJ475" s="174">
        <f t="shared" si="252"/>
        <v>0</v>
      </c>
      <c r="AK475" s="174">
        <f t="shared" si="264"/>
        <v>0</v>
      </c>
      <c r="AM475" s="174" t="str">
        <f t="shared" si="256"/>
        <v>0.45803361079554+0.840400162406386i</v>
      </c>
      <c r="AN475" s="174" t="str">
        <f t="shared" si="257"/>
        <v>0.998021153052i</v>
      </c>
      <c r="AO475" s="174" t="str">
        <f t="shared" si="258"/>
        <v>0.842066483096475-0.458941786348766i</v>
      </c>
      <c r="AP475" s="174" t="str">
        <f t="shared" si="259"/>
        <v>0.0903277315340767-0.140066693734398i</v>
      </c>
      <c r="AQ475" s="174" t="str">
        <f t="shared" si="260"/>
        <v>0.909672268465923+0.140066693734398i</v>
      </c>
      <c r="AR475" s="174" t="str">
        <f t="shared" si="261"/>
        <v>0.89450718801081-0.137731652035099i</v>
      </c>
    </row>
    <row r="476" spans="7:44" x14ac:dyDescent="0.2">
      <c r="G476" s="703">
        <v>55914</v>
      </c>
      <c r="H476" s="691">
        <f t="shared" si="253"/>
        <v>55.914000000000001</v>
      </c>
      <c r="I476" s="692">
        <f t="shared" si="233"/>
        <v>54.561046700426459</v>
      </c>
      <c r="J476" s="693">
        <f t="shared" si="234"/>
        <v>1.5524672063793463</v>
      </c>
      <c r="K476" s="693">
        <f t="shared" si="235"/>
        <v>1.0004563191445128</v>
      </c>
      <c r="L476" s="694">
        <f t="shared" si="236"/>
        <v>3.020416161457631E-2</v>
      </c>
      <c r="M476" s="693">
        <f t="shared" si="237"/>
        <v>1.0025429965268342</v>
      </c>
      <c r="N476" s="694">
        <f t="shared" si="238"/>
        <v>-7.1240707031940603E-2</v>
      </c>
      <c r="O476" s="692">
        <f t="shared" si="239"/>
        <v>101179.59058983132</v>
      </c>
      <c r="P476" s="695">
        <f t="shared" si="240"/>
        <v>1.5707864433787433</v>
      </c>
      <c r="Q476" s="704">
        <f t="shared" si="262"/>
        <v>42.170021175292668</v>
      </c>
      <c r="R476" s="705">
        <f t="shared" si="263"/>
        <v>1.5470805752311771</v>
      </c>
      <c r="S476" s="692">
        <f t="shared" si="241"/>
        <v>1.0387451978426157</v>
      </c>
      <c r="T476" s="695">
        <f t="shared" si="242"/>
        <v>0.27398619693227855</v>
      </c>
      <c r="U476" s="696">
        <f t="shared" si="254"/>
        <v>0.86670506867118036</v>
      </c>
      <c r="V476" s="697">
        <f t="shared" si="255"/>
        <v>-0.6550790237244728</v>
      </c>
      <c r="W476" s="698">
        <f t="shared" si="243"/>
        <v>-7.0220098325769529</v>
      </c>
      <c r="X476" s="699">
        <f t="shared" si="244"/>
        <v>-145.89080201348989</v>
      </c>
      <c r="Y476" s="702">
        <f t="shared" si="245"/>
        <v>34.109197986510111</v>
      </c>
      <c r="AA476" s="174">
        <f t="shared" si="246"/>
        <v>55914</v>
      </c>
      <c r="AB476" s="174">
        <f t="shared" si="247"/>
        <v>3126375396</v>
      </c>
      <c r="AD476" s="701">
        <f t="shared" si="248"/>
        <v>27.276487114365793</v>
      </c>
      <c r="AE476" s="702">
        <f t="shared" si="249"/>
        <v>-17.056498943098827</v>
      </c>
      <c r="AG476" s="701">
        <f t="shared" si="250"/>
        <v>-6.425407447667749</v>
      </c>
      <c r="AH476" s="702">
        <f t="shared" si="251"/>
        <v>-53.767776370689809</v>
      </c>
      <c r="AJ476" s="174">
        <f t="shared" si="252"/>
        <v>0</v>
      </c>
      <c r="AK476" s="174">
        <f t="shared" si="264"/>
        <v>0</v>
      </c>
      <c r="AM476" s="174" t="str">
        <f t="shared" si="256"/>
        <v>0.462870311955979+0.843499672923311i</v>
      </c>
      <c r="AN476" s="174" t="str">
        <f t="shared" si="257"/>
        <v>1.003765779612i</v>
      </c>
      <c r="AO476" s="174" t="str">
        <f t="shared" si="258"/>
        <v>0.840335155925878-0.461133783754711i</v>
      </c>
      <c r="AP476" s="174" t="str">
        <f t="shared" si="259"/>
        <v>0.0895216146740035-0.140583278820552i</v>
      </c>
      <c r="AQ476" s="174" t="str">
        <f t="shared" si="260"/>
        <v>0.910478385325996+0.140583278820552i</v>
      </c>
      <c r="AR476" s="174" t="str">
        <f t="shared" si="261"/>
        <v>0.89359917818794-0.137977028829774i</v>
      </c>
    </row>
    <row r="477" spans="7:44" x14ac:dyDescent="0.2">
      <c r="G477" s="703">
        <v>56234</v>
      </c>
      <c r="H477" s="691">
        <f t="shared" si="253"/>
        <v>56.234000000000002</v>
      </c>
      <c r="I477" s="692">
        <f t="shared" si="233"/>
        <v>54.873199052893192</v>
      </c>
      <c r="J477" s="693">
        <f t="shared" si="234"/>
        <v>1.5525714852168375</v>
      </c>
      <c r="K477" s="693">
        <f t="shared" si="235"/>
        <v>1.0004615559794521</v>
      </c>
      <c r="L477" s="694">
        <f t="shared" si="236"/>
        <v>3.0376916271305385E-2</v>
      </c>
      <c r="M477" s="693">
        <f t="shared" si="237"/>
        <v>1.0025721498915667</v>
      </c>
      <c r="N477" s="694">
        <f t="shared" si="238"/>
        <v>-7.1647033013026468E-2</v>
      </c>
      <c r="O477" s="692">
        <f t="shared" si="239"/>
        <v>101758.64894705119</v>
      </c>
      <c r="P477" s="695">
        <f t="shared" si="240"/>
        <v>1.5707864996203973</v>
      </c>
      <c r="Q477" s="704">
        <f t="shared" si="262"/>
        <v>42.411228029132779</v>
      </c>
      <c r="R477" s="705">
        <f t="shared" si="263"/>
        <v>1.5472154797280859</v>
      </c>
      <c r="S477" s="692">
        <f t="shared" si="241"/>
        <v>1.0391815639229236</v>
      </c>
      <c r="T477" s="695">
        <f t="shared" si="242"/>
        <v>0.27547631105745618</v>
      </c>
      <c r="U477" s="696">
        <f t="shared" si="254"/>
        <v>0.86545566411838271</v>
      </c>
      <c r="V477" s="697">
        <f t="shared" si="255"/>
        <v>-0.65836611716047455</v>
      </c>
      <c r="W477" s="698">
        <f t="shared" si="243"/>
        <v>-7.0874695604465519</v>
      </c>
      <c r="X477" s="699">
        <f t="shared" si="244"/>
        <v>-146.17614699741037</v>
      </c>
      <c r="Y477" s="702">
        <f t="shared" si="245"/>
        <v>33.82385300258963</v>
      </c>
      <c r="AA477" s="174">
        <f t="shared" si="246"/>
        <v>56234</v>
      </c>
      <c r="AB477" s="174">
        <f t="shared" si="247"/>
        <v>3162262756</v>
      </c>
      <c r="AD477" s="701">
        <f t="shared" si="248"/>
        <v>27.272811313030608</v>
      </c>
      <c r="AE477" s="702">
        <f t="shared" si="249"/>
        <v>-17.134149957652266</v>
      </c>
      <c r="AG477" s="701">
        <f t="shared" si="250"/>
        <v>-6.4621309009204539</v>
      </c>
      <c r="AH477" s="702">
        <f t="shared" si="251"/>
        <v>-53.598797178130368</v>
      </c>
      <c r="AJ477" s="174">
        <f t="shared" si="252"/>
        <v>0</v>
      </c>
      <c r="AK477" s="174">
        <f t="shared" si="264"/>
        <v>0</v>
      </c>
      <c r="AM477" s="174" t="str">
        <f t="shared" si="256"/>
        <v>0.467724738741798+0.846571347408187i</v>
      </c>
      <c r="AN477" s="174" t="str">
        <f t="shared" si="257"/>
        <v>1.009510406172i</v>
      </c>
      <c r="AO477" s="174" t="str">
        <f t="shared" si="258"/>
        <v>0.83859595922179-0.463318392640826i</v>
      </c>
      <c r="AP477" s="174" t="str">
        <f t="shared" si="259"/>
        <v>0.0887125435430337-0.141095224568031i</v>
      </c>
      <c r="AQ477" s="174" t="str">
        <f t="shared" si="260"/>
        <v>0.911287456456966+0.141095224568031i</v>
      </c>
      <c r="AR477" s="174" t="str">
        <f t="shared" si="261"/>
        <v>0.892691302724249-0.138215970093026i</v>
      </c>
    </row>
    <row r="478" spans="7:44" x14ac:dyDescent="0.2">
      <c r="G478" s="703">
        <v>56561.5</v>
      </c>
      <c r="H478" s="691">
        <f t="shared" si="253"/>
        <v>56.561500000000002</v>
      </c>
      <c r="I478" s="692">
        <f t="shared" si="233"/>
        <v>55.192668086887174</v>
      </c>
      <c r="J478" s="693">
        <f t="shared" si="234"/>
        <v>1.5526769867598127</v>
      </c>
      <c r="K478" s="693">
        <f t="shared" si="235"/>
        <v>1.0004669464682223</v>
      </c>
      <c r="L478" s="694">
        <f t="shared" si="236"/>
        <v>3.0553717987271169E-2</v>
      </c>
      <c r="M478" s="693">
        <f t="shared" si="237"/>
        <v>1.0026021579183688</v>
      </c>
      <c r="N478" s="694">
        <f t="shared" si="238"/>
        <v>-7.2062857721467893E-2</v>
      </c>
      <c r="O478" s="692">
        <f t="shared" si="239"/>
        <v>102351.27898451874</v>
      </c>
      <c r="P478" s="695">
        <f t="shared" si="240"/>
        <v>1.5707865565212866</v>
      </c>
      <c r="Q478" s="704">
        <f t="shared" si="262"/>
        <v>42.658088958664628</v>
      </c>
      <c r="R478" s="705">
        <f t="shared" si="263"/>
        <v>1.5473519663786846</v>
      </c>
      <c r="S478" s="692">
        <f t="shared" si="241"/>
        <v>1.039630544496037</v>
      </c>
      <c r="T478" s="695">
        <f t="shared" si="242"/>
        <v>0.27700005103923131</v>
      </c>
      <c r="U478" s="696">
        <f t="shared" si="254"/>
        <v>0.86417479577381084</v>
      </c>
      <c r="V478" s="697">
        <f t="shared" si="255"/>
        <v>-0.66172376965854041</v>
      </c>
      <c r="W478" s="698">
        <f t="shared" si="243"/>
        <v>-7.1542293726929982</v>
      </c>
      <c r="X478" s="699">
        <f t="shared" si="244"/>
        <v>-146.46775313794706</v>
      </c>
      <c r="Y478" s="702">
        <f t="shared" si="245"/>
        <v>33.532246862052943</v>
      </c>
      <c r="AA478" s="174">
        <f t="shared" si="246"/>
        <v>56561.5</v>
      </c>
      <c r="AB478" s="174">
        <f t="shared" si="247"/>
        <v>3199203282.25</v>
      </c>
      <c r="AD478" s="701">
        <f t="shared" si="248"/>
        <v>27.269031487151661</v>
      </c>
      <c r="AE478" s="702">
        <f t="shared" si="249"/>
        <v>-17.21363697891578</v>
      </c>
      <c r="AG478" s="701">
        <f t="shared" si="250"/>
        <v>-6.4993817309772002</v>
      </c>
      <c r="AH478" s="702">
        <f t="shared" si="251"/>
        <v>-53.426157662542401</v>
      </c>
      <c r="AJ478" s="174">
        <f t="shared" si="252"/>
        <v>0</v>
      </c>
      <c r="AK478" s="174">
        <f t="shared" si="264"/>
        <v>0</v>
      </c>
      <c r="AM478" s="174" t="str">
        <f t="shared" si="256"/>
        <v>0.472711127641134+0.849686086202732i</v>
      </c>
      <c r="AN478" s="174" t="str">
        <f t="shared" si="257"/>
        <v>1.015389672417i</v>
      </c>
      <c r="AO478" s="174" t="str">
        <f t="shared" si="258"/>
        <v>0.836807886946661-0.465546519215532i</v>
      </c>
      <c r="AP478" s="174" t="str">
        <f t="shared" si="259"/>
        <v>0.0878814787264777-0.141614347700455i</v>
      </c>
      <c r="AQ478" s="174" t="str">
        <f t="shared" si="260"/>
        <v>0.912118521273522+0.141614347700455i</v>
      </c>
      <c r="AR478" s="174" t="str">
        <f t="shared" si="261"/>
        <v>0.891762338043815-0.138453872890974i</v>
      </c>
    </row>
    <row r="479" spans="7:44" x14ac:dyDescent="0.2">
      <c r="G479" s="703">
        <v>56889</v>
      </c>
      <c r="H479" s="691">
        <f t="shared" si="253"/>
        <v>56.889000000000003</v>
      </c>
      <c r="I479" s="692">
        <f t="shared" si="233"/>
        <v>55.512137728136487</v>
      </c>
      <c r="J479" s="693">
        <f t="shared" si="234"/>
        <v>1.5527812739914839</v>
      </c>
      <c r="K479" s="693">
        <f t="shared" si="235"/>
        <v>1.0004723682300982</v>
      </c>
      <c r="L479" s="694">
        <f t="shared" si="236"/>
        <v>3.0730517792515028E-2</v>
      </c>
      <c r="M479" s="693">
        <f t="shared" si="237"/>
        <v>1.0026323392949039</v>
      </c>
      <c r="N479" s="694">
        <f t="shared" si="238"/>
        <v>-7.2478657467376612E-2</v>
      </c>
      <c r="O479" s="692">
        <f t="shared" si="239"/>
        <v>102943.9090219866</v>
      </c>
      <c r="P479" s="695">
        <f t="shared" si="240"/>
        <v>1.5707866127670389</v>
      </c>
      <c r="Q479" s="704">
        <f t="shared" si="262"/>
        <v>42.904950673712769</v>
      </c>
      <c r="R479" s="705">
        <f t="shared" si="263"/>
        <v>1.5474868824284684</v>
      </c>
      <c r="S479" s="692">
        <f t="shared" si="241"/>
        <v>1.0400819367789942</v>
      </c>
      <c r="T479" s="695">
        <f t="shared" si="242"/>
        <v>0.27852247195648744</v>
      </c>
      <c r="U479" s="696">
        <f t="shared" si="254"/>
        <v>0.86289177548118412</v>
      </c>
      <c r="V479" s="697">
        <f t="shared" si="255"/>
        <v>-0.66507486640051361</v>
      </c>
      <c r="W479" s="698">
        <f t="shared" si="243"/>
        <v>-7.2207552831582023</v>
      </c>
      <c r="X479" s="699">
        <f t="shared" si="244"/>
        <v>-146.75892714007495</v>
      </c>
      <c r="Y479" s="702">
        <f t="shared" si="245"/>
        <v>33.241072859925055</v>
      </c>
      <c r="AA479" s="174">
        <f t="shared" si="246"/>
        <v>56889</v>
      </c>
      <c r="AB479" s="174">
        <f t="shared" si="247"/>
        <v>3236358321</v>
      </c>
      <c r="AD479" s="701">
        <f t="shared" si="248"/>
        <v>27.265233620594188</v>
      </c>
      <c r="AE479" s="702">
        <f t="shared" si="249"/>
        <v>-17.293138374610855</v>
      </c>
      <c r="AG479" s="701">
        <f t="shared" si="250"/>
        <v>-6.5362991317962615</v>
      </c>
      <c r="AH479" s="702">
        <f t="shared" si="251"/>
        <v>-53.253822868426219</v>
      </c>
      <c r="AJ479" s="174">
        <f t="shared" si="252"/>
        <v>0</v>
      </c>
      <c r="AK479" s="174">
        <f t="shared" si="264"/>
        <v>0</v>
      </c>
      <c r="AM479" s="174" t="str">
        <f t="shared" si="256"/>
        <v>0.477715742634689+0.852771455026706i</v>
      </c>
      <c r="AN479" s="174" t="str">
        <f t="shared" si="257"/>
        <v>1.021268938662i</v>
      </c>
      <c r="AO479" s="174" t="str">
        <f t="shared" si="258"/>
        <v>0.835011643596986-0.467766838439795i</v>
      </c>
      <c r="AP479" s="174" t="str">
        <f t="shared" si="259"/>
        <v>0.0870473762275518-0.142128575837784i</v>
      </c>
      <c r="AQ479" s="174" t="str">
        <f t="shared" si="260"/>
        <v>0.912952623772448+0.142128575837784i</v>
      </c>
      <c r="AR479" s="174" t="str">
        <f t="shared" si="261"/>
        <v>0.89083361510556-0.138685085870278i</v>
      </c>
    </row>
    <row r="480" spans="7:44" x14ac:dyDescent="0.2">
      <c r="G480" s="703">
        <v>57216.5</v>
      </c>
      <c r="H480" s="691">
        <f t="shared" si="253"/>
        <v>57.216500000000003</v>
      </c>
      <c r="I480" s="692">
        <f t="shared" si="233"/>
        <v>55.831607966216971</v>
      </c>
      <c r="J480" s="693">
        <f t="shared" si="234"/>
        <v>1.552884367754547</v>
      </c>
      <c r="K480" s="693">
        <f t="shared" si="235"/>
        <v>1.0004778212645709</v>
      </c>
      <c r="L480" s="694">
        <f t="shared" si="236"/>
        <v>3.0907315676015241E-2</v>
      </c>
      <c r="M480" s="693">
        <f t="shared" si="237"/>
        <v>1.0026626940055181</v>
      </c>
      <c r="N480" s="694">
        <f t="shared" si="238"/>
        <v>-7.2894432109238641E-2</v>
      </c>
      <c r="O480" s="692">
        <f t="shared" si="239"/>
        <v>103536.53905945482</v>
      </c>
      <c r="P480" s="695">
        <f t="shared" si="240"/>
        <v>1.5707866683689042</v>
      </c>
      <c r="Q480" s="704">
        <f t="shared" si="262"/>
        <v>43.151813160795903</v>
      </c>
      <c r="R480" s="705">
        <f t="shared" si="263"/>
        <v>1.547620254827718</v>
      </c>
      <c r="S480" s="692">
        <f t="shared" si="241"/>
        <v>1.0405357376331406</v>
      </c>
      <c r="T480" s="695">
        <f t="shared" si="242"/>
        <v>0.28004356847326445</v>
      </c>
      <c r="U480" s="696">
        <f t="shared" si="254"/>
        <v>0.86160665745023568</v>
      </c>
      <c r="V480" s="697">
        <f t="shared" si="255"/>
        <v>-0.66841940927038113</v>
      </c>
      <c r="W480" s="698">
        <f t="shared" si="243"/>
        <v>-7.287050195749794</v>
      </c>
      <c r="X480" s="699">
        <f t="shared" si="244"/>
        <v>-147.04966844923968</v>
      </c>
      <c r="Y480" s="702">
        <f t="shared" si="245"/>
        <v>32.950331550760325</v>
      </c>
      <c r="AA480" s="174">
        <f t="shared" si="246"/>
        <v>57216.5</v>
      </c>
      <c r="AB480" s="174">
        <f t="shared" si="247"/>
        <v>3273727872.25</v>
      </c>
      <c r="AD480" s="701">
        <f t="shared" si="248"/>
        <v>27.261417753419529</v>
      </c>
      <c r="AE480" s="702">
        <f t="shared" si="249"/>
        <v>-17.372652295516772</v>
      </c>
      <c r="AG480" s="701">
        <f t="shared" si="250"/>
        <v>-6.5728868334071127</v>
      </c>
      <c r="AH480" s="702">
        <f t="shared" si="251"/>
        <v>-53.081793874559146</v>
      </c>
      <c r="AJ480" s="174">
        <f t="shared" si="252"/>
        <v>0</v>
      </c>
      <c r="AK480" s="174">
        <f t="shared" si="264"/>
        <v>0</v>
      </c>
      <c r="AM480" s="174" t="str">
        <f t="shared" si="256"/>
        <v>0.482738410734581+0.855827347232264i</v>
      </c>
      <c r="AN480" s="174" t="str">
        <f t="shared" si="257"/>
        <v>1.027148204907i</v>
      </c>
      <c r="AO480" s="174" t="str">
        <f t="shared" si="258"/>
        <v>0.83320726565428-0.469979315962772i</v>
      </c>
      <c r="AP480" s="174" t="str">
        <f t="shared" si="259"/>
        <v>0.0862102648775698-0.142637891205377i</v>
      </c>
      <c r="AQ480" s="174" t="str">
        <f t="shared" si="260"/>
        <v>0.91378973512243+0.142637891205377i</v>
      </c>
      <c r="AR480" s="174" t="str">
        <f t="shared" si="261"/>
        <v>0.889905184198356-0.13890963530005i</v>
      </c>
    </row>
    <row r="481" spans="7:44" x14ac:dyDescent="0.2">
      <c r="G481" s="703">
        <v>57544</v>
      </c>
      <c r="H481" s="691">
        <f t="shared" si="253"/>
        <v>57.543999999999997</v>
      </c>
      <c r="I481" s="692">
        <f t="shared" si="233"/>
        <v>56.151078790941625</v>
      </c>
      <c r="J481" s="693">
        <f t="shared" si="234"/>
        <v>1.5529862884174632</v>
      </c>
      <c r="K481" s="693">
        <f t="shared" si="235"/>
        <v>1.0004833055711293</v>
      </c>
      <c r="L481" s="694">
        <f t="shared" si="236"/>
        <v>3.1084111626750805E-2</v>
      </c>
      <c r="M481" s="693">
        <f t="shared" si="237"/>
        <v>1.0026932220344691</v>
      </c>
      <c r="N481" s="694">
        <f t="shared" si="238"/>
        <v>-7.3310181505591723E-2</v>
      </c>
      <c r="O481" s="692">
        <f t="shared" si="239"/>
        <v>104129.16909692333</v>
      </c>
      <c r="P481" s="695">
        <f t="shared" si="240"/>
        <v>1.5707867233378761</v>
      </c>
      <c r="Q481" s="704">
        <f t="shared" si="262"/>
        <v>43.398676406739462</v>
      </c>
      <c r="R481" s="705">
        <f t="shared" si="263"/>
        <v>1.5477521099137355</v>
      </c>
      <c r="S481" s="692">
        <f t="shared" si="241"/>
        <v>1.0409919439085626</v>
      </c>
      <c r="T481" s="695">
        <f t="shared" si="242"/>
        <v>0.28156333528739658</v>
      </c>
      <c r="U481" s="696">
        <f t="shared" si="254"/>
        <v>0.86031949549368814</v>
      </c>
      <c r="V481" s="697">
        <f t="shared" si="255"/>
        <v>-0.67175740050516275</v>
      </c>
      <c r="W481" s="698">
        <f t="shared" si="243"/>
        <v>-7.3531169585925626</v>
      </c>
      <c r="X481" s="699">
        <f t="shared" si="244"/>
        <v>-147.33997654098812</v>
      </c>
      <c r="Y481" s="702">
        <f t="shared" si="245"/>
        <v>32.660023459011882</v>
      </c>
      <c r="AA481" s="174">
        <f t="shared" si="246"/>
        <v>57544</v>
      </c>
      <c r="AB481" s="174">
        <f t="shared" si="247"/>
        <v>3311311936</v>
      </c>
      <c r="AD481" s="701">
        <f t="shared" si="248"/>
        <v>27.257583926143866</v>
      </c>
      <c r="AE481" s="702">
        <f t="shared" si="249"/>
        <v>-17.452176929455408</v>
      </c>
      <c r="AG481" s="701">
        <f t="shared" si="250"/>
        <v>-6.6091485070494915</v>
      </c>
      <c r="AH481" s="702">
        <f t="shared" si="251"/>
        <v>-52.910071712322548</v>
      </c>
      <c r="AJ481" s="174">
        <f t="shared" si="252"/>
        <v>0</v>
      </c>
      <c r="AK481" s="174">
        <f t="shared" si="264"/>
        <v>0</v>
      </c>
      <c r="AM481" s="174" t="str">
        <f t="shared" si="256"/>
        <v>0.487778958328914+0.858853657190436i</v>
      </c>
      <c r="AN481" s="174" t="str">
        <f t="shared" si="257"/>
        <v>1.033027471152i</v>
      </c>
      <c r="AO481" s="174" t="str">
        <f t="shared" si="258"/>
        <v>0.831394789755852-0.47218391761156i</v>
      </c>
      <c r="AP481" s="174" t="str">
        <f t="shared" si="259"/>
        <v>0.0853701736118477-0.143142276198406i</v>
      </c>
      <c r="AQ481" s="174" t="str">
        <f t="shared" si="260"/>
        <v>0.914629826388152+0.143142276198406i</v>
      </c>
      <c r="AR481" s="174" t="str">
        <f t="shared" si="261"/>
        <v>0.888977095071291-0.13912754778538i</v>
      </c>
    </row>
    <row r="482" spans="7:44" x14ac:dyDescent="0.2">
      <c r="G482" s="703">
        <v>57879</v>
      </c>
      <c r="H482" s="691">
        <f t="shared" si="253"/>
        <v>57.878999999999998</v>
      </c>
      <c r="I482" s="692">
        <f t="shared" si="233"/>
        <v>56.477866337994868</v>
      </c>
      <c r="J482" s="693">
        <f t="shared" si="234"/>
        <v>1.5530893501875158</v>
      </c>
      <c r="K482" s="693">
        <f t="shared" si="235"/>
        <v>1.000488947826476</v>
      </c>
      <c r="L482" s="694">
        <f t="shared" si="236"/>
        <v>3.1264954328564055E-2</v>
      </c>
      <c r="M482" s="693">
        <f t="shared" si="237"/>
        <v>1.0027246284795519</v>
      </c>
      <c r="N482" s="694">
        <f t="shared" si="238"/>
        <v>-7.3735425613724911E-2</v>
      </c>
      <c r="O482" s="692">
        <f t="shared" si="239"/>
        <v>104735.37081463954</v>
      </c>
      <c r="P482" s="695">
        <f t="shared" si="240"/>
        <v>1.5707867789220793</v>
      </c>
      <c r="Q482" s="704">
        <f t="shared" si="262"/>
        <v>43.651193781165269</v>
      </c>
      <c r="R482" s="705">
        <f t="shared" si="263"/>
        <v>1.5478854415818053</v>
      </c>
      <c r="S482" s="692">
        <f t="shared" si="241"/>
        <v>1.0414610830414237</v>
      </c>
      <c r="T482" s="695">
        <f t="shared" si="242"/>
        <v>0.28311652470147702</v>
      </c>
      <c r="U482" s="696">
        <f t="shared" si="254"/>
        <v>0.85900079755504988</v>
      </c>
      <c r="V482" s="697">
        <f t="shared" si="255"/>
        <v>-0.67516505857631348</v>
      </c>
      <c r="W482" s="698">
        <f t="shared" si="243"/>
        <v>-7.4204635660688458</v>
      </c>
      <c r="X482" s="699">
        <f t="shared" si="244"/>
        <v>-147.63648418146553</v>
      </c>
      <c r="Y482" s="702">
        <f t="shared" si="245"/>
        <v>32.363515818534466</v>
      </c>
      <c r="AA482" s="174">
        <f t="shared" si="246"/>
        <v>57879</v>
      </c>
      <c r="AB482" s="174">
        <f t="shared" si="247"/>
        <v>3349978641</v>
      </c>
      <c r="AD482" s="701">
        <f t="shared" si="248"/>
        <v>27.253643762238639</v>
      </c>
      <c r="AE482" s="702">
        <f t="shared" si="249"/>
        <v>-17.533531970643995</v>
      </c>
      <c r="AG482" s="701">
        <f t="shared" si="250"/>
        <v>-6.6459070548135921</v>
      </c>
      <c r="AH482" s="702">
        <f t="shared" si="251"/>
        <v>-52.734735460163925</v>
      </c>
      <c r="AJ482" s="174">
        <f t="shared" si="252"/>
        <v>0</v>
      </c>
      <c r="AK482" s="174">
        <f t="shared" si="264"/>
        <v>0</v>
      </c>
      <c r="AM482" s="174" t="str">
        <f t="shared" si="256"/>
        <v>0.49295325503456+0.861918556720966i</v>
      </c>
      <c r="AN482" s="174" t="str">
        <f t="shared" si="257"/>
        <v>1.039041377082i</v>
      </c>
      <c r="AO482" s="174" t="str">
        <f t="shared" si="258"/>
        <v>0.829532466879752-0.474430822397996i</v>
      </c>
      <c r="AP482" s="174" t="str">
        <f t="shared" si="259"/>
        <v>0.0845077908275733-0.143653092786828i</v>
      </c>
      <c r="AQ482" s="174" t="str">
        <f t="shared" si="260"/>
        <v>0.915492209172427+0.143653092786828i</v>
      </c>
      <c r="AR482" s="174" t="str">
        <f t="shared" si="261"/>
        <v>0.888028156902858-0.139343612040346i</v>
      </c>
    </row>
    <row r="483" spans="7:44" x14ac:dyDescent="0.2">
      <c r="G483" s="703">
        <v>58214</v>
      </c>
      <c r="H483" s="691">
        <f t="shared" si="253"/>
        <v>58.213999999999999</v>
      </c>
      <c r="I483" s="692">
        <f t="shared" si="233"/>
        <v>56.804654478038508</v>
      </c>
      <c r="J483" s="693">
        <f t="shared" si="234"/>
        <v>1.5531912261627066</v>
      </c>
      <c r="K483" s="693">
        <f t="shared" si="235"/>
        <v>1.0004946228015266</v>
      </c>
      <c r="L483" s="694">
        <f t="shared" si="236"/>
        <v>3.1445794984750572E-2</v>
      </c>
      <c r="M483" s="693">
        <f t="shared" si="237"/>
        <v>1.0027562162385102</v>
      </c>
      <c r="N483" s="694">
        <f t="shared" si="238"/>
        <v>-7.4160643007572691E-2</v>
      </c>
      <c r="O483" s="692">
        <f t="shared" si="239"/>
        <v>105341.57253235606</v>
      </c>
      <c r="P483" s="695">
        <f t="shared" si="240"/>
        <v>1.5707868338665496</v>
      </c>
      <c r="Q483" s="704">
        <f t="shared" si="262"/>
        <v>43.903711922666389</v>
      </c>
      <c r="R483" s="705">
        <f t="shared" si="263"/>
        <v>1.5480172395019252</v>
      </c>
      <c r="S483" s="692">
        <f t="shared" si="241"/>
        <v>1.0419327323262386</v>
      </c>
      <c r="T483" s="695">
        <f t="shared" si="242"/>
        <v>0.2846683116989337</v>
      </c>
      <c r="U483" s="696">
        <f t="shared" si="254"/>
        <v>0.85768007362464327</v>
      </c>
      <c r="V483" s="697">
        <f t="shared" si="255"/>
        <v>-0.678565867350856</v>
      </c>
      <c r="W483" s="698">
        <f t="shared" si="243"/>
        <v>-7.487577309898712</v>
      </c>
      <c r="X483" s="699">
        <f t="shared" si="244"/>
        <v>-147.93253751977988</v>
      </c>
      <c r="Y483" s="702">
        <f t="shared" si="245"/>
        <v>32.067462480220115</v>
      </c>
      <c r="AA483" s="174">
        <f t="shared" si="246"/>
        <v>58214</v>
      </c>
      <c r="AB483" s="174">
        <f t="shared" si="247"/>
        <v>3388869796</v>
      </c>
      <c r="AD483" s="701">
        <f t="shared" si="248"/>
        <v>27.249684893373729</v>
      </c>
      <c r="AE483" s="702">
        <f t="shared" si="249"/>
        <v>-17.614894499909294</v>
      </c>
      <c r="AG483" s="701">
        <f t="shared" si="250"/>
        <v>-6.682332058763393</v>
      </c>
      <c r="AH483" s="702">
        <f t="shared" si="251"/>
        <v>-52.559722289342972</v>
      </c>
      <c r="AJ483" s="174">
        <f t="shared" si="252"/>
        <v>0</v>
      </c>
      <c r="AK483" s="174">
        <f t="shared" si="264"/>
        <v>0</v>
      </c>
      <c r="AM483" s="174" t="str">
        <f t="shared" si="256"/>
        <v>0.498145890077284+0.864952283281383i</v>
      </c>
      <c r="AN483" s="174" t="str">
        <f t="shared" si="257"/>
        <v>1.045055283012i</v>
      </c>
      <c r="AO483" s="174" t="str">
        <f t="shared" si="258"/>
        <v>0.827661748944483-0.476669414695035i</v>
      </c>
      <c r="AP483" s="174" t="str">
        <f t="shared" si="259"/>
        <v>0.083642351653786-0.14415871388023i</v>
      </c>
      <c r="AQ483" s="174" t="str">
        <f t="shared" si="260"/>
        <v>0.916357648346214+0.14415871388023i</v>
      </c>
      <c r="AR483" s="174" t="str">
        <f t="shared" si="261"/>
        <v>0.887079679917664-0.139552789237921i</v>
      </c>
    </row>
    <row r="484" spans="7:44" x14ac:dyDescent="0.2">
      <c r="G484" s="703">
        <v>58549</v>
      </c>
      <c r="H484" s="691">
        <f t="shared" si="253"/>
        <v>58.548999999999999</v>
      </c>
      <c r="I484" s="692">
        <f t="shared" si="233"/>
        <v>57.131443200896946</v>
      </c>
      <c r="J484" s="693">
        <f t="shared" si="234"/>
        <v>1.5532919366889471</v>
      </c>
      <c r="K484" s="693">
        <f t="shared" si="235"/>
        <v>1.0005003304957238</v>
      </c>
      <c r="L484" s="694">
        <f t="shared" si="236"/>
        <v>3.1626633583517076E-2</v>
      </c>
      <c r="M484" s="693">
        <f t="shared" si="237"/>
        <v>1.0027879852942101</v>
      </c>
      <c r="N484" s="694">
        <f t="shared" si="238"/>
        <v>-7.4585833535899926E-2</v>
      </c>
      <c r="O484" s="692">
        <f t="shared" si="239"/>
        <v>105947.77425007291</v>
      </c>
      <c r="P484" s="695">
        <f t="shared" si="240"/>
        <v>1.570786888182268</v>
      </c>
      <c r="Q484" s="704">
        <f t="shared" si="262"/>
        <v>44.156230818082676</v>
      </c>
      <c r="R484" s="705">
        <f t="shared" si="263"/>
        <v>1.5481475299828862</v>
      </c>
      <c r="S484" s="692">
        <f t="shared" si="241"/>
        <v>1.042406888355764</v>
      </c>
      <c r="T484" s="695">
        <f t="shared" si="242"/>
        <v>0.28621869071493733</v>
      </c>
      <c r="U484" s="696">
        <f t="shared" si="254"/>
        <v>0.85635737999575012</v>
      </c>
      <c r="V484" s="697">
        <f t="shared" si="255"/>
        <v>-0.68195983034456664</v>
      </c>
      <c r="W484" s="698">
        <f t="shared" si="243"/>
        <v>-7.5544610657651825</v>
      </c>
      <c r="X484" s="699">
        <f t="shared" si="244"/>
        <v>-148.22813608952097</v>
      </c>
      <c r="Y484" s="702">
        <f t="shared" si="245"/>
        <v>31.771863910479027</v>
      </c>
      <c r="AA484" s="174">
        <f t="shared" si="246"/>
        <v>58549</v>
      </c>
      <c r="AB484" s="174">
        <f t="shared" si="247"/>
        <v>3427985401</v>
      </c>
      <c r="AD484" s="701">
        <f t="shared" si="248"/>
        <v>27.245707364309744</v>
      </c>
      <c r="AE484" s="702">
        <f t="shared" si="249"/>
        <v>-17.69626269165655</v>
      </c>
      <c r="AG484" s="701">
        <f t="shared" si="250"/>
        <v>-6.7184272654407948</v>
      </c>
      <c r="AH484" s="702">
        <f t="shared" si="251"/>
        <v>-52.385033156165989</v>
      </c>
      <c r="AJ484" s="174">
        <f t="shared" si="252"/>
        <v>0</v>
      </c>
      <c r="AK484" s="174">
        <f t="shared" si="264"/>
        <v>0</v>
      </c>
      <c r="AM484" s="174" t="str">
        <f t="shared" si="256"/>
        <v>0.503356675655284+0.867954727151036i</v>
      </c>
      <c r="AN484" s="174" t="str">
        <f t="shared" si="257"/>
        <v>1.051069188942i</v>
      </c>
      <c r="AO484" s="174" t="str">
        <f t="shared" si="258"/>
        <v>0.825782675662593-0.478899658510549i</v>
      </c>
      <c r="AP484" s="174" t="str">
        <f t="shared" si="259"/>
        <v>0.082773887390786-0.144659121191839i</v>
      </c>
      <c r="AQ484" s="174" t="str">
        <f t="shared" si="260"/>
        <v>0.917226112609214+0.144659121191839i</v>
      </c>
      <c r="AR484" s="174" t="str">
        <f t="shared" si="261"/>
        <v>0.886131715607718-0.139755108885178i</v>
      </c>
    </row>
    <row r="485" spans="7:44" x14ac:dyDescent="0.2">
      <c r="G485" s="703">
        <v>58884</v>
      </c>
      <c r="H485" s="691">
        <f t="shared" si="253"/>
        <v>58.884</v>
      </c>
      <c r="I485" s="692">
        <f t="shared" si="233"/>
        <v>57.458232496626053</v>
      </c>
      <c r="J485" s="693">
        <f t="shared" si="234"/>
        <v>1.553391501649382</v>
      </c>
      <c r="K485" s="693">
        <f t="shared" si="235"/>
        <v>1.0005060709085083</v>
      </c>
      <c r="L485" s="694">
        <f t="shared" si="236"/>
        <v>3.1807470113071105E-2</v>
      </c>
      <c r="M485" s="693">
        <f t="shared" si="237"/>
        <v>1.0028199356294212</v>
      </c>
      <c r="N485" s="694">
        <f t="shared" si="238"/>
        <v>-7.5010997047529379E-2</v>
      </c>
      <c r="O485" s="692">
        <f t="shared" si="239"/>
        <v>106553.97596779006</v>
      </c>
      <c r="P485" s="695">
        <f t="shared" si="240"/>
        <v>1.5707869418799656</v>
      </c>
      <c r="Q485" s="704">
        <f t="shared" si="262"/>
        <v>44.408750454553306</v>
      </c>
      <c r="R485" s="705">
        <f t="shared" si="263"/>
        <v>1.5482763387352936</v>
      </c>
      <c r="S485" s="692">
        <f t="shared" si="241"/>
        <v>1.0428835477108604</v>
      </c>
      <c r="T485" s="695">
        <f t="shared" si="242"/>
        <v>0.28776765622182654</v>
      </c>
      <c r="U485" s="696">
        <f t="shared" si="254"/>
        <v>0.85503277251898679</v>
      </c>
      <c r="V485" s="697">
        <f t="shared" si="255"/>
        <v>-0.68534695144284152</v>
      </c>
      <c r="W485" s="698">
        <f t="shared" si="243"/>
        <v>-7.6211176539086081</v>
      </c>
      <c r="X485" s="699">
        <f t="shared" si="244"/>
        <v>-148.52327945533369</v>
      </c>
      <c r="Y485" s="702">
        <f t="shared" si="245"/>
        <v>31.476720544666307</v>
      </c>
      <c r="AA485" s="174">
        <f t="shared" si="246"/>
        <v>58884</v>
      </c>
      <c r="AB485" s="174">
        <f t="shared" si="247"/>
        <v>3467325456</v>
      </c>
      <c r="AD485" s="701">
        <f t="shared" si="248"/>
        <v>27.241711220252377</v>
      </c>
      <c r="AE485" s="702">
        <f t="shared" si="249"/>
        <v>-17.777634756679781</v>
      </c>
      <c r="AG485" s="701">
        <f t="shared" si="250"/>
        <v>-6.754196362425148</v>
      </c>
      <c r="AH485" s="702">
        <f t="shared" si="251"/>
        <v>-52.210668969250278</v>
      </c>
      <c r="AJ485" s="174">
        <f t="shared" si="252"/>
        <v>0</v>
      </c>
      <c r="AK485" s="174">
        <f t="shared" si="264"/>
        <v>0</v>
      </c>
      <c r="AM485" s="174" t="str">
        <f t="shared" si="256"/>
        <v>0.50858542331031+0.870925779740669i</v>
      </c>
      <c r="AN485" s="174" t="str">
        <f t="shared" si="257"/>
        <v>1.057083094872i</v>
      </c>
      <c r="AO485" s="174" t="str">
        <f t="shared" si="258"/>
        <v>0.823895286913209-0.481121518050474i</v>
      </c>
      <c r="AP485" s="174" t="str">
        <f t="shared" si="259"/>
        <v>0.0819024294482817-0.145154296623445i</v>
      </c>
      <c r="AQ485" s="174" t="str">
        <f t="shared" si="260"/>
        <v>0.918097570551718+0.145154296623445i</v>
      </c>
      <c r="AR485" s="174" t="str">
        <f t="shared" si="261"/>
        <v>0.885184314874027-0.139950600817332i</v>
      </c>
    </row>
    <row r="486" spans="7:44" x14ac:dyDescent="0.2">
      <c r="G486" s="703">
        <v>59227</v>
      </c>
      <c r="H486" s="691">
        <f t="shared" si="253"/>
        <v>59.226999999999997</v>
      </c>
      <c r="I486" s="692">
        <f t="shared" si="233"/>
        <v>57.792826299241106</v>
      </c>
      <c r="J486" s="693">
        <f t="shared" si="234"/>
        <v>1.5534922776455296</v>
      </c>
      <c r="K486" s="693">
        <f t="shared" si="235"/>
        <v>1.0005119823051145</v>
      </c>
      <c r="L486" s="694">
        <f t="shared" si="236"/>
        <v>3.1992622970674789E-2</v>
      </c>
      <c r="M486" s="693">
        <f t="shared" si="237"/>
        <v>1.0028528367644123</v>
      </c>
      <c r="N486" s="694">
        <f t="shared" si="238"/>
        <v>-7.5446285567660615E-2</v>
      </c>
      <c r="O486" s="692">
        <f t="shared" si="239"/>
        <v>107174.65414443809</v>
      </c>
      <c r="P486" s="695">
        <f t="shared" si="240"/>
        <v>1.5707869962306136</v>
      </c>
      <c r="Q486" s="704">
        <f t="shared" si="262"/>
        <v>44.667301165385979</v>
      </c>
      <c r="R486" s="705">
        <f t="shared" si="263"/>
        <v>1.5484067145300646</v>
      </c>
      <c r="S486" s="692">
        <f t="shared" si="241"/>
        <v>1.0433741801034926</v>
      </c>
      <c r="T486" s="695">
        <f t="shared" si="242"/>
        <v>0.28935214167070428</v>
      </c>
      <c r="U486" s="696">
        <f t="shared" si="254"/>
        <v>0.85367460753645408</v>
      </c>
      <c r="V486" s="697">
        <f t="shared" si="255"/>
        <v>-0.68880787452747483</v>
      </c>
      <c r="W486" s="698">
        <f t="shared" si="243"/>
        <v>-7.6891335598009256</v>
      </c>
      <c r="X486" s="699">
        <f t="shared" si="244"/>
        <v>-148.82499895886366</v>
      </c>
      <c r="Y486" s="702">
        <f t="shared" si="245"/>
        <v>31.175001041136341</v>
      </c>
      <c r="AA486" s="174">
        <f t="shared" si="246"/>
        <v>59227</v>
      </c>
      <c r="AB486" s="174">
        <f t="shared" si="247"/>
        <v>3507837529</v>
      </c>
      <c r="AD486" s="701">
        <f t="shared" si="248"/>
        <v>27.237600406447502</v>
      </c>
      <c r="AE486" s="702">
        <f t="shared" si="249"/>
        <v>-17.86095221696727</v>
      </c>
      <c r="AG486" s="701">
        <f t="shared" si="250"/>
        <v>-6.7904855531110417</v>
      </c>
      <c r="AH486" s="702">
        <f t="shared" si="251"/>
        <v>-52.032478440101798</v>
      </c>
      <c r="AJ486" s="174">
        <f t="shared" si="252"/>
        <v>0</v>
      </c>
      <c r="AK486" s="174">
        <f t="shared" si="264"/>
        <v>0</v>
      </c>
      <c r="AM486" s="174" t="str">
        <f t="shared" si="256"/>
        <v>0.513957449697898+0.873935145932367i</v>
      </c>
      <c r="AN486" s="174" t="str">
        <f t="shared" si="257"/>
        <v>1.063240616466i</v>
      </c>
      <c r="AO486" s="174" t="str">
        <f t="shared" si="258"/>
        <v>0.821954252309466-0.483387712751409i</v>
      </c>
      <c r="AP486" s="174" t="str">
        <f t="shared" si="259"/>
        <v>0.081007091717017-0.145655857655394i</v>
      </c>
      <c r="AQ486" s="174" t="str">
        <f t="shared" si="260"/>
        <v>0.918992908282983+0.145655857655394i</v>
      </c>
      <c r="AR486" s="174" t="str">
        <f t="shared" si="261"/>
        <v>0.884214926108087-0.140143718469605i</v>
      </c>
    </row>
    <row r="487" spans="7:44" x14ac:dyDescent="0.2">
      <c r="G487" s="703">
        <v>59570</v>
      </c>
      <c r="H487" s="691">
        <f t="shared" si="253"/>
        <v>59.57</v>
      </c>
      <c r="I487" s="692">
        <f t="shared" si="233"/>
        <v>58.127420682031605</v>
      </c>
      <c r="J487" s="693">
        <f t="shared" si="234"/>
        <v>1.5535918934645105</v>
      </c>
      <c r="K487" s="693">
        <f t="shared" si="235"/>
        <v>1.0005179280004468</v>
      </c>
      <c r="L487" s="694">
        <f t="shared" si="236"/>
        <v>3.2177773634040452E-2</v>
      </c>
      <c r="M487" s="693">
        <f t="shared" si="237"/>
        <v>1.0028859279035551</v>
      </c>
      <c r="N487" s="694">
        <f t="shared" si="238"/>
        <v>-7.588154544477238E-2</v>
      </c>
      <c r="O487" s="692">
        <f t="shared" si="239"/>
        <v>107795.33232108643</v>
      </c>
      <c r="P487" s="695">
        <f t="shared" si="240"/>
        <v>1.5707870499553667</v>
      </c>
      <c r="Q487" s="704">
        <f t="shared" si="262"/>
        <v>44.925852626727611</v>
      </c>
      <c r="R487" s="705">
        <f t="shared" si="263"/>
        <v>1.5485355896831536</v>
      </c>
      <c r="S487" s="692">
        <f t="shared" si="241"/>
        <v>1.0438674295189969</v>
      </c>
      <c r="T487" s="695">
        <f t="shared" si="242"/>
        <v>0.29093513368500673</v>
      </c>
      <c r="U487" s="696">
        <f t="shared" si="254"/>
        <v>0.85231455327588379</v>
      </c>
      <c r="V487" s="697">
        <f t="shared" si="255"/>
        <v>-0.69226163445023781</v>
      </c>
      <c r="W487" s="698">
        <f t="shared" si="243"/>
        <v>-7.756917129900768</v>
      </c>
      <c r="X487" s="699">
        <f t="shared" si="244"/>
        <v>-149.12624043186693</v>
      </c>
      <c r="Y487" s="702">
        <f t="shared" si="245"/>
        <v>30.873759568133067</v>
      </c>
      <c r="AA487" s="174">
        <f t="shared" si="246"/>
        <v>59570</v>
      </c>
      <c r="AB487" s="174">
        <f t="shared" si="247"/>
        <v>3548584900</v>
      </c>
      <c r="AD487" s="701">
        <f t="shared" si="248"/>
        <v>27.233470175248996</v>
      </c>
      <c r="AE487" s="702">
        <f t="shared" si="249"/>
        <v>-17.944270054330424</v>
      </c>
      <c r="AG487" s="701">
        <f t="shared" si="250"/>
        <v>-6.8264405127186354</v>
      </c>
      <c r="AH487" s="702">
        <f t="shared" si="251"/>
        <v>-51.85463034123817</v>
      </c>
      <c r="AJ487" s="174">
        <f t="shared" si="252"/>
        <v>0</v>
      </c>
      <c r="AK487" s="174">
        <f t="shared" si="264"/>
        <v>0</v>
      </c>
      <c r="AM487" s="174" t="str">
        <f t="shared" si="256"/>
        <v>0.519347904365637+0.87691137691462i</v>
      </c>
      <c r="AN487" s="174" t="str">
        <f t="shared" si="257"/>
        <v>1.06939813806i</v>
      </c>
      <c r="AO487" s="174" t="str">
        <f t="shared" si="258"/>
        <v>0.820004585481539-0.48564504264781i</v>
      </c>
      <c r="AP487" s="174" t="str">
        <f t="shared" si="259"/>
        <v>0.0801086826057272-0.146151896152437i</v>
      </c>
      <c r="AQ487" s="174" t="str">
        <f t="shared" si="260"/>
        <v>0.919891317394273+0.146151896152437i</v>
      </c>
      <c r="AR487" s="174" t="str">
        <f t="shared" si="261"/>
        <v>0.88324623425674-0.140329742726329i</v>
      </c>
    </row>
    <row r="488" spans="7:44" x14ac:dyDescent="0.2">
      <c r="G488" s="703">
        <v>59913</v>
      </c>
      <c r="H488" s="691">
        <f t="shared" si="253"/>
        <v>59.912999999999997</v>
      </c>
      <c r="I488" s="692">
        <f t="shared" si="233"/>
        <v>58.462015635036039</v>
      </c>
      <c r="J488" s="693">
        <f t="shared" si="234"/>
        <v>1.5536903690244153</v>
      </c>
      <c r="K488" s="693">
        <f t="shared" si="235"/>
        <v>1.0005239079938941</v>
      </c>
      <c r="L488" s="694">
        <f t="shared" si="236"/>
        <v>3.2362922090513113E-2</v>
      </c>
      <c r="M488" s="693">
        <f t="shared" si="237"/>
        <v>1.0029192090280421</v>
      </c>
      <c r="N488" s="694">
        <f t="shared" si="238"/>
        <v>-7.6316776516787102E-2</v>
      </c>
      <c r="O488" s="692">
        <f t="shared" si="239"/>
        <v>108416.01049773507</v>
      </c>
      <c r="P488" s="695">
        <f t="shared" si="240"/>
        <v>1.5707871030649749</v>
      </c>
      <c r="Q488" s="704">
        <f t="shared" si="262"/>
        <v>45.184404825694649</v>
      </c>
      <c r="R488" s="705">
        <f t="shared" si="263"/>
        <v>1.5486629899509585</v>
      </c>
      <c r="S488" s="692">
        <f t="shared" si="241"/>
        <v>1.0443632922493389</v>
      </c>
      <c r="T488" s="695">
        <f t="shared" si="242"/>
        <v>0.29251662645288246</v>
      </c>
      <c r="U488" s="696">
        <f t="shared" si="254"/>
        <v>0.85095266823217164</v>
      </c>
      <c r="V488" s="697">
        <f t="shared" si="255"/>
        <v>-0.69570823655792857</v>
      </c>
      <c r="W488" s="698">
        <f t="shared" si="243"/>
        <v>-7.8244712192448853</v>
      </c>
      <c r="X488" s="699">
        <f t="shared" si="244"/>
        <v>-149.42700350524217</v>
      </c>
      <c r="Y488" s="702">
        <f t="shared" si="245"/>
        <v>30.572996494757831</v>
      </c>
      <c r="AA488" s="174">
        <f t="shared" si="246"/>
        <v>59913</v>
      </c>
      <c r="AB488" s="174">
        <f t="shared" si="247"/>
        <v>3589567569</v>
      </c>
      <c r="AD488" s="701">
        <f t="shared" si="248"/>
        <v>27.229320576550315</v>
      </c>
      <c r="AE488" s="702">
        <f t="shared" si="249"/>
        <v>-18.027586460657712</v>
      </c>
      <c r="AG488" s="701">
        <f t="shared" si="250"/>
        <v>-6.8620650154422647</v>
      </c>
      <c r="AH488" s="702">
        <f t="shared" si="251"/>
        <v>-51.677125498971641</v>
      </c>
      <c r="AJ488" s="174">
        <f t="shared" si="252"/>
        <v>0</v>
      </c>
      <c r="AK488" s="174">
        <f t="shared" si="264"/>
        <v>0</v>
      </c>
      <c r="AM488" s="174" t="str">
        <f t="shared" si="256"/>
        <v>0.524756582934695+0.879854359843771i</v>
      </c>
      <c r="AN488" s="174" t="str">
        <f t="shared" si="257"/>
        <v>1.075555659654i</v>
      </c>
      <c r="AO488" s="174" t="str">
        <f t="shared" si="258"/>
        <v>0.818046329770432-0.487893469970216i</v>
      </c>
      <c r="AP488" s="174" t="str">
        <f t="shared" si="259"/>
        <v>0.0792072361775508-0.146642393307295i</v>
      </c>
      <c r="AQ488" s="174" t="str">
        <f t="shared" si="260"/>
        <v>0.920792763822449+0.146642393307295i</v>
      </c>
      <c r="AR488" s="174" t="str">
        <f t="shared" si="261"/>
        <v>0.882278292032561-0.14050870661672i</v>
      </c>
    </row>
    <row r="489" spans="7:44" x14ac:dyDescent="0.2">
      <c r="G489" s="703">
        <v>60256</v>
      </c>
      <c r="H489" s="691">
        <f t="shared" si="253"/>
        <v>60.256</v>
      </c>
      <c r="I489" s="692">
        <f t="shared" si="233"/>
        <v>58.796611148519617</v>
      </c>
      <c r="J489" s="693">
        <f t="shared" si="234"/>
        <v>1.5537877237900293</v>
      </c>
      <c r="K489" s="693">
        <f t="shared" si="235"/>
        <v>1.0005299222848412</v>
      </c>
      <c r="L489" s="694">
        <f t="shared" si="236"/>
        <v>3.2548068327438687E-2</v>
      </c>
      <c r="M489" s="693">
        <f t="shared" si="237"/>
        <v>1.0029526801189601</v>
      </c>
      <c r="N489" s="694">
        <f t="shared" si="238"/>
        <v>-7.6751978621692335E-2</v>
      </c>
      <c r="O489" s="692">
        <f t="shared" si="239"/>
        <v>109036.68867438402</v>
      </c>
      <c r="P489" s="695">
        <f t="shared" si="240"/>
        <v>1.5707871555699431</v>
      </c>
      <c r="Q489" s="704">
        <f t="shared" si="262"/>
        <v>45.442957749696703</v>
      </c>
      <c r="R489" s="705">
        <f t="shared" si="263"/>
        <v>1.5487889405038953</v>
      </c>
      <c r="S489" s="692">
        <f t="shared" si="241"/>
        <v>1.0448617645738962</v>
      </c>
      <c r="T489" s="695">
        <f t="shared" si="242"/>
        <v>0.2940966142034816</v>
      </c>
      <c r="U489" s="696">
        <f t="shared" si="254"/>
        <v>0.84958901040685131</v>
      </c>
      <c r="V489" s="697">
        <f t="shared" si="255"/>
        <v>-0.69914768658461623</v>
      </c>
      <c r="W489" s="698">
        <f t="shared" si="243"/>
        <v>-7.891798627580533</v>
      </c>
      <c r="X489" s="699">
        <f t="shared" si="244"/>
        <v>-149.72728784201769</v>
      </c>
      <c r="Y489" s="702">
        <f t="shared" si="245"/>
        <v>30.272712157982312</v>
      </c>
      <c r="AA489" s="174">
        <f t="shared" si="246"/>
        <v>60256</v>
      </c>
      <c r="AB489" s="174">
        <f t="shared" si="247"/>
        <v>3630785536</v>
      </c>
      <c r="AD489" s="701">
        <f t="shared" si="248"/>
        <v>27.225151660681959</v>
      </c>
      <c r="AE489" s="702">
        <f t="shared" si="249"/>
        <v>-18.110899663747073</v>
      </c>
      <c r="AG489" s="701">
        <f t="shared" si="250"/>
        <v>-6.8973627760911338</v>
      </c>
      <c r="AH489" s="702">
        <f t="shared" si="251"/>
        <v>-51.499964691456732</v>
      </c>
      <c r="AJ489" s="174">
        <f t="shared" si="252"/>
        <v>0</v>
      </c>
      <c r="AK489" s="174">
        <f t="shared" si="264"/>
        <v>0</v>
      </c>
      <c r="AM489" s="174" t="str">
        <f t="shared" si="256"/>
        <v>0.530183280335283+0.882763983136764i</v>
      </c>
      <c r="AN489" s="174" t="str">
        <f t="shared" si="257"/>
        <v>1.081713181248i</v>
      </c>
      <c r="AO489" s="174" t="str">
        <f t="shared" si="258"/>
        <v>0.816079528695672-0.4901329571704i</v>
      </c>
      <c r="AP489" s="174" t="str">
        <f t="shared" si="259"/>
        <v>0.0783027866107862-0.147127330522794i</v>
      </c>
      <c r="AQ489" s="174" t="str">
        <f t="shared" si="260"/>
        <v>0.921697213389214+0.147127330522794i</v>
      </c>
      <c r="AR489" s="174" t="str">
        <f t="shared" si="261"/>
        <v>0.881311151501139-0.140680643487611i</v>
      </c>
    </row>
    <row r="490" spans="7:44" x14ac:dyDescent="0.2">
      <c r="G490" s="703">
        <v>60607</v>
      </c>
      <c r="H490" s="691">
        <f t="shared" si="253"/>
        <v>60.606999999999999</v>
      </c>
      <c r="I490" s="692">
        <f t="shared" si="233"/>
        <v>59.139011209309089</v>
      </c>
      <c r="J490" s="693">
        <f t="shared" si="234"/>
        <v>1.5538862087556793</v>
      </c>
      <c r="K490" s="693">
        <f t="shared" si="235"/>
        <v>1.0005361123568914</v>
      </c>
      <c r="L490" s="694">
        <f t="shared" si="236"/>
        <v>3.2737530532939013E-2</v>
      </c>
      <c r="M490" s="693">
        <f t="shared" si="237"/>
        <v>1.0029871285210363</v>
      </c>
      <c r="N490" s="694">
        <f t="shared" si="238"/>
        <v>-7.7197301055634465E-2</v>
      </c>
      <c r="O490" s="692">
        <f t="shared" si="239"/>
        <v>109671.84330996386</v>
      </c>
      <c r="P490" s="695">
        <f t="shared" si="240"/>
        <v>1.5707872086842691</v>
      </c>
      <c r="Q490" s="704">
        <f t="shared" si="262"/>
        <v>45.707541800357951</v>
      </c>
      <c r="R490" s="705">
        <f t="shared" si="263"/>
        <v>1.5489163535139758</v>
      </c>
      <c r="S490" s="692">
        <f t="shared" si="241"/>
        <v>1.0453745607820613</v>
      </c>
      <c r="T490" s="695">
        <f t="shared" si="242"/>
        <v>0.29571188892233241</v>
      </c>
      <c r="U490" s="696">
        <f t="shared" si="254"/>
        <v>0.84819177186002193</v>
      </c>
      <c r="V490" s="697">
        <f t="shared" si="255"/>
        <v>-0.702659959158903</v>
      </c>
      <c r="W490" s="698">
        <f t="shared" si="243"/>
        <v>-7.960464545654987</v>
      </c>
      <c r="X490" s="699">
        <f t="shared" si="244"/>
        <v>-150.034079961125</v>
      </c>
      <c r="Y490" s="702">
        <f t="shared" si="245"/>
        <v>29.965920038874998</v>
      </c>
      <c r="AA490" s="174">
        <f t="shared" si="246"/>
        <v>60607</v>
      </c>
      <c r="AB490" s="174">
        <f t="shared" si="247"/>
        <v>3673208449</v>
      </c>
      <c r="AD490" s="701">
        <f t="shared" si="248"/>
        <v>27.220865565337071</v>
      </c>
      <c r="AE490" s="702">
        <f t="shared" si="249"/>
        <v>-18.196150903482867</v>
      </c>
      <c r="AG490" s="701">
        <f t="shared" si="250"/>
        <v>-6.933149360677076</v>
      </c>
      <c r="AH490" s="702">
        <f t="shared" si="251"/>
        <v>-51.319028780356007</v>
      </c>
      <c r="AJ490" s="174">
        <f t="shared" si="252"/>
        <v>0</v>
      </c>
      <c r="AK490" s="174">
        <f t="shared" si="264"/>
        <v>0</v>
      </c>
      <c r="AM490" s="174" t="str">
        <f t="shared" si="256"/>
        <v>0.535754987399199+0.885706818464938i</v>
      </c>
      <c r="AN490" s="174" t="str">
        <f t="shared" si="257"/>
        <v>1.088014318506i</v>
      </c>
      <c r="AO490" s="174" t="str">
        <f t="shared" si="258"/>
        <v>0.814058053648725-0.492415383039138i</v>
      </c>
      <c r="AP490" s="174" t="str">
        <f t="shared" si="259"/>
        <v>0.0773741687668002-0.14761780307749i</v>
      </c>
      <c r="AQ490" s="174" t="str">
        <f t="shared" si="260"/>
        <v>0.9226258312332+0.14761780307749i</v>
      </c>
      <c r="AR490" s="174" t="str">
        <f t="shared" si="261"/>
        <v>0.880322337357032-0.140849350886904i</v>
      </c>
    </row>
    <row r="491" spans="7:44" x14ac:dyDescent="0.2">
      <c r="G491" s="703">
        <v>60958</v>
      </c>
      <c r="H491" s="691">
        <f t="shared" si="253"/>
        <v>60.957999999999998</v>
      </c>
      <c r="I491" s="692">
        <f t="shared" si="233"/>
        <v>59.481411837101042</v>
      </c>
      <c r="J491" s="693">
        <f t="shared" si="234"/>
        <v>1.5539835598784963</v>
      </c>
      <c r="K491" s="693">
        <f t="shared" si="235"/>
        <v>1.000542338343668</v>
      </c>
      <c r="L491" s="694">
        <f t="shared" si="236"/>
        <v>3.2926990387340503E-2</v>
      </c>
      <c r="M491" s="693">
        <f t="shared" si="237"/>
        <v>1.0030217758138806</v>
      </c>
      <c r="N491" s="694">
        <f t="shared" si="238"/>
        <v>-7.7642592812411038E-2</v>
      </c>
      <c r="O491" s="692">
        <f t="shared" si="239"/>
        <v>110306.997945544</v>
      </c>
      <c r="P491" s="695">
        <f t="shared" si="240"/>
        <v>1.570787261186924</v>
      </c>
      <c r="Q491" s="704">
        <f t="shared" si="262"/>
        <v>45.972126584497758</v>
      </c>
      <c r="R491" s="705">
        <f t="shared" si="263"/>
        <v>1.5490422999181048</v>
      </c>
      <c r="S491" s="692">
        <f t="shared" si="241"/>
        <v>1.0458900818112578</v>
      </c>
      <c r="T491" s="695">
        <f t="shared" si="242"/>
        <v>0.29732557550462108</v>
      </c>
      <c r="U491" s="696">
        <f t="shared" si="254"/>
        <v>0.84679279817771846</v>
      </c>
      <c r="V491" s="697">
        <f t="shared" si="255"/>
        <v>-0.70616475550749325</v>
      </c>
      <c r="W491" s="698">
        <f t="shared" si="243"/>
        <v>-8.0288988458527921</v>
      </c>
      <c r="X491" s="699">
        <f t="shared" si="244"/>
        <v>-150.34037013844238</v>
      </c>
      <c r="Y491" s="702">
        <f t="shared" si="245"/>
        <v>29.659629861557619</v>
      </c>
      <c r="AA491" s="174">
        <f t="shared" si="246"/>
        <v>60958</v>
      </c>
      <c r="AB491" s="174">
        <f t="shared" si="247"/>
        <v>3715877764</v>
      </c>
      <c r="AD491" s="701">
        <f t="shared" si="248"/>
        <v>27.216559349212183</v>
      </c>
      <c r="AE491" s="702">
        <f t="shared" si="249"/>
        <v>-18.281395144981399</v>
      </c>
      <c r="AG491" s="701">
        <f t="shared" si="250"/>
        <v>-6.9686014697940255</v>
      </c>
      <c r="AH491" s="702">
        <f t="shared" si="251"/>
        <v>-51.138454638061759</v>
      </c>
      <c r="AJ491" s="174">
        <f t="shared" si="252"/>
        <v>0</v>
      </c>
      <c r="AK491" s="174">
        <f t="shared" si="264"/>
        <v>0</v>
      </c>
      <c r="AM491" s="174" t="str">
        <f t="shared" si="256"/>
        <v>0.541345126939654+0.888614487513004i</v>
      </c>
      <c r="AN491" s="174" t="str">
        <f t="shared" si="257"/>
        <v>1.094315455764i</v>
      </c>
      <c r="AO491" s="174" t="str">
        <f t="shared" si="258"/>
        <v>0.812027722748935-0.494688368046225i</v>
      </c>
      <c r="AP491" s="174" t="str">
        <f t="shared" si="259"/>
        <v>0.076442478843391-0.148102414585501i</v>
      </c>
      <c r="AQ491" s="174" t="str">
        <f t="shared" si="260"/>
        <v>0.923557521156609+0.148102414585501i</v>
      </c>
      <c r="AR491" s="174" t="str">
        <f t="shared" si="261"/>
        <v>0.879334470985188-0.141010771281551i</v>
      </c>
    </row>
    <row r="492" spans="7:44" x14ac:dyDescent="0.2">
      <c r="G492" s="703">
        <v>61309</v>
      </c>
      <c r="H492" s="691">
        <f t="shared" si="253"/>
        <v>61.308999999999997</v>
      </c>
      <c r="I492" s="692">
        <f t="shared" si="233"/>
        <v>59.82381302215979</v>
      </c>
      <c r="J492" s="693">
        <f t="shared" si="234"/>
        <v>1.5540797966252442</v>
      </c>
      <c r="K492" s="693">
        <f t="shared" si="235"/>
        <v>1.0005486002445008</v>
      </c>
      <c r="L492" s="694">
        <f t="shared" si="236"/>
        <v>3.3116447877085856E-2</v>
      </c>
      <c r="M492" s="693">
        <f t="shared" si="237"/>
        <v>1.0030566219768831</v>
      </c>
      <c r="N492" s="694">
        <f t="shared" si="238"/>
        <v>-7.8087853718621064E-2</v>
      </c>
      <c r="O492" s="692">
        <f t="shared" si="239"/>
        <v>110942.15258112445</v>
      </c>
      <c r="P492" s="695">
        <f t="shared" si="240"/>
        <v>1.5707873130884131</v>
      </c>
      <c r="Q492" s="704">
        <f t="shared" si="262"/>
        <v>46.236712089524339</v>
      </c>
      <c r="R492" s="705">
        <f t="shared" si="263"/>
        <v>1.5491668048898217</v>
      </c>
      <c r="S492" s="692">
        <f t="shared" si="241"/>
        <v>1.0464083236342743</v>
      </c>
      <c r="T492" s="695">
        <f t="shared" si="242"/>
        <v>0.29893766789977261</v>
      </c>
      <c r="U492" s="696">
        <f t="shared" si="254"/>
        <v>0.84539214990200984</v>
      </c>
      <c r="V492" s="697">
        <f t="shared" si="255"/>
        <v>-0.70966208300324551</v>
      </c>
      <c r="W492" s="698">
        <f t="shared" si="243"/>
        <v>-8.0971043571598056</v>
      </c>
      <c r="X492" s="699">
        <f t="shared" si="244"/>
        <v>-150.64615811420046</v>
      </c>
      <c r="Y492" s="702">
        <f t="shared" si="245"/>
        <v>29.35384188579954</v>
      </c>
      <c r="AA492" s="174">
        <f t="shared" si="246"/>
        <v>61309</v>
      </c>
      <c r="AB492" s="174">
        <f t="shared" si="247"/>
        <v>3758793481</v>
      </c>
      <c r="AD492" s="701">
        <f t="shared" si="248"/>
        <v>27.212233067585746</v>
      </c>
      <c r="AE492" s="702">
        <f t="shared" si="249"/>
        <v>-18.366630599834615</v>
      </c>
      <c r="AG492" s="701">
        <f t="shared" si="250"/>
        <v>-7.0037228993613336</v>
      </c>
      <c r="AH492" s="702">
        <f t="shared" si="251"/>
        <v>-50.958242948345351</v>
      </c>
      <c r="AJ492" s="174">
        <f t="shared" si="252"/>
        <v>0</v>
      </c>
      <c r="AK492" s="174">
        <f t="shared" si="264"/>
        <v>0</v>
      </c>
      <c r="AM492" s="174" t="str">
        <f t="shared" si="256"/>
        <v>0.546953477004633+0.89148687483429i</v>
      </c>
      <c r="AN492" s="174" t="str">
        <f t="shared" si="257"/>
        <v>1.100616593022i</v>
      </c>
      <c r="AO492" s="174" t="str">
        <f t="shared" si="258"/>
        <v>0.809988583205442-0.496951872679699i</v>
      </c>
      <c r="AP492" s="174" t="str">
        <f t="shared" si="259"/>
        <v>0.0755077538325612-0.148581145805715i</v>
      </c>
      <c r="AQ492" s="174" t="str">
        <f t="shared" si="260"/>
        <v>0.924492246167439+0.148581145805715i</v>
      </c>
      <c r="AR492" s="174" t="str">
        <f t="shared" si="261"/>
        <v>0.878347606083147-0.141164941370319i</v>
      </c>
    </row>
    <row r="493" spans="7:44" x14ac:dyDescent="0.2">
      <c r="G493" s="703">
        <v>61660</v>
      </c>
      <c r="H493" s="691">
        <f t="shared" si="253"/>
        <v>61.66</v>
      </c>
      <c r="I493" s="692">
        <f t="shared" si="233"/>
        <v>60.16621475497125</v>
      </c>
      <c r="J493" s="693">
        <f t="shared" si="234"/>
        <v>1.5541749380196346</v>
      </c>
      <c r="K493" s="693">
        <f t="shared" si="235"/>
        <v>1.0005548980587151</v>
      </c>
      <c r="L493" s="694">
        <f t="shared" si="236"/>
        <v>3.3305902988618755E-2</v>
      </c>
      <c r="M493" s="693">
        <f t="shared" si="237"/>
        <v>1.0030916669893182</v>
      </c>
      <c r="N493" s="694">
        <f t="shared" si="238"/>
        <v>-7.8533083600936443E-2</v>
      </c>
      <c r="O493" s="692">
        <f t="shared" si="239"/>
        <v>111577.30721670519</v>
      </c>
      <c r="P493" s="695">
        <f t="shared" si="240"/>
        <v>1.5707873643990031</v>
      </c>
      <c r="Q493" s="704">
        <f t="shared" si="262"/>
        <v>46.501298303132486</v>
      </c>
      <c r="R493" s="705">
        <f t="shared" si="263"/>
        <v>1.5492898930299104</v>
      </c>
      <c r="S493" s="692">
        <f t="shared" si="241"/>
        <v>1.0469292822106395</v>
      </c>
      <c r="T493" s="695">
        <f t="shared" si="242"/>
        <v>0.30054816010230517</v>
      </c>
      <c r="U493" s="696">
        <f t="shared" si="254"/>
        <v>0.84398988702854316</v>
      </c>
      <c r="V493" s="697">
        <f t="shared" si="255"/>
        <v>-0.71315194942254556</v>
      </c>
      <c r="W493" s="698">
        <f t="shared" si="243"/>
        <v>-8.1650838535740338</v>
      </c>
      <c r="X493" s="699">
        <f t="shared" si="244"/>
        <v>-150.9514436617558</v>
      </c>
      <c r="Y493" s="702">
        <f t="shared" si="245"/>
        <v>29.048556338244197</v>
      </c>
      <c r="AA493" s="174">
        <f t="shared" si="246"/>
        <v>61660</v>
      </c>
      <c r="AB493" s="174">
        <f t="shared" si="247"/>
        <v>3801955600</v>
      </c>
      <c r="AD493" s="701">
        <f t="shared" si="248"/>
        <v>27.207886776164131</v>
      </c>
      <c r="AE493" s="702">
        <f t="shared" si="249"/>
        <v>-18.451855515020902</v>
      </c>
      <c r="AG493" s="701">
        <f t="shared" si="250"/>
        <v>-7.0385173855953829</v>
      </c>
      <c r="AH493" s="702">
        <f t="shared" si="251"/>
        <v>-50.778394346476837</v>
      </c>
      <c r="AJ493" s="174">
        <f t="shared" si="252"/>
        <v>0</v>
      </c>
      <c r="AK493" s="174">
        <f t="shared" si="264"/>
        <v>0</v>
      </c>
      <c r="AM493" s="174" t="str">
        <f t="shared" si="256"/>
        <v>0.552579814919088+0.894323866382958i</v>
      </c>
      <c r="AN493" s="174" t="str">
        <f t="shared" si="257"/>
        <v>1.10691773028i</v>
      </c>
      <c r="AO493" s="174" t="str">
        <f t="shared" si="258"/>
        <v>0.807940682417956-0.499205857674093i</v>
      </c>
      <c r="AP493" s="174" t="str">
        <f t="shared" si="259"/>
        <v>0.0745700308468187-0.149053977730493i</v>
      </c>
      <c r="AQ493" s="174" t="str">
        <f t="shared" si="260"/>
        <v>0.925429969153181+0.149053977730493i</v>
      </c>
      <c r="AR493" s="174" t="str">
        <f t="shared" si="261"/>
        <v>0.877361795644542-0.141311898153949i</v>
      </c>
    </row>
    <row r="494" spans="7:44" x14ac:dyDescent="0.2">
      <c r="G494" s="703">
        <v>62019</v>
      </c>
      <c r="H494" s="691">
        <f t="shared" si="253"/>
        <v>62.018999999999998</v>
      </c>
      <c r="I494" s="692">
        <f t="shared" si="233"/>
        <v>60.516421072811653</v>
      </c>
      <c r="J494" s="693">
        <f t="shared" si="234"/>
        <v>1.5542711341713595</v>
      </c>
      <c r="K494" s="693">
        <f t="shared" si="235"/>
        <v>1.0005613765626653</v>
      </c>
      <c r="L494" s="694">
        <f t="shared" si="236"/>
        <v>3.3499673691106457E-2</v>
      </c>
      <c r="M494" s="693">
        <f t="shared" si="237"/>
        <v>1.0031277164261048</v>
      </c>
      <c r="N494" s="694">
        <f t="shared" si="238"/>
        <v>-7.8988428899694471E-2</v>
      </c>
      <c r="O494" s="692">
        <f t="shared" si="239"/>
        <v>112226.93831121686</v>
      </c>
      <c r="P494" s="695">
        <f t="shared" si="240"/>
        <v>1.5707874162782678</v>
      </c>
      <c r="Q494" s="704">
        <f t="shared" si="262"/>
        <v>46.771915692208303</v>
      </c>
      <c r="R494" s="705">
        <f t="shared" si="263"/>
        <v>1.5494143460175993</v>
      </c>
      <c r="S494" s="692">
        <f t="shared" si="241"/>
        <v>1.0474649206010362</v>
      </c>
      <c r="T494" s="695">
        <f t="shared" si="242"/>
        <v>0.30219369715187572</v>
      </c>
      <c r="U494" s="696">
        <f t="shared" si="254"/>
        <v>0.84255405549067175</v>
      </c>
      <c r="V494" s="697">
        <f t="shared" si="255"/>
        <v>-0.71671364738567278</v>
      </c>
      <c r="W494" s="698">
        <f t="shared" si="243"/>
        <v>-8.2343817747315189</v>
      </c>
      <c r="X494" s="699">
        <f t="shared" si="244"/>
        <v>-151.26316734668626</v>
      </c>
      <c r="Y494" s="702">
        <f t="shared" si="245"/>
        <v>28.736832653313741</v>
      </c>
      <c r="AA494" s="174">
        <f t="shared" si="246"/>
        <v>62019</v>
      </c>
      <c r="AB494" s="174">
        <f t="shared" si="247"/>
        <v>3846356361</v>
      </c>
      <c r="AD494" s="701">
        <f t="shared" si="248"/>
        <v>27.203420783380395</v>
      </c>
      <c r="AE494" s="702">
        <f t="shared" si="249"/>
        <v>-18.539010184613829</v>
      </c>
      <c r="AG494" s="701">
        <f t="shared" si="250"/>
        <v>-7.0737705357933613</v>
      </c>
      <c r="AH494" s="702">
        <f t="shared" si="251"/>
        <v>-50.59482283897291</v>
      </c>
      <c r="AJ494" s="174">
        <f t="shared" si="252"/>
        <v>0</v>
      </c>
      <c r="AK494" s="174">
        <f t="shared" si="264"/>
        <v>0</v>
      </c>
      <c r="AM494" s="174" t="str">
        <f t="shared" si="256"/>
        <v>0.558352763102011+0.897188786231957i</v>
      </c>
      <c r="AN494" s="174" t="str">
        <f t="shared" si="257"/>
        <v>1.113362483202i</v>
      </c>
      <c r="AO494" s="174" t="str">
        <f t="shared" si="258"/>
        <v>0.805837092383126-0.501501327309147i</v>
      </c>
      <c r="AP494" s="174" t="str">
        <f t="shared" si="259"/>
        <v>0.0736078728163315-0.149531464371993i</v>
      </c>
      <c r="AQ494" s="174" t="str">
        <f t="shared" si="260"/>
        <v>0.926392127183668+0.149531464371993i</v>
      </c>
      <c r="AR494" s="174" t="str">
        <f t="shared" si="261"/>
        <v>0.876354661878976-0.141454781463191i</v>
      </c>
    </row>
    <row r="495" spans="7:44" x14ac:dyDescent="0.2">
      <c r="G495" s="703">
        <v>62378</v>
      </c>
      <c r="H495" s="691">
        <f t="shared" si="253"/>
        <v>62.378</v>
      </c>
      <c r="I495" s="692">
        <f t="shared" si="233"/>
        <v>60.866627944208723</v>
      </c>
      <c r="J495" s="693">
        <f t="shared" si="234"/>
        <v>1.5543662233609297</v>
      </c>
      <c r="K495" s="693">
        <f t="shared" si="235"/>
        <v>1.0005678926342916</v>
      </c>
      <c r="L495" s="694">
        <f t="shared" si="236"/>
        <v>3.3693441877055218E-2</v>
      </c>
      <c r="M495" s="693">
        <f t="shared" si="237"/>
        <v>1.0031639738357576</v>
      </c>
      <c r="N495" s="694">
        <f t="shared" si="238"/>
        <v>-7.9443741377711596E-2</v>
      </c>
      <c r="O495" s="692">
        <f t="shared" si="239"/>
        <v>112876.56940572882</v>
      </c>
      <c r="P495" s="695">
        <f t="shared" si="240"/>
        <v>1.5707874675603781</v>
      </c>
      <c r="Q495" s="704">
        <f t="shared" si="262"/>
        <v>47.042533797378361</v>
      </c>
      <c r="R495" s="705">
        <f t="shared" si="263"/>
        <v>1.5495373671441786</v>
      </c>
      <c r="S495" s="692">
        <f t="shared" si="241"/>
        <v>1.0480033924049734</v>
      </c>
      <c r="T495" s="695">
        <f t="shared" si="242"/>
        <v>0.30383754767091992</v>
      </c>
      <c r="U495" s="696">
        <f t="shared" si="254"/>
        <v>0.84111666011623043</v>
      </c>
      <c r="V495" s="697">
        <f t="shared" si="255"/>
        <v>-0.72026755801497833</v>
      </c>
      <c r="W495" s="698">
        <f t="shared" si="243"/>
        <v>-8.3034489604162918</v>
      </c>
      <c r="X495" s="699">
        <f t="shared" si="244"/>
        <v>-151.57436506399486</v>
      </c>
      <c r="Y495" s="702">
        <f t="shared" si="245"/>
        <v>28.425634936005139</v>
      </c>
      <c r="AA495" s="174">
        <f t="shared" si="246"/>
        <v>62378</v>
      </c>
      <c r="AB495" s="174">
        <f t="shared" si="247"/>
        <v>3891014884</v>
      </c>
      <c r="AD495" s="701">
        <f t="shared" si="248"/>
        <v>27.198933977476042</v>
      </c>
      <c r="AE495" s="702">
        <f t="shared" si="249"/>
        <v>-18.626150228509573</v>
      </c>
      <c r="AG495" s="701">
        <f t="shared" si="250"/>
        <v>-7.1086893897037182</v>
      </c>
      <c r="AH495" s="702">
        <f t="shared" si="251"/>
        <v>-50.41163235226864</v>
      </c>
      <c r="AJ495" s="174">
        <f t="shared" si="252"/>
        <v>0</v>
      </c>
      <c r="AK495" s="174">
        <f t="shared" si="264"/>
        <v>0</v>
      </c>
      <c r="AM495" s="174" t="str">
        <f t="shared" si="256"/>
        <v>0.564144054968864+0.900016441617049i</v>
      </c>
      <c r="AN495" s="174" t="str">
        <f t="shared" si="257"/>
        <v>1.119807236124i</v>
      </c>
      <c r="AO495" s="174" t="str">
        <f t="shared" si="258"/>
        <v>0.803724438084795-0.50378675612201i</v>
      </c>
      <c r="AP495" s="174" t="str">
        <f t="shared" si="259"/>
        <v>0.0726426575051893-0.150002740269508i</v>
      </c>
      <c r="AQ495" s="174" t="str">
        <f t="shared" si="260"/>
        <v>0.927357342494811+0.150002740269508i</v>
      </c>
      <c r="AR495" s="174" t="str">
        <f t="shared" si="261"/>
        <v>0.875348741082431-0.141590198122105i</v>
      </c>
    </row>
    <row r="496" spans="7:44" x14ac:dyDescent="0.2">
      <c r="G496" s="703">
        <v>62737</v>
      </c>
      <c r="H496" s="691">
        <f t="shared" si="253"/>
        <v>62.737000000000002</v>
      </c>
      <c r="I496" s="692">
        <f t="shared" si="233"/>
        <v>61.216835359662156</v>
      </c>
      <c r="J496" s="693">
        <f t="shared" si="234"/>
        <v>1.5544602245846368</v>
      </c>
      <c r="K496" s="693">
        <f t="shared" si="235"/>
        <v>1.0005744462728596</v>
      </c>
      <c r="L496" s="694">
        <f t="shared" si="236"/>
        <v>3.3887207531963857E-2</v>
      </c>
      <c r="M496" s="693">
        <f t="shared" si="237"/>
        <v>1.0032004391957272</v>
      </c>
      <c r="N496" s="694">
        <f t="shared" si="238"/>
        <v>-7.9899020849775529E-2</v>
      </c>
      <c r="O496" s="692">
        <f t="shared" si="239"/>
        <v>113526.20050024107</v>
      </c>
      <c r="P496" s="695">
        <f t="shared" si="240"/>
        <v>1.5707875182555848</v>
      </c>
      <c r="Q496" s="704">
        <f t="shared" si="262"/>
        <v>47.313152606355096</v>
      </c>
      <c r="R496" s="705">
        <f t="shared" si="263"/>
        <v>1.5496589809755008</v>
      </c>
      <c r="S496" s="692">
        <f t="shared" si="241"/>
        <v>1.04854469325722</v>
      </c>
      <c r="T496" s="695">
        <f t="shared" si="242"/>
        <v>0.30547970538044522</v>
      </c>
      <c r="U496" s="696">
        <f t="shared" si="254"/>
        <v>0.83967776331741972</v>
      </c>
      <c r="V496" s="697">
        <f t="shared" si="255"/>
        <v>-0.72381369090600378</v>
      </c>
      <c r="W496" s="698">
        <f t="shared" si="243"/>
        <v>-8.3722882086779649</v>
      </c>
      <c r="X496" s="699">
        <f t="shared" si="244"/>
        <v>-151.88503667539987</v>
      </c>
      <c r="Y496" s="702">
        <f t="shared" si="245"/>
        <v>28.114963324600126</v>
      </c>
      <c r="AA496" s="174">
        <f t="shared" si="246"/>
        <v>62737</v>
      </c>
      <c r="AB496" s="174">
        <f t="shared" si="247"/>
        <v>3935931169</v>
      </c>
      <c r="AD496" s="701">
        <f t="shared" si="248"/>
        <v>27.194426419366099</v>
      </c>
      <c r="AE496" s="702">
        <f t="shared" si="249"/>
        <v>-18.713273880016004</v>
      </c>
      <c r="AG496" s="701">
        <f t="shared" si="250"/>
        <v>-7.1432777592590213</v>
      </c>
      <c r="AH496" s="702">
        <f t="shared" si="251"/>
        <v>-50.228823415206307</v>
      </c>
      <c r="AJ496" s="174">
        <f t="shared" si="252"/>
        <v>0</v>
      </c>
      <c r="AK496" s="174">
        <f t="shared" si="264"/>
        <v>0</v>
      </c>
      <c r="AM496" s="174" t="str">
        <f t="shared" si="256"/>
        <v>0.569953449980096+0.902806715092426i</v>
      </c>
      <c r="AN496" s="174" t="str">
        <f t="shared" si="257"/>
        <v>1.126251989046i</v>
      </c>
      <c r="AO496" s="174" t="str">
        <f t="shared" si="258"/>
        <v>0.801602770848072-0.506062102907254i</v>
      </c>
      <c r="AP496" s="174" t="str">
        <f t="shared" si="259"/>
        <v>0.0716744250033173-0.150467785848738i</v>
      </c>
      <c r="AQ496" s="174" t="str">
        <f t="shared" si="260"/>
        <v>0.928325574996683+0.150467785848738i</v>
      </c>
      <c r="AR496" s="174" t="str">
        <f t="shared" si="261"/>
        <v>0.874344087682686-0.141718188625816i</v>
      </c>
    </row>
    <row r="497" spans="7:44" x14ac:dyDescent="0.2">
      <c r="G497" s="703">
        <v>63096</v>
      </c>
      <c r="H497" s="691">
        <f t="shared" si="253"/>
        <v>63.095999999999997</v>
      </c>
      <c r="I497" s="692">
        <f t="shared" si="233"/>
        <v>61.567043309887808</v>
      </c>
      <c r="J497" s="693">
        <f t="shared" si="234"/>
        <v>1.5545531564066297</v>
      </c>
      <c r="K497" s="693">
        <f t="shared" si="235"/>
        <v>1.0005810374776314</v>
      </c>
      <c r="L497" s="694">
        <f t="shared" si="236"/>
        <v>3.4080970641332337E-2</v>
      </c>
      <c r="M497" s="693">
        <f t="shared" si="237"/>
        <v>1.0032371124833379</v>
      </c>
      <c r="N497" s="694">
        <f t="shared" si="238"/>
        <v>-8.0354267130755566E-2</v>
      </c>
      <c r="O497" s="692">
        <f t="shared" si="239"/>
        <v>114175.83159475362</v>
      </c>
      <c r="P497" s="695">
        <f t="shared" si="240"/>
        <v>1.5707875683739063</v>
      </c>
      <c r="Q497" s="704">
        <f t="shared" si="262"/>
        <v>47.583772107130414</v>
      </c>
      <c r="R497" s="705">
        <f t="shared" si="263"/>
        <v>1.5497792115187417</v>
      </c>
      <c r="S497" s="692">
        <f t="shared" si="241"/>
        <v>1.0490888187786436</v>
      </c>
      <c r="T497" s="695">
        <f t="shared" si="242"/>
        <v>0.30712016405090403</v>
      </c>
      <c r="U497" s="696">
        <f t="shared" si="254"/>
        <v>0.83823742690492431</v>
      </c>
      <c r="V497" s="697">
        <f t="shared" si="255"/>
        <v>-0.7273520560724287</v>
      </c>
      <c r="W497" s="698">
        <f t="shared" si="243"/>
        <v>-8.4409022630196375</v>
      </c>
      <c r="X497" s="699">
        <f t="shared" si="244"/>
        <v>-152.19518207665118</v>
      </c>
      <c r="Y497" s="702">
        <f t="shared" si="245"/>
        <v>27.804817923348821</v>
      </c>
      <c r="AA497" s="174">
        <f t="shared" si="246"/>
        <v>63096</v>
      </c>
      <c r="AB497" s="174">
        <f t="shared" si="247"/>
        <v>3981105216</v>
      </c>
      <c r="AD497" s="701">
        <f t="shared" si="248"/>
        <v>27.189898170383159</v>
      </c>
      <c r="AE497" s="702">
        <f t="shared" si="249"/>
        <v>-18.800379407270501</v>
      </c>
      <c r="AG497" s="701">
        <f t="shared" si="250"/>
        <v>-7.1775393964681342</v>
      </c>
      <c r="AH497" s="702">
        <f t="shared" si="251"/>
        <v>-50.04639650791529</v>
      </c>
      <c r="AJ497" s="174">
        <f t="shared" si="252"/>
        <v>0</v>
      </c>
      <c r="AK497" s="174">
        <f t="shared" si="264"/>
        <v>0</v>
      </c>
      <c r="AM497" s="174" t="str">
        <f t="shared" si="256"/>
        <v>0.575780706844247+0.905559490764927i</v>
      </c>
      <c r="AN497" s="174" t="str">
        <f t="shared" si="257"/>
        <v>1.132696741968i</v>
      </c>
      <c r="AO497" s="174" t="str">
        <f t="shared" si="258"/>
        <v>0.799472142200714-0.508327326733419i</v>
      </c>
      <c r="AP497" s="174" t="str">
        <f t="shared" si="259"/>
        <v>0.0707032155259588-0.150926581794154i</v>
      </c>
      <c r="AQ497" s="174" t="str">
        <f t="shared" si="260"/>
        <v>0.929296784474041+0.150926581794154i</v>
      </c>
      <c r="AR497" s="174" t="str">
        <f t="shared" si="261"/>
        <v>0.873340755346296-0.141838793750419i</v>
      </c>
    </row>
    <row r="498" spans="7:44" x14ac:dyDescent="0.2">
      <c r="G498" s="703">
        <v>63463.25</v>
      </c>
      <c r="H498" s="691">
        <f t="shared" si="253"/>
        <v>63.463250000000002</v>
      </c>
      <c r="I498" s="692">
        <f t="shared" si="233"/>
        <v>61.925299758288801</v>
      </c>
      <c r="J498" s="693">
        <f t="shared" si="234"/>
        <v>1.5546471362171299</v>
      </c>
      <c r="K498" s="693">
        <f t="shared" si="235"/>
        <v>1.000587819021878</v>
      </c>
      <c r="L498" s="694">
        <f t="shared" si="236"/>
        <v>3.4279183875029109E-2</v>
      </c>
      <c r="M498" s="693">
        <f t="shared" si="237"/>
        <v>1.0032748436676775</v>
      </c>
      <c r="N498" s="694">
        <f t="shared" si="238"/>
        <v>-8.0819940662617495E-2</v>
      </c>
      <c r="O498" s="692">
        <f t="shared" si="239"/>
        <v>114840.39153753869</v>
      </c>
      <c r="P498" s="695">
        <f t="shared" si="240"/>
        <v>1.5707876190572563</v>
      </c>
      <c r="Q498" s="704">
        <f t="shared" si="262"/>
        <v>47.8606112833127</v>
      </c>
      <c r="R498" s="705">
        <f t="shared" si="263"/>
        <v>1.5499007981459483</v>
      </c>
      <c r="S498" s="692">
        <f t="shared" si="241"/>
        <v>1.0496483667805108</v>
      </c>
      <c r="T498" s="695">
        <f t="shared" si="242"/>
        <v>0.30879655678583068</v>
      </c>
      <c r="U498" s="696">
        <f t="shared" si="254"/>
        <v>0.83676256503737056</v>
      </c>
      <c r="V498" s="697">
        <f t="shared" si="255"/>
        <v>-0.73096370798268828</v>
      </c>
      <c r="W498" s="698">
        <f t="shared" si="243"/>
        <v>-8.510862891483665</v>
      </c>
      <c r="X498" s="699">
        <f t="shared" si="244"/>
        <v>-152.51191021319016</v>
      </c>
      <c r="Y498" s="702">
        <f t="shared" si="245"/>
        <v>27.488089786809837</v>
      </c>
      <c r="AA498" s="174">
        <f t="shared" si="246"/>
        <v>63463.25</v>
      </c>
      <c r="AB498" s="174">
        <f t="shared" si="247"/>
        <v>4027584100.5625</v>
      </c>
      <c r="AD498" s="701">
        <f t="shared" si="248"/>
        <v>27.185244514776208</v>
      </c>
      <c r="AE498" s="702">
        <f t="shared" si="249"/>
        <v>-18.889466139247858</v>
      </c>
      <c r="AG498" s="701">
        <f t="shared" si="250"/>
        <v>-7.2122541525245643</v>
      </c>
      <c r="AH498" s="702">
        <f t="shared" si="251"/>
        <v>-49.860173088947541</v>
      </c>
      <c r="AJ498" s="174">
        <f t="shared" si="252"/>
        <v>0</v>
      </c>
      <c r="AK498" s="174">
        <f t="shared" si="264"/>
        <v>0</v>
      </c>
      <c r="AM498" s="174" t="str">
        <f t="shared" si="256"/>
        <v>0.581760106910623+0.90833660711687i</v>
      </c>
      <c r="AN498" s="174" t="str">
        <f t="shared" si="257"/>
        <v>1.1392895985435i</v>
      </c>
      <c r="AO498" s="174" t="str">
        <f t="shared" si="258"/>
        <v>0.797283331892184-0.510634089571573i</v>
      </c>
      <c r="AP498" s="174" t="str">
        <f t="shared" si="259"/>
        <v>0.0697066488482295-0.151389434519478i</v>
      </c>
      <c r="AQ498" s="174" t="str">
        <f t="shared" si="260"/>
        <v>0.93029335115177+0.151389434519478i</v>
      </c>
      <c r="AR498" s="174" t="str">
        <f t="shared" si="261"/>
        <v>0.872315788040613-0.141954571329981i</v>
      </c>
    </row>
    <row r="499" spans="7:44" x14ac:dyDescent="0.2">
      <c r="G499" s="703">
        <v>63830.5</v>
      </c>
      <c r="H499" s="691">
        <f t="shared" si="253"/>
        <v>63.830500000000001</v>
      </c>
      <c r="I499" s="692">
        <f t="shared" si="233"/>
        <v>62.283556747334728</v>
      </c>
      <c r="J499" s="693">
        <f t="shared" si="234"/>
        <v>1.5547400348787559</v>
      </c>
      <c r="K499" s="693">
        <f t="shared" si="235"/>
        <v>1.0005946398771715</v>
      </c>
      <c r="L499" s="694">
        <f t="shared" si="236"/>
        <v>3.4477394414152547E-2</v>
      </c>
      <c r="M499" s="693">
        <f t="shared" si="237"/>
        <v>1.0033127923976204</v>
      </c>
      <c r="N499" s="694">
        <f t="shared" si="238"/>
        <v>-8.1285579068708286E-2</v>
      </c>
      <c r="O499" s="692">
        <f t="shared" si="239"/>
        <v>115504.95148032402</v>
      </c>
      <c r="P499" s="695">
        <f t="shared" si="240"/>
        <v>1.570787669157391</v>
      </c>
      <c r="Q499" s="704">
        <f t="shared" si="262"/>
        <v>48.137451158894997</v>
      </c>
      <c r="R499" s="705">
        <f t="shared" si="263"/>
        <v>1.5500209862784868</v>
      </c>
      <c r="S499" s="692">
        <f t="shared" si="241"/>
        <v>1.0502108614532819</v>
      </c>
      <c r="T499" s="695">
        <f t="shared" si="242"/>
        <v>0.31047115846524992</v>
      </c>
      <c r="U499" s="696">
        <f t="shared" si="254"/>
        <v>0.83528632555536397</v>
      </c>
      <c r="V499" s="697">
        <f t="shared" si="255"/>
        <v>-0.73456725356746855</v>
      </c>
      <c r="W499" s="698">
        <f t="shared" si="243"/>
        <v>-8.5805934959247505</v>
      </c>
      <c r="X499" s="699">
        <f t="shared" si="244"/>
        <v>-152.82808756255784</v>
      </c>
      <c r="Y499" s="702">
        <f t="shared" si="245"/>
        <v>27.17191243744216</v>
      </c>
      <c r="AA499" s="174">
        <f t="shared" si="246"/>
        <v>63830.5</v>
      </c>
      <c r="AB499" s="174">
        <f t="shared" si="247"/>
        <v>4074332730.25</v>
      </c>
      <c r="AD499" s="701">
        <f t="shared" si="248"/>
        <v>27.180569337525927</v>
      </c>
      <c r="AE499" s="702">
        <f t="shared" si="249"/>
        <v>-18.978530345730132</v>
      </c>
      <c r="AG499" s="701">
        <f t="shared" si="250"/>
        <v>-7.2466347432942495</v>
      </c>
      <c r="AH499" s="702">
        <f t="shared" si="251"/>
        <v>-49.67435032477929</v>
      </c>
      <c r="AJ499" s="174">
        <f t="shared" si="252"/>
        <v>0</v>
      </c>
      <c r="AK499" s="174">
        <f t="shared" si="264"/>
        <v>0</v>
      </c>
      <c r="AM499" s="174" t="str">
        <f t="shared" si="256"/>
        <v>0.587757686025057+0.911074242072831i</v>
      </c>
      <c r="AN499" s="174" t="str">
        <f t="shared" si="257"/>
        <v>1.145882455119i</v>
      </c>
      <c r="AO499" s="174" t="str">
        <f t="shared" si="258"/>
        <v>0.795085253293468-0.512930173072611i</v>
      </c>
      <c r="AP499" s="174" t="str">
        <f t="shared" si="259"/>
        <v>0.0687070523291572-0.151845707012139i</v>
      </c>
      <c r="AQ499" s="174" t="str">
        <f t="shared" si="260"/>
        <v>0.931292947670843+0.151845707012139i</v>
      </c>
      <c r="AR499" s="174" t="str">
        <f t="shared" si="261"/>
        <v>0.871292314399853-0.142062707363107i</v>
      </c>
    </row>
    <row r="500" spans="7:44" x14ac:dyDescent="0.2">
      <c r="G500" s="703">
        <v>64197.75</v>
      </c>
      <c r="H500" s="691">
        <f t="shared" si="253"/>
        <v>64.197749999999999</v>
      </c>
      <c r="I500" s="692">
        <f t="shared" si="233"/>
        <v>62.641814267749531</v>
      </c>
      <c r="J500" s="693">
        <f t="shared" si="234"/>
        <v>1.5548318709396265</v>
      </c>
      <c r="K500" s="693">
        <f t="shared" si="235"/>
        <v>1.0006015000427075</v>
      </c>
      <c r="L500" s="694">
        <f t="shared" si="236"/>
        <v>3.4675602243183563E-2</v>
      </c>
      <c r="M500" s="693">
        <f t="shared" si="237"/>
        <v>1.0033509586484823</v>
      </c>
      <c r="N500" s="694">
        <f t="shared" si="238"/>
        <v>-8.1751182151106411E-2</v>
      </c>
      <c r="O500" s="692">
        <f t="shared" si="239"/>
        <v>116169.51142310967</v>
      </c>
      <c r="P500" s="695">
        <f t="shared" si="240"/>
        <v>1.5707877186843195</v>
      </c>
      <c r="Q500" s="704">
        <f t="shared" si="262"/>
        <v>48.414291721879515</v>
      </c>
      <c r="R500" s="705">
        <f t="shared" si="263"/>
        <v>1.5501397999032946</v>
      </c>
      <c r="S500" s="692">
        <f t="shared" si="241"/>
        <v>1.0507762980647795</v>
      </c>
      <c r="T500" s="695">
        <f t="shared" si="242"/>
        <v>0.31214396258091642</v>
      </c>
      <c r="U500" s="696">
        <f t="shared" si="254"/>
        <v>0.8338087726727772</v>
      </c>
      <c r="V500" s="697">
        <f t="shared" si="255"/>
        <v>-0.73816270486670621</v>
      </c>
      <c r="W500" s="698">
        <f t="shared" si="243"/>
        <v>-8.6500968446863844</v>
      </c>
      <c r="X500" s="699">
        <f t="shared" si="244"/>
        <v>-153.14371412019804</v>
      </c>
      <c r="Y500" s="702">
        <f t="shared" si="245"/>
        <v>26.856285879801959</v>
      </c>
      <c r="AA500" s="174">
        <f t="shared" si="246"/>
        <v>64197.75</v>
      </c>
      <c r="AB500" s="174">
        <f t="shared" si="247"/>
        <v>4121351105.0625</v>
      </c>
      <c r="AD500" s="701">
        <f t="shared" si="248"/>
        <v>27.175872705571258</v>
      </c>
      <c r="AE500" s="702">
        <f t="shared" si="249"/>
        <v>-19.067570280045512</v>
      </c>
      <c r="AG500" s="701">
        <f t="shared" si="250"/>
        <v>-7.2806849989777858</v>
      </c>
      <c r="AH500" s="702">
        <f t="shared" si="251"/>
        <v>-49.488928577851027</v>
      </c>
      <c r="AJ500" s="174">
        <f t="shared" si="252"/>
        <v>0</v>
      </c>
      <c r="AK500" s="174">
        <f t="shared" si="264"/>
        <v>0</v>
      </c>
      <c r="AM500" s="174" t="str">
        <f t="shared" si="256"/>
        <v>0.593773183499172+0.913772276639865i</v>
      </c>
      <c r="AN500" s="174" t="str">
        <f t="shared" si="257"/>
        <v>1.1524753116945i</v>
      </c>
      <c r="AO500" s="174" t="str">
        <f t="shared" si="258"/>
        <v>0.792877962215376-0.515215534314691i</v>
      </c>
      <c r="AP500" s="174" t="str">
        <f t="shared" si="259"/>
        <v>0.0677044694168047-0.152295379439978i</v>
      </c>
      <c r="AQ500" s="174" t="str">
        <f t="shared" si="260"/>
        <v>0.932295530583195+0.152295379439978i</v>
      </c>
      <c r="AR500" s="174" t="str">
        <f t="shared" si="261"/>
        <v>0.870270389421778-0.142163246336125i</v>
      </c>
    </row>
    <row r="501" spans="7:44" x14ac:dyDescent="0.2">
      <c r="G501" s="703">
        <v>64565</v>
      </c>
      <c r="H501" s="691">
        <f t="shared" si="253"/>
        <v>64.564999999999998</v>
      </c>
      <c r="I501" s="692">
        <f t="shared" si="233"/>
        <v>63.00007231046812</v>
      </c>
      <c r="J501" s="693">
        <f t="shared" si="234"/>
        <v>1.5549226625260284</v>
      </c>
      <c r="K501" s="693">
        <f t="shared" si="235"/>
        <v>1.0006083995176782</v>
      </c>
      <c r="L501" s="694">
        <f t="shared" si="236"/>
        <v>3.4873807346604321E-2</v>
      </c>
      <c r="M501" s="693">
        <f t="shared" si="237"/>
        <v>1.0033893423954414</v>
      </c>
      <c r="N501" s="694">
        <f t="shared" si="238"/>
        <v>-8.2216749711981618E-2</v>
      </c>
      <c r="O501" s="692">
        <f t="shared" si="239"/>
        <v>116834.07136589558</v>
      </c>
      <c r="P501" s="695">
        <f t="shared" si="240"/>
        <v>1.5707877676478232</v>
      </c>
      <c r="Q501" s="704">
        <f t="shared" si="262"/>
        <v>48.691132960541267</v>
      </c>
      <c r="R501" s="705">
        <f t="shared" si="263"/>
        <v>1.55025726246194</v>
      </c>
      <c r="S501" s="692">
        <f t="shared" si="241"/>
        <v>1.0513446718682826</v>
      </c>
      <c r="T501" s="695">
        <f t="shared" si="242"/>
        <v>0.31381496267878972</v>
      </c>
      <c r="U501" s="696">
        <f t="shared" si="254"/>
        <v>0.83232996994339559</v>
      </c>
      <c r="V501" s="697">
        <f t="shared" si="255"/>
        <v>-0.74175007435237106</v>
      </c>
      <c r="W501" s="698">
        <f t="shared" si="243"/>
        <v>-8.7193756519919443</v>
      </c>
      <c r="X501" s="699">
        <f t="shared" si="244"/>
        <v>-153.45878991648422</v>
      </c>
      <c r="Y501" s="702">
        <f t="shared" si="245"/>
        <v>26.541210083515779</v>
      </c>
      <c r="AA501" s="174">
        <f t="shared" si="246"/>
        <v>64565</v>
      </c>
      <c r="AB501" s="174">
        <f t="shared" si="247"/>
        <v>4168639225</v>
      </c>
      <c r="AD501" s="701">
        <f t="shared" si="248"/>
        <v>27.171154686258081</v>
      </c>
      <c r="AE501" s="702">
        <f t="shared" si="249"/>
        <v>-19.156584229862251</v>
      </c>
      <c r="AG501" s="701">
        <f t="shared" si="250"/>
        <v>-7.3144086895587188</v>
      </c>
      <c r="AH501" s="702">
        <f t="shared" si="251"/>
        <v>-49.303908161685513</v>
      </c>
      <c r="AJ501" s="174">
        <f t="shared" si="252"/>
        <v>0</v>
      </c>
      <c r="AK501" s="174">
        <f t="shared" si="264"/>
        <v>0</v>
      </c>
      <c r="AM501" s="174" t="str">
        <f t="shared" si="256"/>
        <v>0.59980633786576+0.916430593546279i</v>
      </c>
      <c r="AN501" s="174" t="str">
        <f t="shared" si="257"/>
        <v>1.15906816827i</v>
      </c>
      <c r="AO501" s="174" t="str">
        <f t="shared" si="258"/>
        <v>0.790661514683924-0.517490130680595i</v>
      </c>
      <c r="AP501" s="174" t="str">
        <f t="shared" si="259"/>
        <v>0.06669894368904-0.152738432257713i</v>
      </c>
      <c r="AQ501" s="174" t="str">
        <f t="shared" si="260"/>
        <v>0.93330105631096+0.152738432257713i</v>
      </c>
      <c r="AR501" s="174" t="str">
        <f t="shared" si="261"/>
        <v>0.869250067283593-0.142256232990453i</v>
      </c>
    </row>
    <row r="502" spans="7:44" x14ac:dyDescent="0.2">
      <c r="G502" s="703">
        <v>64941</v>
      </c>
      <c r="H502" s="691">
        <f t="shared" si="253"/>
        <v>64.941000000000003</v>
      </c>
      <c r="I502" s="692">
        <f t="shared" si="233"/>
        <v>63.366866645091839</v>
      </c>
      <c r="J502" s="693">
        <f t="shared" si="234"/>
        <v>1.5550145536872821</v>
      </c>
      <c r="K502" s="693">
        <f t="shared" si="235"/>
        <v>1.0006155041022955</v>
      </c>
      <c r="L502" s="694">
        <f t="shared" si="236"/>
        <v>3.5076731991662162E-2</v>
      </c>
      <c r="M502" s="693">
        <f t="shared" si="237"/>
        <v>1.0034288659680315</v>
      </c>
      <c r="N502" s="694">
        <f t="shared" si="238"/>
        <v>-8.2693372753110117E-2</v>
      </c>
      <c r="O502" s="692">
        <f t="shared" si="239"/>
        <v>117514.4649356372</v>
      </c>
      <c r="P502" s="695">
        <f t="shared" si="240"/>
        <v>1.5707878172041789</v>
      </c>
      <c r="Q502" s="704">
        <f t="shared" si="262"/>
        <v>48.974570832355298</v>
      </c>
      <c r="R502" s="705">
        <f t="shared" si="263"/>
        <v>1.5503761478393903</v>
      </c>
      <c r="S502" s="692">
        <f t="shared" si="241"/>
        <v>1.051929625618524</v>
      </c>
      <c r="T502" s="695">
        <f t="shared" si="242"/>
        <v>0.3155238998912302</v>
      </c>
      <c r="U502" s="696">
        <f t="shared" si="254"/>
        <v>0.83081470446023209</v>
      </c>
      <c r="V502" s="697">
        <f t="shared" si="255"/>
        <v>-0.74541455607195839</v>
      </c>
      <c r="W502" s="698">
        <f t="shared" si="243"/>
        <v>-8.7900752264649231</v>
      </c>
      <c r="X502" s="699">
        <f t="shared" si="244"/>
        <v>-153.78080209087807</v>
      </c>
      <c r="Y502" s="702">
        <f t="shared" si="245"/>
        <v>26.219197909121931</v>
      </c>
      <c r="AA502" s="174">
        <f t="shared" si="246"/>
        <v>64941</v>
      </c>
      <c r="AB502" s="174">
        <f t="shared" si="247"/>
        <v>4217333481</v>
      </c>
      <c r="AD502" s="701">
        <f t="shared" si="248"/>
        <v>27.166302169639998</v>
      </c>
      <c r="AE502" s="702">
        <f t="shared" si="249"/>
        <v>-19.247690328688346</v>
      </c>
      <c r="AG502" s="701">
        <f t="shared" si="250"/>
        <v>-7.3486014178694772</v>
      </c>
      <c r="AH502" s="702">
        <f t="shared" si="251"/>
        <v>-49.114895563503083</v>
      </c>
      <c r="AJ502" s="174">
        <f t="shared" si="252"/>
        <v>0</v>
      </c>
      <c r="AK502" s="174">
        <f t="shared" si="264"/>
        <v>0</v>
      </c>
      <c r="AM502" s="174" t="str">
        <f t="shared" si="256"/>
        <v>0.606001255643398+0.919110977763524i</v>
      </c>
      <c r="AN502" s="174" t="str">
        <f t="shared" si="257"/>
        <v>1.165818104478i</v>
      </c>
      <c r="AO502" s="174" t="str">
        <f t="shared" si="258"/>
        <v>0.788382831106453-0.519807724134407i</v>
      </c>
      <c r="AP502" s="174" t="str">
        <f t="shared" si="259"/>
        <v>0.065666457392767-0.153185162960587i</v>
      </c>
      <c r="AQ502" s="174" t="str">
        <f t="shared" si="260"/>
        <v>0.934333542607233+0.153185162960587i</v>
      </c>
      <c r="AR502" s="174" t="str">
        <f t="shared" si="261"/>
        <v>0.86820715151843-0.142343657723959i</v>
      </c>
    </row>
    <row r="503" spans="7:44" x14ac:dyDescent="0.2">
      <c r="G503" s="703">
        <v>65317</v>
      </c>
      <c r="H503" s="691">
        <f t="shared" si="253"/>
        <v>65.316999999999993</v>
      </c>
      <c r="I503" s="692">
        <f t="shared" si="233"/>
        <v>63.733661508625687</v>
      </c>
      <c r="J503" s="693">
        <f t="shared" si="234"/>
        <v>1.5551053871599945</v>
      </c>
      <c r="K503" s="693">
        <f t="shared" si="235"/>
        <v>1.0006226498900834</v>
      </c>
      <c r="L503" s="694">
        <f t="shared" si="236"/>
        <v>3.5279653746767635E-2</v>
      </c>
      <c r="M503" s="693">
        <f t="shared" si="237"/>
        <v>1.0034686174710921</v>
      </c>
      <c r="N503" s="694">
        <f t="shared" si="238"/>
        <v>-8.3169958140514463E-2</v>
      </c>
      <c r="O503" s="692">
        <f t="shared" si="239"/>
        <v>118194.8585053791</v>
      </c>
      <c r="P503" s="695">
        <f t="shared" si="240"/>
        <v>1.5707878661899883</v>
      </c>
      <c r="Q503" s="704">
        <f t="shared" si="262"/>
        <v>49.258009388396871</v>
      </c>
      <c r="R503" s="705">
        <f t="shared" si="263"/>
        <v>1.55049366504709</v>
      </c>
      <c r="S503" s="692">
        <f t="shared" si="241"/>
        <v>1.0525176480738911</v>
      </c>
      <c r="T503" s="695">
        <f t="shared" si="242"/>
        <v>0.31723093258013241</v>
      </c>
      <c r="U503" s="696">
        <f t="shared" si="254"/>
        <v>0.82929826156807585</v>
      </c>
      <c r="V503" s="697">
        <f t="shared" si="255"/>
        <v>-0.74907059409776544</v>
      </c>
      <c r="W503" s="698">
        <f t="shared" si="243"/>
        <v>-8.8605450221196396</v>
      </c>
      <c r="X503" s="699">
        <f t="shared" si="244"/>
        <v>-154.10223712084911</v>
      </c>
      <c r="Y503" s="702">
        <f t="shared" si="245"/>
        <v>25.897762879150889</v>
      </c>
      <c r="AA503" s="174">
        <f t="shared" si="246"/>
        <v>65317</v>
      </c>
      <c r="AB503" s="174">
        <f t="shared" si="247"/>
        <v>4266310489</v>
      </c>
      <c r="AD503" s="701">
        <f t="shared" si="248"/>
        <v>27.161427378508343</v>
      </c>
      <c r="AE503" s="702">
        <f t="shared" si="249"/>
        <v>-19.338765664016154</v>
      </c>
      <c r="AG503" s="701">
        <f t="shared" si="250"/>
        <v>-7.3824596441449444</v>
      </c>
      <c r="AH503" s="702">
        <f t="shared" si="251"/>
        <v>-48.926304160431378</v>
      </c>
      <c r="AJ503" s="174">
        <f t="shared" si="252"/>
        <v>0</v>
      </c>
      <c r="AK503" s="174">
        <f t="shared" si="264"/>
        <v>0</v>
      </c>
      <c r="AM503" s="174" t="str">
        <f t="shared" si="256"/>
        <v>0.612214124581362+0.921749485937367i</v>
      </c>
      <c r="AN503" s="174" t="str">
        <f t="shared" si="257"/>
        <v>1.172568040686i</v>
      </c>
      <c r="AO503" s="174" t="str">
        <f t="shared" si="258"/>
        <v>0.786094669097502-0.522113944213584i</v>
      </c>
      <c r="AP503" s="174" t="str">
        <f t="shared" si="259"/>
        <v>0.0646309792364397-0.153624914322895i</v>
      </c>
      <c r="AQ503" s="174" t="str">
        <f t="shared" si="260"/>
        <v>0.93536902076356+0.153624914322895i</v>
      </c>
      <c r="AR503" s="174" t="str">
        <f t="shared" si="261"/>
        <v>0.867166028193932-0.142423261651609i</v>
      </c>
    </row>
    <row r="504" spans="7:44" x14ac:dyDescent="0.2">
      <c r="G504" s="703">
        <v>65693</v>
      </c>
      <c r="H504" s="691">
        <f t="shared" si="253"/>
        <v>65.692999999999998</v>
      </c>
      <c r="I504" s="692">
        <f t="shared" si="233"/>
        <v>64.100456891990106</v>
      </c>
      <c r="J504" s="693">
        <f t="shared" si="234"/>
        <v>1.5551951810995568</v>
      </c>
      <c r="K504" s="693">
        <f t="shared" si="235"/>
        <v>1.0006298368801601</v>
      </c>
      <c r="L504" s="694">
        <f t="shared" si="236"/>
        <v>3.5482572595271308E-2</v>
      </c>
      <c r="M504" s="693">
        <f t="shared" si="237"/>
        <v>1.0035085968775366</v>
      </c>
      <c r="N504" s="694">
        <f t="shared" si="238"/>
        <v>-8.364650566218515E-2</v>
      </c>
      <c r="O504" s="692">
        <f t="shared" si="239"/>
        <v>118875.2520751213</v>
      </c>
      <c r="P504" s="695">
        <f t="shared" si="240"/>
        <v>1.5707879146150479</v>
      </c>
      <c r="Q504" s="704">
        <f t="shared" si="262"/>
        <v>49.541448616922075</v>
      </c>
      <c r="R504" s="705">
        <f t="shared" si="263"/>
        <v>1.5506098375647068</v>
      </c>
      <c r="S504" s="692">
        <f t="shared" si="241"/>
        <v>1.0531087340939813</v>
      </c>
      <c r="T504" s="695">
        <f t="shared" si="242"/>
        <v>0.31893605399567992</v>
      </c>
      <c r="U504" s="696">
        <f t="shared" si="254"/>
        <v>0.82778070732302933</v>
      </c>
      <c r="V504" s="697">
        <f t="shared" si="255"/>
        <v>-0.75271820317967131</v>
      </c>
      <c r="W504" s="698">
        <f t="shared" si="243"/>
        <v>-8.9307877840456822</v>
      </c>
      <c r="X504" s="699">
        <f t="shared" si="244"/>
        <v>-154.42309514907646</v>
      </c>
      <c r="Y504" s="702">
        <f t="shared" si="245"/>
        <v>25.57690485092354</v>
      </c>
      <c r="AA504" s="174">
        <f t="shared" si="246"/>
        <v>65693</v>
      </c>
      <c r="AB504" s="174">
        <f t="shared" si="247"/>
        <v>4315570249</v>
      </c>
      <c r="AD504" s="701">
        <f t="shared" si="248"/>
        <v>27.156530386387775</v>
      </c>
      <c r="AE504" s="702">
        <f t="shared" si="249"/>
        <v>-19.429808504385107</v>
      </c>
      <c r="AG504" s="701">
        <f t="shared" si="250"/>
        <v>-7.4159872263450577</v>
      </c>
      <c r="AH504" s="702">
        <f t="shared" si="251"/>
        <v>-48.738134136398571</v>
      </c>
      <c r="AJ504" s="174">
        <f t="shared" si="252"/>
        <v>0</v>
      </c>
      <c r="AK504" s="174">
        <f t="shared" si="264"/>
        <v>0</v>
      </c>
      <c r="AM504" s="174" t="str">
        <f t="shared" si="256"/>
        <v>0.618444661612236+0.924345997853509i</v>
      </c>
      <c r="AN504" s="174" t="str">
        <f t="shared" si="257"/>
        <v>1.179317976894i</v>
      </c>
      <c r="AO504" s="174" t="str">
        <f t="shared" si="258"/>
        <v>0.783797089473683-0.524408746181458i</v>
      </c>
      <c r="AP504" s="174" t="str">
        <f t="shared" si="259"/>
        <v>0.0635925563979607-0.154057666308918i</v>
      </c>
      <c r="AQ504" s="174" t="str">
        <f t="shared" si="260"/>
        <v>0.936407443602039+0.154057666308918i</v>
      </c>
      <c r="AR504" s="174" t="str">
        <f t="shared" si="261"/>
        <v>0.866126752804736-0.142495093537003i</v>
      </c>
    </row>
    <row r="505" spans="7:44" x14ac:dyDescent="0.2">
      <c r="G505" s="703">
        <v>66069</v>
      </c>
      <c r="H505" s="691">
        <f t="shared" si="253"/>
        <v>66.069000000000003</v>
      </c>
      <c r="I505" s="692">
        <f t="shared" si="233"/>
        <v>64.467252786312145</v>
      </c>
      <c r="J505" s="693">
        <f t="shared" si="234"/>
        <v>1.5552839532482383</v>
      </c>
      <c r="K505" s="693">
        <f t="shared" si="235"/>
        <v>1.0006370650716367</v>
      </c>
      <c r="L505" s="694">
        <f t="shared" si="236"/>
        <v>3.5685488520525201E-2</v>
      </c>
      <c r="M505" s="693">
        <f t="shared" si="237"/>
        <v>1.0035488041601273</v>
      </c>
      <c r="N505" s="694">
        <f t="shared" si="238"/>
        <v>-8.4123015106215102E-2</v>
      </c>
      <c r="O505" s="692">
        <f t="shared" si="239"/>
        <v>119555.64564486375</v>
      </c>
      <c r="P505" s="695">
        <f t="shared" si="240"/>
        <v>1.5707879624889316</v>
      </c>
      <c r="Q505" s="704">
        <f t="shared" si="262"/>
        <v>49.824888506454243</v>
      </c>
      <c r="R505" s="705">
        <f t="shared" si="263"/>
        <v>1.5507246883377781</v>
      </c>
      <c r="S505" s="692">
        <f t="shared" si="241"/>
        <v>1.0537028785231757</v>
      </c>
      <c r="T505" s="695">
        <f t="shared" si="242"/>
        <v>0.3206392574476174</v>
      </c>
      <c r="U505" s="696">
        <f t="shared" si="254"/>
        <v>0.82626210705721337</v>
      </c>
      <c r="V505" s="697">
        <f t="shared" si="255"/>
        <v>-0.75635739851365669</v>
      </c>
      <c r="W505" s="698">
        <f t="shared" si="243"/>
        <v>-9.0008062034906509</v>
      </c>
      <c r="X505" s="699">
        <f t="shared" si="244"/>
        <v>-154.74337635413809</v>
      </c>
      <c r="Y505" s="702">
        <f t="shared" si="245"/>
        <v>25.256623645861907</v>
      </c>
      <c r="AA505" s="174">
        <f t="shared" si="246"/>
        <v>66069</v>
      </c>
      <c r="AB505" s="174">
        <f t="shared" si="247"/>
        <v>4365112761</v>
      </c>
      <c r="AD505" s="701">
        <f t="shared" si="248"/>
        <v>27.151611267199737</v>
      </c>
      <c r="AE505" s="702">
        <f t="shared" si="249"/>
        <v>-19.520817152337923</v>
      </c>
      <c r="AG505" s="701">
        <f t="shared" si="250"/>
        <v>-7.449187961692429</v>
      </c>
      <c r="AH505" s="702">
        <f t="shared" si="251"/>
        <v>-48.550385626108735</v>
      </c>
      <c r="AJ505" s="174">
        <f t="shared" si="252"/>
        <v>0</v>
      </c>
      <c r="AK505" s="174">
        <f t="shared" si="264"/>
        <v>0</v>
      </c>
      <c r="AM505" s="174" t="str">
        <f t="shared" si="256"/>
        <v>0.624692582863619+0.92690039521106i</v>
      </c>
      <c r="AN505" s="174" t="str">
        <f t="shared" si="257"/>
        <v>1.186067913102i</v>
      </c>
      <c r="AO505" s="174" t="str">
        <f t="shared" si="258"/>
        <v>0.781490153280412-0.526692085641049i</v>
      </c>
      <c r="AP505" s="174" t="str">
        <f t="shared" si="259"/>
        <v>0.0625512361893968-0.154483399201843i</v>
      </c>
      <c r="AQ505" s="174" t="str">
        <f t="shared" si="260"/>
        <v>0.937448763810603+0.154483399201843i</v>
      </c>
      <c r="AR505" s="174" t="str">
        <f t="shared" si="261"/>
        <v>0.865089379961575-0.142559202368183i</v>
      </c>
    </row>
    <row r="506" spans="7:44" x14ac:dyDescent="0.2">
      <c r="G506" s="703">
        <v>66453.75</v>
      </c>
      <c r="H506" s="691">
        <f t="shared" si="253"/>
        <v>66.453749999999999</v>
      </c>
      <c r="I506" s="692">
        <f t="shared" si="233"/>
        <v>64.842585009231399</v>
      </c>
      <c r="J506" s="693">
        <f t="shared" si="234"/>
        <v>1.5553737515907251</v>
      </c>
      <c r="K506" s="693">
        <f t="shared" si="235"/>
        <v>1.0006445041221959</v>
      </c>
      <c r="L506" s="694">
        <f t="shared" si="236"/>
        <v>3.5893123514952607E-2</v>
      </c>
      <c r="M506" s="693">
        <f t="shared" si="237"/>
        <v>1.0035901829812421</v>
      </c>
      <c r="N506" s="694">
        <f t="shared" si="238"/>
        <v>-8.4610573895238392E-2</v>
      </c>
      <c r="O506" s="692">
        <f t="shared" si="239"/>
        <v>120251.87284156194</v>
      </c>
      <c r="P506" s="695">
        <f t="shared" si="240"/>
        <v>1.5707880109160968</v>
      </c>
      <c r="Q506" s="704">
        <f t="shared" si="262"/>
        <v>50.11492507661346</v>
      </c>
      <c r="R506" s="705">
        <f t="shared" si="263"/>
        <v>1.5508408669869163</v>
      </c>
      <c r="S506" s="692">
        <f t="shared" si="241"/>
        <v>1.0543140100544488</v>
      </c>
      <c r="T506" s="695">
        <f t="shared" si="242"/>
        <v>0.3223801042682039</v>
      </c>
      <c r="U506" s="696">
        <f t="shared" si="254"/>
        <v>0.82470715160331765</v>
      </c>
      <c r="V506" s="697">
        <f t="shared" si="255"/>
        <v>-0.76007258915781384</v>
      </c>
      <c r="W506" s="698">
        <f t="shared" si="243"/>
        <v>-9.0722245590384283</v>
      </c>
      <c r="X506" s="699">
        <f t="shared" si="244"/>
        <v>-155.07051402056135</v>
      </c>
      <c r="Y506" s="702">
        <f t="shared" si="245"/>
        <v>24.929485979438653</v>
      </c>
      <c r="AA506" s="174">
        <f t="shared" si="246"/>
        <v>66453.75</v>
      </c>
      <c r="AB506" s="174">
        <f t="shared" si="247"/>
        <v>4416100889.0625</v>
      </c>
      <c r="AD506" s="701">
        <f t="shared" si="248"/>
        <v>27.146554845901086</v>
      </c>
      <c r="AE506" s="702">
        <f t="shared" si="249"/>
        <v>-19.613906556449702</v>
      </c>
      <c r="AG506" s="701">
        <f t="shared" si="250"/>
        <v>-7.4828268748739308</v>
      </c>
      <c r="AH506" s="702">
        <f t="shared" si="251"/>
        <v>-48.358704399940407</v>
      </c>
      <c r="AJ506" s="174">
        <f t="shared" si="252"/>
        <v>0</v>
      </c>
      <c r="AK506" s="174">
        <f t="shared" si="264"/>
        <v>0</v>
      </c>
      <c r="AM506" s="174" t="str">
        <f t="shared" si="256"/>
        <v>0.631103600006961+0.929470519205518i</v>
      </c>
      <c r="AN506" s="174" t="str">
        <f t="shared" si="257"/>
        <v>1.1929749289425i</v>
      </c>
      <c r="AO506" s="174" t="str">
        <f t="shared" si="258"/>
        <v>0.779119909946001-0.529016649634369i</v>
      </c>
      <c r="AP506" s="174" t="str">
        <f t="shared" si="259"/>
        <v>0.0614827333321732-0.15491175320092i</v>
      </c>
      <c r="AQ506" s="174" t="str">
        <f t="shared" si="260"/>
        <v>0.938517266667827+0.15491175320092i</v>
      </c>
      <c r="AR506" s="174" t="str">
        <f t="shared" si="261"/>
        <v>0.86402989164931-0.142616859686151i</v>
      </c>
    </row>
    <row r="507" spans="7:44" x14ac:dyDescent="0.2">
      <c r="G507" s="703">
        <v>66838.5</v>
      </c>
      <c r="H507" s="691">
        <f t="shared" si="253"/>
        <v>66.838499999999996</v>
      </c>
      <c r="I507" s="692">
        <f t="shared" si="233"/>
        <v>65.217917749006233</v>
      </c>
      <c r="J507" s="693">
        <f t="shared" si="234"/>
        <v>1.5554625163450213</v>
      </c>
      <c r="K507" s="693">
        <f t="shared" si="235"/>
        <v>1.0006519863121892</v>
      </c>
      <c r="L507" s="694">
        <f t="shared" si="236"/>
        <v>3.6100755413226923E-2</v>
      </c>
      <c r="M507" s="693">
        <f t="shared" si="237"/>
        <v>1.0036318003496603</v>
      </c>
      <c r="N507" s="694">
        <f t="shared" si="238"/>
        <v>-8.5098092365167688E-2</v>
      </c>
      <c r="O507" s="692">
        <f t="shared" si="239"/>
        <v>120948.10003826041</v>
      </c>
      <c r="P507" s="695">
        <f t="shared" si="240"/>
        <v>1.5707880587857284</v>
      </c>
      <c r="Q507" s="704">
        <f t="shared" si="262"/>
        <v>50.404962315413329</v>
      </c>
      <c r="R507" s="705">
        <f t="shared" si="263"/>
        <v>1.5509557086210317</v>
      </c>
      <c r="S507" s="692">
        <f t="shared" si="241"/>
        <v>1.0549283330269563</v>
      </c>
      <c r="T507" s="695">
        <f t="shared" si="242"/>
        <v>0.32411892883698318</v>
      </c>
      <c r="U507" s="696">
        <f t="shared" si="254"/>
        <v>0.82315123696802683</v>
      </c>
      <c r="V507" s="697">
        <f t="shared" si="255"/>
        <v>-0.76377900349319061</v>
      </c>
      <c r="W507" s="698">
        <f t="shared" si="243"/>
        <v>-9.1434135436486379</v>
      </c>
      <c r="X507" s="699">
        <f t="shared" si="244"/>
        <v>-155.39704819545264</v>
      </c>
      <c r="Y507" s="702">
        <f t="shared" si="245"/>
        <v>24.602951804547359</v>
      </c>
      <c r="AA507" s="174">
        <f t="shared" si="246"/>
        <v>66838.5</v>
      </c>
      <c r="AB507" s="174">
        <f t="shared" si="247"/>
        <v>4467385082.25</v>
      </c>
      <c r="AD507" s="701">
        <f t="shared" si="248"/>
        <v>27.141475413528507</v>
      </c>
      <c r="AE507" s="702">
        <f t="shared" si="249"/>
        <v>-19.706956667441393</v>
      </c>
      <c r="AG507" s="701">
        <f t="shared" si="250"/>
        <v>-7.5161314071698619</v>
      </c>
      <c r="AH507" s="702">
        <f t="shared" si="251"/>
        <v>-48.167464666266916</v>
      </c>
      <c r="AJ507" s="174">
        <f t="shared" si="252"/>
        <v>0</v>
      </c>
      <c r="AK507" s="174">
        <f t="shared" si="264"/>
        <v>0</v>
      </c>
      <c r="AM507" s="174" t="str">
        <f t="shared" si="256"/>
        <v>0.637532215972132+0.931996301249059i</v>
      </c>
      <c r="AN507" s="174" t="str">
        <f t="shared" si="257"/>
        <v>1.199881944783i</v>
      </c>
      <c r="AO507" s="174" t="str">
        <f t="shared" si="258"/>
        <v>0.776739999548549-0.531329118455425i</v>
      </c>
      <c r="AP507" s="174" t="str">
        <f t="shared" si="259"/>
        <v>0.060411297337978-0.155332716874843i</v>
      </c>
      <c r="AQ507" s="174" t="str">
        <f t="shared" si="260"/>
        <v>0.939588702662022+0.155332716874843i</v>
      </c>
      <c r="AR507" s="174" t="str">
        <f t="shared" si="261"/>
        <v>0.862972508344544-0.142666534761087i</v>
      </c>
    </row>
    <row r="508" spans="7:44" x14ac:dyDescent="0.2">
      <c r="G508" s="703">
        <v>67223.25</v>
      </c>
      <c r="H508" s="691">
        <f t="shared" si="253"/>
        <v>67.223249999999993</v>
      </c>
      <c r="I508" s="692">
        <f t="shared" si="233"/>
        <v>65.59325099676407</v>
      </c>
      <c r="J508" s="693">
        <f t="shared" si="234"/>
        <v>1.5555502652527009</v>
      </c>
      <c r="K508" s="693">
        <f t="shared" si="235"/>
        <v>1.0006595116406496</v>
      </c>
      <c r="L508" s="694">
        <f t="shared" si="236"/>
        <v>3.6308384197515357E-2</v>
      </c>
      <c r="M508" s="693">
        <f t="shared" si="237"/>
        <v>1.0036736562357074</v>
      </c>
      <c r="N508" s="694">
        <f t="shared" si="238"/>
        <v>-8.558557028929184E-2</v>
      </c>
      <c r="O508" s="692">
        <f t="shared" si="239"/>
        <v>121644.32723495916</v>
      </c>
      <c r="P508" s="695">
        <f t="shared" si="240"/>
        <v>1.5707881061073994</v>
      </c>
      <c r="Q508" s="704">
        <f t="shared" si="262"/>
        <v>50.695000211377526</v>
      </c>
      <c r="R508" s="705">
        <f t="shared" si="263"/>
        <v>1.5510692361851917</v>
      </c>
      <c r="S508" s="692">
        <f t="shared" si="241"/>
        <v>1.0555458418684842</v>
      </c>
      <c r="T508" s="695">
        <f t="shared" si="242"/>
        <v>0.32585572417927811</v>
      </c>
      <c r="U508" s="696">
        <f t="shared" si="254"/>
        <v>0.82159443080294103</v>
      </c>
      <c r="V508" s="697">
        <f t="shared" si="255"/>
        <v>-0.76747665920541908</v>
      </c>
      <c r="W508" s="698">
        <f t="shared" si="243"/>
        <v>-9.2143758742964756</v>
      </c>
      <c r="X508" s="699">
        <f t="shared" si="244"/>
        <v>-155.72297918294683</v>
      </c>
      <c r="Y508" s="702">
        <f t="shared" si="245"/>
        <v>24.27702081705317</v>
      </c>
      <c r="AA508" s="174">
        <f t="shared" si="246"/>
        <v>67223.25</v>
      </c>
      <c r="AB508" s="174">
        <f t="shared" si="247"/>
        <v>4518965340.5625</v>
      </c>
      <c r="AD508" s="701">
        <f t="shared" si="248"/>
        <v>27.136373050498964</v>
      </c>
      <c r="AE508" s="702">
        <f t="shared" si="249"/>
        <v>-19.799965771586411</v>
      </c>
      <c r="AG508" s="701">
        <f t="shared" si="250"/>
        <v>-7.5491054378531697</v>
      </c>
      <c r="AH508" s="702">
        <f t="shared" si="251"/>
        <v>-47.976666416325642</v>
      </c>
      <c r="AJ508" s="174">
        <f t="shared" si="252"/>
        <v>0</v>
      </c>
      <c r="AK508" s="174">
        <f t="shared" si="264"/>
        <v>0</v>
      </c>
      <c r="AM508" s="174" t="str">
        <f t="shared" si="256"/>
        <v>0.643978124071218+0.93447762084501i</v>
      </c>
      <c r="AN508" s="174" t="str">
        <f t="shared" si="257"/>
        <v>1.2067889606235i</v>
      </c>
      <c r="AO508" s="174" t="str">
        <f t="shared" si="258"/>
        <v>0.774350488226378-0.533629445647647i</v>
      </c>
      <c r="AP508" s="174" t="str">
        <f t="shared" si="259"/>
        <v>0.0593369793214637-0.155746270140835i</v>
      </c>
      <c r="AQ508" s="174" t="str">
        <f t="shared" si="260"/>
        <v>0.940663020678536+0.155746270140835i</v>
      </c>
      <c r="AR508" s="174" t="str">
        <f t="shared" si="261"/>
        <v>0.861917285718707-0.142708280722855i</v>
      </c>
    </row>
    <row r="509" spans="7:44" x14ac:dyDescent="0.2">
      <c r="G509" s="703">
        <v>67608</v>
      </c>
      <c r="H509" s="691">
        <f t="shared" si="253"/>
        <v>67.608000000000004</v>
      </c>
      <c r="I509" s="692">
        <f t="shared" si="233"/>
        <v>65.968584743834327</v>
      </c>
      <c r="J509" s="693">
        <f t="shared" si="234"/>
        <v>1.5556370156516319</v>
      </c>
      <c r="K509" s="693">
        <f t="shared" si="235"/>
        <v>1.0006670801066033</v>
      </c>
      <c r="L509" s="694">
        <f t="shared" si="236"/>
        <v>3.6516009849986736E-2</v>
      </c>
      <c r="M509" s="693">
        <f t="shared" si="237"/>
        <v>1.0037157506095444</v>
      </c>
      <c r="N509" s="694">
        <f t="shared" si="238"/>
        <v>-8.6073007441014399E-2</v>
      </c>
      <c r="O509" s="692">
        <f t="shared" si="239"/>
        <v>122340.55443165815</v>
      </c>
      <c r="P509" s="695">
        <f t="shared" si="240"/>
        <v>1.5707881528904653</v>
      </c>
      <c r="Q509" s="704">
        <f t="shared" si="262"/>
        <v>50.985038753290837</v>
      </c>
      <c r="R509" s="705">
        <f t="shared" si="263"/>
        <v>1.5511814721024901</v>
      </c>
      <c r="S509" s="692">
        <f t="shared" si="241"/>
        <v>1.0561665309909873</v>
      </c>
      <c r="T509" s="695">
        <f t="shared" si="242"/>
        <v>0.32759048338564917</v>
      </c>
      <c r="U509" s="696">
        <f t="shared" si="254"/>
        <v>0.82003679997029844</v>
      </c>
      <c r="V509" s="697">
        <f t="shared" si="255"/>
        <v>-0.77116557443781009</v>
      </c>
      <c r="W509" s="698">
        <f t="shared" si="243"/>
        <v>-9.2851142145425882</v>
      </c>
      <c r="X509" s="699">
        <f t="shared" si="244"/>
        <v>-156.04830732391</v>
      </c>
      <c r="Y509" s="702">
        <f t="shared" si="245"/>
        <v>23.951692676090005</v>
      </c>
      <c r="AA509" s="174">
        <f t="shared" si="246"/>
        <v>67608</v>
      </c>
      <c r="AB509" s="174">
        <f t="shared" si="247"/>
        <v>4570841664</v>
      </c>
      <c r="AD509" s="701">
        <f t="shared" si="248"/>
        <v>27.131247837613945</v>
      </c>
      <c r="AE509" s="702">
        <f t="shared" si="249"/>
        <v>-19.892932188790407</v>
      </c>
      <c r="AG509" s="701">
        <f t="shared" si="250"/>
        <v>-7.5817527850423101</v>
      </c>
      <c r="AH509" s="702">
        <f t="shared" si="251"/>
        <v>-47.786309592006752</v>
      </c>
      <c r="AJ509" s="174">
        <f t="shared" si="252"/>
        <v>0</v>
      </c>
      <c r="AK509" s="174">
        <f t="shared" si="264"/>
        <v>0</v>
      </c>
      <c r="AM509" s="174" t="str">
        <f t="shared" si="256"/>
        <v>0.650441016791357+0.936914359617857i</v>
      </c>
      <c r="AN509" s="174" t="str">
        <f t="shared" si="257"/>
        <v>1.213695976464i</v>
      </c>
      <c r="AO509" s="174" t="str">
        <f t="shared" si="258"/>
        <v>0.771951442359953-0.535917585132285i</v>
      </c>
      <c r="AP509" s="174" t="str">
        <f t="shared" si="259"/>
        <v>0.0582598305347738-0.156152393269643i</v>
      </c>
      <c r="AQ509" s="174" t="str">
        <f t="shared" si="260"/>
        <v>0.941740169465226+0.156152393269643i</v>
      </c>
      <c r="AR509" s="174" t="str">
        <f t="shared" si="261"/>
        <v>0.860864278496965-0.142742150888584i</v>
      </c>
    </row>
    <row r="510" spans="7:44" x14ac:dyDescent="0.2">
      <c r="G510" s="703">
        <v>68001.75</v>
      </c>
      <c r="H510" s="691">
        <f t="shared" si="253"/>
        <v>68.001750000000001</v>
      </c>
      <c r="I510" s="692">
        <f t="shared" si="233"/>
        <v>66.352698735805575</v>
      </c>
      <c r="J510" s="693">
        <f t="shared" si="234"/>
        <v>1.5557247791615971</v>
      </c>
      <c r="K510" s="693">
        <f t="shared" si="235"/>
        <v>1.0006748702745667</v>
      </c>
      <c r="L510" s="694">
        <f t="shared" si="236"/>
        <v>3.6728488981700627E-2</v>
      </c>
      <c r="M510" s="693">
        <f t="shared" si="237"/>
        <v>1.0037590765368181</v>
      </c>
      <c r="N510" s="694">
        <f t="shared" si="238"/>
        <v>-8.6571804180889375E-2</v>
      </c>
      <c r="O510" s="692">
        <f t="shared" si="239"/>
        <v>123053.0676446545</v>
      </c>
      <c r="P510" s="695">
        <f t="shared" si="240"/>
        <v>1.57078820021976</v>
      </c>
      <c r="Q510" s="704">
        <f t="shared" si="262"/>
        <v>51.281862479855036</v>
      </c>
      <c r="R510" s="705">
        <f t="shared" si="263"/>
        <v>1.5512950189649328</v>
      </c>
      <c r="S510" s="692">
        <f t="shared" si="241"/>
        <v>1.0568050260500124</v>
      </c>
      <c r="T510" s="695">
        <f t="shared" si="242"/>
        <v>0.32936370647728458</v>
      </c>
      <c r="U510" s="696">
        <f t="shared" si="254"/>
        <v>0.8184419484393346</v>
      </c>
      <c r="V510" s="697">
        <f t="shared" si="255"/>
        <v>-0.77493174993382308</v>
      </c>
      <c r="W510" s="698">
        <f t="shared" si="243"/>
        <v>-9.3572780663930022</v>
      </c>
      <c r="X510" s="699">
        <f t="shared" si="244"/>
        <v>-156.38062170944082</v>
      </c>
      <c r="Y510" s="702">
        <f t="shared" si="245"/>
        <v>23.619378290559183</v>
      </c>
      <c r="AA510" s="174">
        <f t="shared" si="246"/>
        <v>68001.75</v>
      </c>
      <c r="AB510" s="174">
        <f t="shared" si="247"/>
        <v>4624238003.0625</v>
      </c>
      <c r="AD510" s="701">
        <f t="shared" si="248"/>
        <v>27.125979163554032</v>
      </c>
      <c r="AE510" s="702">
        <f t="shared" si="249"/>
        <v>-19.988027343958834</v>
      </c>
      <c r="AG510" s="701">
        <f t="shared" si="250"/>
        <v>-7.6148294985397849</v>
      </c>
      <c r="AH510" s="702">
        <f t="shared" si="251"/>
        <v>-47.591956900221703</v>
      </c>
      <c r="AJ510" s="174">
        <f t="shared" si="252"/>
        <v>0</v>
      </c>
      <c r="AK510" s="174">
        <f t="shared" si="264"/>
        <v>0</v>
      </c>
      <c r="AM510" s="174" t="str">
        <f t="shared" si="256"/>
        <v>0.657072351788224+0.939361819583881i</v>
      </c>
      <c r="AN510" s="174" t="str">
        <f t="shared" si="257"/>
        <v>1.2207645599265i</v>
      </c>
      <c r="AO510" s="174" t="str">
        <f t="shared" si="258"/>
        <v>0.769486476278799-0.538246581984478i</v>
      </c>
      <c r="AP510" s="174" t="str">
        <f t="shared" si="259"/>
        <v>0.057154608035296-0.15656030326398i</v>
      </c>
      <c r="AQ510" s="174" t="str">
        <f t="shared" si="260"/>
        <v>0.942845391964704+0.15656030326398i</v>
      </c>
      <c r="AR510" s="174" t="str">
        <f t="shared" si="261"/>
        <v>0.859788989386541-0.142768714858848i</v>
      </c>
    </row>
    <row r="511" spans="7:44" x14ac:dyDescent="0.2">
      <c r="G511" s="703">
        <v>68395.5</v>
      </c>
      <c r="H511" s="691">
        <f t="shared" si="253"/>
        <v>68.395499999999998</v>
      </c>
      <c r="I511" s="692">
        <f t="shared" si="233"/>
        <v>66.736813232970903</v>
      </c>
      <c r="J511" s="693">
        <f t="shared" si="234"/>
        <v>1.5558115323981383</v>
      </c>
      <c r="K511" s="693">
        <f t="shared" si="235"/>
        <v>1.0006827056196756</v>
      </c>
      <c r="L511" s="694">
        <f t="shared" si="236"/>
        <v>3.6940964795584126E-2</v>
      </c>
      <c r="M511" s="693">
        <f t="shared" si="237"/>
        <v>1.0038026521759371</v>
      </c>
      <c r="N511" s="694">
        <f t="shared" si="238"/>
        <v>-8.707055773874893E-2</v>
      </c>
      <c r="O511" s="692">
        <f t="shared" si="239"/>
        <v>123765.5808576511</v>
      </c>
      <c r="P511" s="695">
        <f t="shared" si="240"/>
        <v>1.5707882470041092</v>
      </c>
      <c r="Q511" s="704">
        <f t="shared" si="262"/>
        <v>51.578686859980841</v>
      </c>
      <c r="R511" s="705">
        <f t="shared" si="263"/>
        <v>1.5514072589526897</v>
      </c>
      <c r="S511" s="692">
        <f t="shared" si="241"/>
        <v>1.0574468400234378</v>
      </c>
      <c r="T511" s="695">
        <f t="shared" si="242"/>
        <v>0.33113478262797685</v>
      </c>
      <c r="U511" s="696">
        <f t="shared" si="254"/>
        <v>0.81684637237527535</v>
      </c>
      <c r="V511" s="697">
        <f t="shared" si="255"/>
        <v>-0.77868881113913002</v>
      </c>
      <c r="W511" s="698">
        <f t="shared" si="243"/>
        <v>-9.4292128050202724</v>
      </c>
      <c r="X511" s="699">
        <f t="shared" si="244"/>
        <v>-156.71230555265311</v>
      </c>
      <c r="Y511" s="702">
        <f t="shared" si="245"/>
        <v>23.287694447346894</v>
      </c>
      <c r="AA511" s="174">
        <f t="shared" si="246"/>
        <v>68395.5</v>
      </c>
      <c r="AB511" s="174">
        <f t="shared" si="247"/>
        <v>4677944420.25</v>
      </c>
      <c r="AD511" s="701">
        <f t="shared" si="248"/>
        <v>27.120686730550403</v>
      </c>
      <c r="AE511" s="702">
        <f t="shared" si="249"/>
        <v>-20.08307433565308</v>
      </c>
      <c r="AG511" s="701">
        <f t="shared" si="250"/>
        <v>-7.6475719668731434</v>
      </c>
      <c r="AH511" s="702">
        <f t="shared" si="251"/>
        <v>-47.398066250374988</v>
      </c>
      <c r="AJ511" s="174">
        <f t="shared" si="252"/>
        <v>0</v>
      </c>
      <c r="AK511" s="174">
        <f t="shared" si="264"/>
        <v>0</v>
      </c>
      <c r="AM511" s="174" t="str">
        <f t="shared" si="256"/>
        <v>0.663720821049854+0.941762344652097i</v>
      </c>
      <c r="AN511" s="174" t="str">
        <f t="shared" si="257"/>
        <v>1.227833143389i</v>
      </c>
      <c r="AO511" s="174" t="str">
        <f t="shared" si="258"/>
        <v>0.767011665813723-0.540562717844452i</v>
      </c>
      <c r="AP511" s="174" t="str">
        <f t="shared" si="259"/>
        <v>0.0560465298250243-0.156960390775349i</v>
      </c>
      <c r="AQ511" s="174" t="str">
        <f t="shared" si="260"/>
        <v>0.943953470174976+0.156960390775349i</v>
      </c>
      <c r="AR511" s="174" t="str">
        <f t="shared" si="261"/>
        <v>0.85871613350008-0.142787143792464i</v>
      </c>
    </row>
    <row r="512" spans="7:44" x14ac:dyDescent="0.2">
      <c r="G512" s="703">
        <v>68789.25</v>
      </c>
      <c r="H512" s="691">
        <f t="shared" si="253"/>
        <v>68.789249999999996</v>
      </c>
      <c r="I512" s="692">
        <f t="shared" si="233"/>
        <v>67.120928226657085</v>
      </c>
      <c r="J512" s="693">
        <f t="shared" si="234"/>
        <v>1.5558972927045058</v>
      </c>
      <c r="K512" s="693">
        <f t="shared" si="235"/>
        <v>1.0006905861408686</v>
      </c>
      <c r="L512" s="694">
        <f t="shared" si="236"/>
        <v>3.715343727253053E-2</v>
      </c>
      <c r="M512" s="693">
        <f t="shared" si="237"/>
        <v>1.0038464774943818</v>
      </c>
      <c r="N512" s="694">
        <f t="shared" si="238"/>
        <v>-8.7569267872097734E-2</v>
      </c>
      <c r="O512" s="692">
        <f t="shared" si="239"/>
        <v>124478.09407064799</v>
      </c>
      <c r="P512" s="695">
        <f t="shared" si="240"/>
        <v>1.5707882932528707</v>
      </c>
      <c r="Q512" s="704">
        <f t="shared" si="262"/>
        <v>51.875511882449516</v>
      </c>
      <c r="R512" s="705">
        <f t="shared" si="263"/>
        <v>1.5515182144962159</v>
      </c>
      <c r="S512" s="692">
        <f t="shared" si="241"/>
        <v>1.0580919668717346</v>
      </c>
      <c r="T512" s="695">
        <f t="shared" si="242"/>
        <v>0.33290370464401275</v>
      </c>
      <c r="U512" s="696">
        <f t="shared" si="254"/>
        <v>0.81525014088606795</v>
      </c>
      <c r="V512" s="697">
        <f t="shared" si="255"/>
        <v>-0.78243677893802188</v>
      </c>
      <c r="W512" s="698">
        <f t="shared" si="243"/>
        <v>-9.5009211200514159</v>
      </c>
      <c r="X512" s="699">
        <f t="shared" si="244"/>
        <v>-157.04335933422087</v>
      </c>
      <c r="Y512" s="702">
        <f t="shared" si="245"/>
        <v>22.956640665779133</v>
      </c>
      <c r="AA512" s="174">
        <f t="shared" si="246"/>
        <v>68789.25</v>
      </c>
      <c r="AB512" s="174">
        <f t="shared" si="247"/>
        <v>4731960915.5625</v>
      </c>
      <c r="AD512" s="701">
        <f t="shared" si="248"/>
        <v>27.115370626382486</v>
      </c>
      <c r="AE512" s="702">
        <f t="shared" si="249"/>
        <v>-20.178071467069476</v>
      </c>
      <c r="AG512" s="701">
        <f t="shared" si="250"/>
        <v>-7.6799840917302209</v>
      </c>
      <c r="AH512" s="702">
        <f t="shared" si="251"/>
        <v>-47.204637426780714</v>
      </c>
      <c r="AJ512" s="174">
        <f t="shared" si="252"/>
        <v>0</v>
      </c>
      <c r="AK512" s="174">
        <f t="shared" si="264"/>
        <v>0</v>
      </c>
      <c r="AM512" s="174" t="str">
        <f t="shared" si="256"/>
        <v>0.670386092387713+0.944115814881076i</v>
      </c>
      <c r="AN512" s="174" t="str">
        <f t="shared" si="257"/>
        <v>1.2349017268515i</v>
      </c>
      <c r="AO512" s="174" t="str">
        <f t="shared" si="258"/>
        <v>0.764527082886336-0.542865944561375i</v>
      </c>
      <c r="AP512" s="174" t="str">
        <f t="shared" si="259"/>
        <v>0.0549356512687145-0.157352635813513i</v>
      </c>
      <c r="AQ512" s="174" t="str">
        <f t="shared" si="260"/>
        <v>0.945064348731286+0.157352635813513i</v>
      </c>
      <c r="AR512" s="174" t="str">
        <f t="shared" si="261"/>
        <v>0.857645766456791-0.142797495353037i</v>
      </c>
    </row>
    <row r="513" spans="7:44" x14ac:dyDescent="0.2">
      <c r="G513" s="703">
        <v>69183</v>
      </c>
      <c r="H513" s="691">
        <f t="shared" si="253"/>
        <v>69.183000000000007</v>
      </c>
      <c r="I513" s="692">
        <f t="shared" si="233"/>
        <v>67.505043708388214</v>
      </c>
      <c r="J513" s="693">
        <f t="shared" si="234"/>
        <v>1.5559820770292658</v>
      </c>
      <c r="K513" s="693">
        <f t="shared" si="235"/>
        <v>1.0006985118370788</v>
      </c>
      <c r="L513" s="694">
        <f t="shared" si="236"/>
        <v>3.7365906393434963E-2</v>
      </c>
      <c r="M513" s="693">
        <f t="shared" si="237"/>
        <v>1.003890552459453</v>
      </c>
      <c r="N513" s="694">
        <f t="shared" si="238"/>
        <v>-8.8067934338569062E-2</v>
      </c>
      <c r="O513" s="692">
        <f t="shared" si="239"/>
        <v>125190.60728364512</v>
      </c>
      <c r="P513" s="695">
        <f t="shared" si="240"/>
        <v>1.5707883389751895</v>
      </c>
      <c r="Q513" s="704">
        <f t="shared" si="262"/>
        <v>52.172337536297569</v>
      </c>
      <c r="R513" s="705">
        <f t="shared" si="263"/>
        <v>1.5516279075156374</v>
      </c>
      <c r="S513" s="692">
        <f t="shared" si="241"/>
        <v>1.0587404005389585</v>
      </c>
      <c r="T513" s="695">
        <f t="shared" si="242"/>
        <v>0.3346704654030907</v>
      </c>
      <c r="U513" s="696">
        <f t="shared" si="254"/>
        <v>0.81365332222177678</v>
      </c>
      <c r="V513" s="697">
        <f t="shared" si="255"/>
        <v>-0.78617567468247351</v>
      </c>
      <c r="W513" s="698">
        <f t="shared" si="243"/>
        <v>-9.5724056481333228</v>
      </c>
      <c r="X513" s="699">
        <f t="shared" si="244"/>
        <v>-157.37378357232686</v>
      </c>
      <c r="Y513" s="702">
        <f t="shared" si="245"/>
        <v>22.626216427673143</v>
      </c>
      <c r="AA513" s="174">
        <f t="shared" si="246"/>
        <v>69183</v>
      </c>
      <c r="AB513" s="174">
        <f t="shared" si="247"/>
        <v>4786287489</v>
      </c>
      <c r="AD513" s="701">
        <f t="shared" si="248"/>
        <v>27.110030939200648</v>
      </c>
      <c r="AE513" s="702">
        <f t="shared" si="249"/>
        <v>-20.273017074723459</v>
      </c>
      <c r="AG513" s="701">
        <f t="shared" si="250"/>
        <v>-7.7120697131686224</v>
      </c>
      <c r="AH513" s="702">
        <f t="shared" si="251"/>
        <v>-47.011670164350157</v>
      </c>
      <c r="AJ513" s="174">
        <f t="shared" si="252"/>
        <v>0</v>
      </c>
      <c r="AK513" s="174">
        <f t="shared" si="264"/>
        <v>0</v>
      </c>
      <c r="AM513" s="174" t="str">
        <f t="shared" si="256"/>
        <v>0.677067832773757+0.946422112680469i</v>
      </c>
      <c r="AN513" s="174" t="str">
        <f t="shared" si="257"/>
        <v>1.241970310314i</v>
      </c>
      <c r="AO513" s="174" t="str">
        <f t="shared" si="258"/>
        <v>0.762032799673924-0.545156214404657i</v>
      </c>
      <c r="AP513" s="174" t="str">
        <f t="shared" si="259"/>
        <v>0.0538220278710405-0.157737018780078i</v>
      </c>
      <c r="AQ513" s="174" t="str">
        <f t="shared" si="260"/>
        <v>0.946177972128959+0.157737018780078i</v>
      </c>
      <c r="AR513" s="174" t="str">
        <f t="shared" si="261"/>
        <v>0.85657794286649-0.142799827348038i</v>
      </c>
    </row>
    <row r="514" spans="7:44" x14ac:dyDescent="0.2">
      <c r="G514" s="703">
        <v>69586</v>
      </c>
      <c r="H514" s="691">
        <f t="shared" si="253"/>
        <v>69.585999999999999</v>
      </c>
      <c r="I514" s="692">
        <f t="shared" si="233"/>
        <v>67.898183352137622</v>
      </c>
      <c r="J514" s="693">
        <f t="shared" si="234"/>
        <v>1.5560678597554747</v>
      </c>
      <c r="K514" s="693">
        <f t="shared" si="235"/>
        <v>1.0007066705024912</v>
      </c>
      <c r="L514" s="694">
        <f t="shared" si="236"/>
        <v>3.7583363357252819E-2</v>
      </c>
      <c r="M514" s="693">
        <f t="shared" si="237"/>
        <v>1.0039359213146719</v>
      </c>
      <c r="N514" s="694">
        <f t="shared" si="238"/>
        <v>-8.8578270038863996E-2</v>
      </c>
      <c r="O514" s="692">
        <f t="shared" si="239"/>
        <v>125919.85890228118</v>
      </c>
      <c r="P514" s="695">
        <f t="shared" si="240"/>
        <v>1.5707883852358071</v>
      </c>
      <c r="Q514" s="704">
        <f t="shared" si="262"/>
        <v>52.476136879872733</v>
      </c>
      <c r="R514" s="705">
        <f t="shared" si="263"/>
        <v>1.5517388924448501</v>
      </c>
      <c r="S514" s="692">
        <f t="shared" si="241"/>
        <v>1.0594074851713657</v>
      </c>
      <c r="T514" s="695">
        <f t="shared" si="242"/>
        <v>0.3364764856481024</v>
      </c>
      <c r="U514" s="696">
        <f t="shared" si="254"/>
        <v>0.81201845329335376</v>
      </c>
      <c r="V514" s="697">
        <f t="shared" si="255"/>
        <v>-0.7899930333288141</v>
      </c>
      <c r="W514" s="698">
        <f t="shared" si="243"/>
        <v>-9.6453404582004545</v>
      </c>
      <c r="X514" s="699">
        <f t="shared" si="244"/>
        <v>-157.71131883597087</v>
      </c>
      <c r="Y514" s="702">
        <f t="shared" si="245"/>
        <v>22.288681164029128</v>
      </c>
      <c r="AA514" s="174">
        <f t="shared" si="246"/>
        <v>69586</v>
      </c>
      <c r="AB514" s="174">
        <f t="shared" si="247"/>
        <v>4842211396</v>
      </c>
      <c r="AD514" s="701">
        <f t="shared" si="248"/>
        <v>27.104541483579077</v>
      </c>
      <c r="AE514" s="702">
        <f t="shared" si="249"/>
        <v>-20.370138095093484</v>
      </c>
      <c r="AG514" s="701">
        <f t="shared" si="250"/>
        <v>-7.7445749374206132</v>
      </c>
      <c r="AH514" s="702">
        <f t="shared" si="251"/>
        <v>-46.814647328478088</v>
      </c>
      <c r="AJ514" s="174">
        <f t="shared" si="252"/>
        <v>0</v>
      </c>
      <c r="AK514" s="174">
        <f t="shared" si="264"/>
        <v>0</v>
      </c>
      <c r="AM514" s="174" t="str">
        <f t="shared" si="256"/>
        <v>0.683923246540311+0.948733622215626i</v>
      </c>
      <c r="AN514" s="174" t="str">
        <f t="shared" si="257"/>
        <v>1.249204949388i</v>
      </c>
      <c r="AO514" s="174" t="str">
        <f t="shared" si="258"/>
        <v>0.759469951412234-0.547486821017939i</v>
      </c>
      <c r="AP514" s="174" t="str">
        <f t="shared" si="259"/>
        <v>0.0526794589099482-0.158122270369271i</v>
      </c>
      <c r="AQ514" s="174" t="str">
        <f t="shared" si="260"/>
        <v>0.947320541090052+0.158122270369271i</v>
      </c>
      <c r="AR514" s="174" t="str">
        <f t="shared" si="261"/>
        <v>0.855487723618362-0.142793970218277i</v>
      </c>
    </row>
    <row r="515" spans="7:44" x14ac:dyDescent="0.2">
      <c r="G515" s="703">
        <v>69989</v>
      </c>
      <c r="H515" s="691">
        <f t="shared" si="253"/>
        <v>69.989000000000004</v>
      </c>
      <c r="I515" s="692">
        <f t="shared" si="233"/>
        <v>68.291323489775095</v>
      </c>
      <c r="J515" s="693">
        <f t="shared" si="234"/>
        <v>1.5561526548126807</v>
      </c>
      <c r="K515" s="693">
        <f t="shared" si="235"/>
        <v>1.0007148764880784</v>
      </c>
      <c r="L515" s="694">
        <f t="shared" si="236"/>
        <v>3.7800816765005449E-2</v>
      </c>
      <c r="M515" s="693">
        <f t="shared" si="237"/>
        <v>1.0039815516138284</v>
      </c>
      <c r="N515" s="694">
        <f t="shared" si="238"/>
        <v>-8.9088559483208152E-2</v>
      </c>
      <c r="O515" s="692">
        <f t="shared" si="239"/>
        <v>126649.11052091753</v>
      </c>
      <c r="P515" s="695">
        <f t="shared" si="240"/>
        <v>1.570788430963683</v>
      </c>
      <c r="Q515" s="704">
        <f t="shared" si="262"/>
        <v>52.779936862389718</v>
      </c>
      <c r="R515" s="705">
        <f t="shared" si="263"/>
        <v>1.5518485997225064</v>
      </c>
      <c r="S515" s="692">
        <f t="shared" si="241"/>
        <v>1.0600780209273455</v>
      </c>
      <c r="T515" s="695">
        <f t="shared" si="242"/>
        <v>0.33828022703054406</v>
      </c>
      <c r="U515" s="696">
        <f t="shared" si="254"/>
        <v>0.81038311120448581</v>
      </c>
      <c r="V515" s="697">
        <f t="shared" si="255"/>
        <v>-0.79380093539474417</v>
      </c>
      <c r="W515" s="698">
        <f t="shared" si="243"/>
        <v>-9.7180462678809842</v>
      </c>
      <c r="X515" s="699">
        <f t="shared" si="244"/>
        <v>-158.04819584598999</v>
      </c>
      <c r="Y515" s="702">
        <f t="shared" si="245"/>
        <v>21.951804154010006</v>
      </c>
      <c r="AA515" s="174">
        <f t="shared" si="246"/>
        <v>69989</v>
      </c>
      <c r="AB515" s="174">
        <f t="shared" si="247"/>
        <v>4898460121</v>
      </c>
      <c r="AD515" s="701">
        <f t="shared" si="248"/>
        <v>27.099027511890622</v>
      </c>
      <c r="AE515" s="702">
        <f t="shared" si="249"/>
        <v>-20.467201719774113</v>
      </c>
      <c r="AG515" s="701">
        <f t="shared" si="250"/>
        <v>-7.7767460850340484</v>
      </c>
      <c r="AH515" s="702">
        <f t="shared" si="251"/>
        <v>-46.618107278964075</v>
      </c>
      <c r="AJ515" s="174">
        <f t="shared" si="252"/>
        <v>0</v>
      </c>
      <c r="AK515" s="174">
        <f t="shared" si="264"/>
        <v>0</v>
      </c>
      <c r="AM515" s="174" t="str">
        <f t="shared" si="256"/>
        <v>0.690795203692785+0.950995475247182i</v>
      </c>
      <c r="AN515" s="174" t="str">
        <f t="shared" si="257"/>
        <v>1.256439588462i</v>
      </c>
      <c r="AO515" s="174" t="str">
        <f t="shared" si="258"/>
        <v>0.75689709555498-0.549803755020473i</v>
      </c>
      <c r="AP515" s="174" t="str">
        <f t="shared" si="259"/>
        <v>0.0515341327178692-0.15849924587453i</v>
      </c>
      <c r="AQ515" s="174" t="str">
        <f t="shared" si="260"/>
        <v>0.948465867282131+0.15849924587453i</v>
      </c>
      <c r="AR515" s="174" t="str">
        <f t="shared" si="261"/>
        <v>0.854400281278578-0.142779835236135i</v>
      </c>
    </row>
    <row r="516" spans="7:44" x14ac:dyDescent="0.2">
      <c r="G516" s="703">
        <v>70392</v>
      </c>
      <c r="H516" s="691">
        <f t="shared" si="253"/>
        <v>70.391999999999996</v>
      </c>
      <c r="I516" s="692">
        <f t="shared" si="233"/>
        <v>68.684464112819811</v>
      </c>
      <c r="J516" s="693">
        <f t="shared" si="234"/>
        <v>1.5562364791595071</v>
      </c>
      <c r="K516" s="693">
        <f t="shared" si="235"/>
        <v>1.0007231297926766</v>
      </c>
      <c r="L516" s="694">
        <f t="shared" si="236"/>
        <v>3.8018266596215593E-2</v>
      </c>
      <c r="M516" s="693">
        <f t="shared" si="237"/>
        <v>1.0040274433212766</v>
      </c>
      <c r="N516" s="694">
        <f t="shared" si="238"/>
        <v>-8.959880241217244E-2</v>
      </c>
      <c r="O516" s="692">
        <f t="shared" si="239"/>
        <v>127378.36213955413</v>
      </c>
      <c r="P516" s="695">
        <f t="shared" si="240"/>
        <v>1.5707884761679674</v>
      </c>
      <c r="Q516" s="704">
        <f t="shared" si="262"/>
        <v>53.08373747287844</v>
      </c>
      <c r="R516" s="705">
        <f t="shared" si="263"/>
        <v>1.5519570512821144</v>
      </c>
      <c r="S516" s="692">
        <f t="shared" si="241"/>
        <v>1.0607520012621963</v>
      </c>
      <c r="T516" s="695">
        <f t="shared" si="242"/>
        <v>0.34008168214632345</v>
      </c>
      <c r="U516" s="696">
        <f t="shared" si="254"/>
        <v>0.80874736635435618</v>
      </c>
      <c r="V516" s="697">
        <f t="shared" si="255"/>
        <v>-0.79759940523881812</v>
      </c>
      <c r="W516" s="698">
        <f t="shared" si="243"/>
        <v>-9.7905257401303007</v>
      </c>
      <c r="X516" s="699">
        <f t="shared" si="244"/>
        <v>-158.38441527559675</v>
      </c>
      <c r="Y516" s="702">
        <f t="shared" si="245"/>
        <v>21.615584724403249</v>
      </c>
      <c r="AA516" s="174">
        <f t="shared" si="246"/>
        <v>70392</v>
      </c>
      <c r="AB516" s="174">
        <f t="shared" si="247"/>
        <v>4955033664</v>
      </c>
      <c r="AD516" s="701">
        <f t="shared" si="248"/>
        <v>27.093489119774596</v>
      </c>
      <c r="AE516" s="702">
        <f t="shared" si="249"/>
        <v>-20.564206268368931</v>
      </c>
      <c r="AG516" s="701">
        <f t="shared" si="250"/>
        <v>-7.8085870808323357</v>
      </c>
      <c r="AH516" s="702">
        <f t="shared" si="251"/>
        <v>-46.422049578132366</v>
      </c>
      <c r="AJ516" s="174">
        <f t="shared" si="252"/>
        <v>0</v>
      </c>
      <c r="AK516" s="174">
        <f t="shared" si="264"/>
        <v>0</v>
      </c>
      <c r="AM516" s="174" t="str">
        <f t="shared" si="256"/>
        <v>0.697683344554492+0.953207553390258i</v>
      </c>
      <c r="AN516" s="174" t="str">
        <f t="shared" si="257"/>
        <v>1.263674227536i</v>
      </c>
      <c r="AO516" s="174" t="str">
        <f t="shared" si="258"/>
        <v>0.754314310302022-0.55210696661503i</v>
      </c>
      <c r="AP516" s="174" t="str">
        <f t="shared" si="259"/>
        <v>0.050386109240918-0.158867925565043i</v>
      </c>
      <c r="AQ516" s="174" t="str">
        <f t="shared" si="260"/>
        <v>0.949613890759082+0.158867925565043i</v>
      </c>
      <c r="AR516" s="174" t="str">
        <f t="shared" si="261"/>
        <v>0.853315671162856-0.14275748475143i</v>
      </c>
    </row>
    <row r="517" spans="7:44" x14ac:dyDescent="0.2">
      <c r="G517" s="703">
        <v>70795</v>
      </c>
      <c r="H517" s="691">
        <f t="shared" si="253"/>
        <v>70.795000000000002</v>
      </c>
      <c r="I517" s="692">
        <f t="shared" si="233"/>
        <v>69.077605212983983</v>
      </c>
      <c r="J517" s="693">
        <f t="shared" si="234"/>
        <v>1.5563193493685659</v>
      </c>
      <c r="K517" s="693">
        <f t="shared" si="235"/>
        <v>1.0007314304151149</v>
      </c>
      <c r="L517" s="694">
        <f t="shared" si="236"/>
        <v>3.8235712830407997E-2</v>
      </c>
      <c r="M517" s="693">
        <f t="shared" si="237"/>
        <v>1.0040735964011736</v>
      </c>
      <c r="N517" s="694">
        <f t="shared" si="238"/>
        <v>-9.0108998566471865E-2</v>
      </c>
      <c r="O517" s="692">
        <f t="shared" si="239"/>
        <v>128107.61375819097</v>
      </c>
      <c r="P517" s="695">
        <f t="shared" si="240"/>
        <v>1.5707885208576016</v>
      </c>
      <c r="Q517" s="704">
        <f t="shared" si="262"/>
        <v>53.387538700618542</v>
      </c>
      <c r="R517" s="705">
        <f t="shared" si="263"/>
        <v>1.5520642685580517</v>
      </c>
      <c r="S517" s="692">
        <f t="shared" si="241"/>
        <v>1.0614294196142617</v>
      </c>
      <c r="T517" s="695">
        <f t="shared" si="242"/>
        <v>0.3418808436694612</v>
      </c>
      <c r="U517" s="696">
        <f t="shared" si="254"/>
        <v>0.80711128821286682</v>
      </c>
      <c r="V517" s="697">
        <f t="shared" si="255"/>
        <v>-0.80138846769533834</v>
      </c>
      <c r="W517" s="698">
        <f t="shared" si="243"/>
        <v>-9.8627814853710092</v>
      </c>
      <c r="X517" s="699">
        <f t="shared" si="244"/>
        <v>-158.71997783621507</v>
      </c>
      <c r="Y517" s="702">
        <f t="shared" si="245"/>
        <v>21.280022163784935</v>
      </c>
      <c r="AA517" s="174">
        <f t="shared" si="246"/>
        <v>70795</v>
      </c>
      <c r="AB517" s="174">
        <f t="shared" si="247"/>
        <v>5011932025</v>
      </c>
      <c r="AD517" s="701">
        <f t="shared" si="248"/>
        <v>27.087926403225886</v>
      </c>
      <c r="AE517" s="702">
        <f t="shared" si="249"/>
        <v>-20.661150093543153</v>
      </c>
      <c r="AG517" s="701">
        <f t="shared" si="250"/>
        <v>-7.8401017874791883</v>
      </c>
      <c r="AH517" s="702">
        <f t="shared" si="251"/>
        <v>-46.226473738940165</v>
      </c>
      <c r="AJ517" s="174">
        <f t="shared" si="252"/>
        <v>0</v>
      </c>
      <c r="AK517" s="174">
        <f t="shared" si="264"/>
        <v>0</v>
      </c>
      <c r="AM517" s="174" t="str">
        <f t="shared" si="256"/>
        <v>0.704587308601694+0.955369740865184i</v>
      </c>
      <c r="AN517" s="174" t="str">
        <f t="shared" si="257"/>
        <v>1.27090886661i</v>
      </c>
      <c r="AO517" s="174" t="str">
        <f t="shared" si="258"/>
        <v>0.751721674122489-0.55439640647177i</v>
      </c>
      <c r="AP517" s="174" t="str">
        <f t="shared" si="259"/>
        <v>0.0492354485663843-0.159228290144197i</v>
      </c>
      <c r="AQ517" s="174" t="str">
        <f t="shared" si="260"/>
        <v>0.950764551433616+0.159228290144197i</v>
      </c>
      <c r="AR517" s="174" t="str">
        <f t="shared" si="261"/>
        <v>0.852233947514198-0.142726981207818i</v>
      </c>
    </row>
    <row r="518" spans="7:44" x14ac:dyDescent="0.2">
      <c r="G518" s="703">
        <v>71207.25</v>
      </c>
      <c r="H518" s="691">
        <f t="shared" si="253"/>
        <v>71.207250000000002</v>
      </c>
      <c r="I518" s="692">
        <f t="shared" si="233"/>
        <v>69.479770508491384</v>
      </c>
      <c r="J518" s="693">
        <f t="shared" si="234"/>
        <v>1.5564031513315109</v>
      </c>
      <c r="K518" s="693">
        <f t="shared" si="235"/>
        <v>1.0007399705187205</v>
      </c>
      <c r="L518" s="694">
        <f t="shared" si="236"/>
        <v>3.8458146333025765E-2</v>
      </c>
      <c r="M518" s="693">
        <f t="shared" si="237"/>
        <v>1.0041210792285424</v>
      </c>
      <c r="N518" s="694">
        <f t="shared" si="238"/>
        <v>-9.0630856510822158E-2</v>
      </c>
      <c r="O518" s="692">
        <f t="shared" si="239"/>
        <v>128853.60378246677</v>
      </c>
      <c r="P518" s="695">
        <f t="shared" si="240"/>
        <v>1.5707885660495962</v>
      </c>
      <c r="Q518" s="704">
        <f t="shared" si="262"/>
        <v>53.698313661204551</v>
      </c>
      <c r="R518" s="705">
        <f t="shared" si="263"/>
        <v>1.5521726915112883</v>
      </c>
      <c r="S518" s="692">
        <f t="shared" si="241"/>
        <v>1.0621259370831504</v>
      </c>
      <c r="T518" s="695">
        <f t="shared" si="242"/>
        <v>0.34371892036377794</v>
      </c>
      <c r="U518" s="696">
        <f t="shared" si="254"/>
        <v>0.8054373840143958</v>
      </c>
      <c r="V518" s="697">
        <f t="shared" si="255"/>
        <v>-0.80525479257407384</v>
      </c>
      <c r="W518" s="698">
        <f t="shared" si="243"/>
        <v>-9.9364668854036395</v>
      </c>
      <c r="X518" s="699">
        <f t="shared" si="244"/>
        <v>-159.06256363866399</v>
      </c>
      <c r="Y518" s="702">
        <f t="shared" si="245"/>
        <v>20.937436361336012</v>
      </c>
      <c r="AA518" s="174">
        <f t="shared" si="246"/>
        <v>71207.25</v>
      </c>
      <c r="AB518" s="174">
        <f t="shared" si="247"/>
        <v>5070472452.5625</v>
      </c>
      <c r="AD518" s="701">
        <f t="shared" si="248"/>
        <v>27.082210938590912</v>
      </c>
      <c r="AE518" s="702">
        <f t="shared" si="249"/>
        <v>-20.760254542349852</v>
      </c>
      <c r="AG518" s="701">
        <f t="shared" si="250"/>
        <v>-7.8720062009976068</v>
      </c>
      <c r="AH518" s="702">
        <f t="shared" si="251"/>
        <v>-46.026906896520138</v>
      </c>
      <c r="AJ518" s="174">
        <f t="shared" si="252"/>
        <v>0</v>
      </c>
      <c r="AK518" s="174">
        <f t="shared" si="264"/>
        <v>0</v>
      </c>
      <c r="AM518" s="174" t="str">
        <f t="shared" si="256"/>
        <v>0.711665733705739+0.957529817227929i</v>
      </c>
      <c r="AN518" s="174" t="str">
        <f t="shared" si="257"/>
        <v>1.2783095612955i</v>
      </c>
      <c r="AO518" s="174" t="str">
        <f t="shared" si="258"/>
        <v>0.749059418954453-0.556724095049796i</v>
      </c>
      <c r="AP518" s="174" t="str">
        <f t="shared" si="259"/>
        <v>0.0480557110490435-0.159588302871322i</v>
      </c>
      <c r="AQ518" s="174" t="str">
        <f t="shared" si="260"/>
        <v>0.951944288950957+0.159588302871322i</v>
      </c>
      <c r="AR518" s="174" t="str">
        <f t="shared" si="261"/>
        <v>0.851130437266505-0.142687406796855i</v>
      </c>
    </row>
    <row r="519" spans="7:44" x14ac:dyDescent="0.2">
      <c r="G519" s="703">
        <v>71619.5</v>
      </c>
      <c r="H519" s="691">
        <f t="shared" si="253"/>
        <v>71.619500000000002</v>
      </c>
      <c r="I519" s="692">
        <f t="shared" si="233"/>
        <v>69.881936286323025</v>
      </c>
      <c r="J519" s="693">
        <f t="shared" si="234"/>
        <v>1.5564859887458677</v>
      </c>
      <c r="K519" s="693">
        <f t="shared" si="235"/>
        <v>1.0007485601347543</v>
      </c>
      <c r="L519" s="694">
        <f t="shared" si="236"/>
        <v>3.8680576028269978E-2</v>
      </c>
      <c r="M519" s="693">
        <f t="shared" si="237"/>
        <v>1.0041688354880376</v>
      </c>
      <c r="N519" s="694">
        <f t="shared" si="238"/>
        <v>-9.115266496023014E-2</v>
      </c>
      <c r="O519" s="692">
        <f t="shared" si="239"/>
        <v>129599.59380674284</v>
      </c>
      <c r="P519" s="695">
        <f t="shared" si="240"/>
        <v>1.57078861072133</v>
      </c>
      <c r="Q519" s="704">
        <f t="shared" si="262"/>
        <v>54.009089245778455</v>
      </c>
      <c r="R519" s="705">
        <f t="shared" si="263"/>
        <v>1.5522798667051776</v>
      </c>
      <c r="S519" s="692">
        <f t="shared" si="241"/>
        <v>1.0628260382616916</v>
      </c>
      <c r="T519" s="695">
        <f t="shared" si="242"/>
        <v>0.34555458170978781</v>
      </c>
      <c r="U519" s="696">
        <f t="shared" si="254"/>
        <v>0.80376327514689205</v>
      </c>
      <c r="V519" s="697">
        <f t="shared" si="255"/>
        <v>-0.80911132731202251</v>
      </c>
      <c r="W519" s="698">
        <f t="shared" si="243"/>
        <v>-10.009923533501066</v>
      </c>
      <c r="X519" s="699">
        <f t="shared" si="244"/>
        <v>-159.4044636973677</v>
      </c>
      <c r="Y519" s="702">
        <f t="shared" si="245"/>
        <v>20.595536302632297</v>
      </c>
      <c r="AA519" s="174">
        <f t="shared" si="246"/>
        <v>71619.5</v>
      </c>
      <c r="AB519" s="174">
        <f t="shared" si="247"/>
        <v>5129352780.25</v>
      </c>
      <c r="AD519" s="701">
        <f t="shared" si="248"/>
        <v>27.07647022437499</v>
      </c>
      <c r="AE519" s="702">
        <f t="shared" si="249"/>
        <v>-20.859292063428157</v>
      </c>
      <c r="AG519" s="701">
        <f t="shared" si="250"/>
        <v>-7.9035771581084244</v>
      </c>
      <c r="AH519" s="702">
        <f t="shared" si="251"/>
        <v>-45.827843105580527</v>
      </c>
      <c r="AJ519" s="174">
        <f t="shared" si="252"/>
        <v>0</v>
      </c>
      <c r="AK519" s="174">
        <f t="shared" si="264"/>
        <v>0</v>
      </c>
      <c r="AM519" s="174" t="str">
        <f t="shared" si="256"/>
        <v>0.718759950886732+0.959637449652089i</v>
      </c>
      <c r="AN519" s="174" t="str">
        <f t="shared" si="257"/>
        <v>1.285710255981i</v>
      </c>
      <c r="AO519" s="174" t="str">
        <f t="shared" si="258"/>
        <v>0.746387022416558-0.559037269511642i</v>
      </c>
      <c r="AP519" s="174" t="str">
        <f t="shared" si="259"/>
        <v>0.046873341518878-0.159939574942015i</v>
      </c>
      <c r="AQ519" s="174" t="str">
        <f t="shared" si="260"/>
        <v>0.953126658481122+0.159939574942015i</v>
      </c>
      <c r="AR519" s="174" t="str">
        <f t="shared" si="261"/>
        <v>0.8500300589412-0.142639433180521i</v>
      </c>
    </row>
    <row r="520" spans="7:44" x14ac:dyDescent="0.2">
      <c r="G520" s="703">
        <v>72031.75</v>
      </c>
      <c r="H520" s="691">
        <f t="shared" si="253"/>
        <v>72.031750000000002</v>
      </c>
      <c r="I520" s="692">
        <f t="shared" si="233"/>
        <v>70.284102538199335</v>
      </c>
      <c r="J520" s="693">
        <f t="shared" si="234"/>
        <v>1.5565678781679566</v>
      </c>
      <c r="K520" s="693">
        <f t="shared" si="235"/>
        <v>1.0007571992619408</v>
      </c>
      <c r="L520" s="694">
        <f t="shared" si="236"/>
        <v>3.8903001894229551E-2</v>
      </c>
      <c r="M520" s="693">
        <f t="shared" si="237"/>
        <v>1.0042168651406493</v>
      </c>
      <c r="N520" s="694">
        <f t="shared" si="238"/>
        <v>-9.16744236376172E-2</v>
      </c>
      <c r="O520" s="692">
        <f t="shared" si="239"/>
        <v>130345.58383101916</v>
      </c>
      <c r="P520" s="695">
        <f t="shared" si="240"/>
        <v>1.570788654881736</v>
      </c>
      <c r="Q520" s="704">
        <f t="shared" si="262"/>
        <v>54.319865443630341</v>
      </c>
      <c r="R520" s="705">
        <f t="shared" si="263"/>
        <v>1.5523858155533734</v>
      </c>
      <c r="S520" s="692">
        <f t="shared" si="241"/>
        <v>1.0635297160726238</v>
      </c>
      <c r="T520" s="695">
        <f t="shared" si="242"/>
        <v>0.34738782011859248</v>
      </c>
      <c r="U520" s="696">
        <f t="shared" si="254"/>
        <v>0.80208903297980594</v>
      </c>
      <c r="V520" s="697">
        <f t="shared" si="255"/>
        <v>-0.81295809997796542</v>
      </c>
      <c r="W520" s="698">
        <f t="shared" si="243"/>
        <v>-10.08315406182307</v>
      </c>
      <c r="X520" s="699">
        <f t="shared" si="244"/>
        <v>-159.74567889332425</v>
      </c>
      <c r="Y520" s="702">
        <f t="shared" si="245"/>
        <v>20.254321106675746</v>
      </c>
      <c r="AA520" s="174">
        <f t="shared" si="246"/>
        <v>72031.75</v>
      </c>
      <c r="AB520" s="174">
        <f t="shared" si="247"/>
        <v>5188573008.0625</v>
      </c>
      <c r="AD520" s="701">
        <f t="shared" si="248"/>
        <v>27.070704364412158</v>
      </c>
      <c r="AE520" s="702">
        <f t="shared" si="249"/>
        <v>-20.958260995566025</v>
      </c>
      <c r="AG520" s="701">
        <f t="shared" si="250"/>
        <v>-7.9348185999947365</v>
      </c>
      <c r="AH520" s="702">
        <f t="shared" si="251"/>
        <v>-45.629281691885858</v>
      </c>
      <c r="AJ520" s="174">
        <f t="shared" si="252"/>
        <v>0</v>
      </c>
      <c r="AK520" s="174">
        <f t="shared" si="264"/>
        <v>0</v>
      </c>
      <c r="AM520" s="174" t="str">
        <f t="shared" si="256"/>
        <v>0.72586957159417+0.961692522702572i</v>
      </c>
      <c r="AN520" s="174" t="str">
        <f t="shared" si="257"/>
        <v>1.2931109506665i</v>
      </c>
      <c r="AO520" s="174" t="str">
        <f t="shared" si="258"/>
        <v>0.743704569361889-0.561335878580287i</v>
      </c>
      <c r="AP520" s="174" t="str">
        <f t="shared" si="259"/>
        <v>0.045688404734305-0.160282087117095i</v>
      </c>
      <c r="AQ520" s="174" t="str">
        <f t="shared" si="260"/>
        <v>0.954311595265695+0.160282087117095i</v>
      </c>
      <c r="AR520" s="174" t="str">
        <f t="shared" si="261"/>
        <v>0.848932867179459-0.142583127407081i</v>
      </c>
    </row>
    <row r="521" spans="7:44" x14ac:dyDescent="0.2">
      <c r="G521" s="703">
        <v>72444</v>
      </c>
      <c r="H521" s="691">
        <f t="shared" si="253"/>
        <v>72.444000000000003</v>
      </c>
      <c r="I521" s="692">
        <f t="shared" si="233"/>
        <v>70.686269256029163</v>
      </c>
      <c r="J521" s="693">
        <f t="shared" si="234"/>
        <v>1.5566488357773627</v>
      </c>
      <c r="K521" s="693">
        <f t="shared" si="235"/>
        <v>1.000765887898998</v>
      </c>
      <c r="L521" s="694">
        <f t="shared" si="236"/>
        <v>3.9125423908995684E-2</v>
      </c>
      <c r="M521" s="693">
        <f t="shared" si="237"/>
        <v>1.0042651681471522</v>
      </c>
      <c r="N521" s="694">
        <f t="shared" si="238"/>
        <v>-9.2196132266066044E-2</v>
      </c>
      <c r="O521" s="692">
        <f t="shared" si="239"/>
        <v>131091.57385529572</v>
      </c>
      <c r="P521" s="695">
        <f t="shared" si="240"/>
        <v>1.5707886985395436</v>
      </c>
      <c r="Q521" s="704">
        <f t="shared" si="262"/>
        <v>54.630642244293981</v>
      </c>
      <c r="R521" s="705">
        <f t="shared" si="263"/>
        <v>1.5524905589823792</v>
      </c>
      <c r="S521" s="692">
        <f t="shared" si="241"/>
        <v>1.0642369634212954</v>
      </c>
      <c r="T521" s="695">
        <f t="shared" si="242"/>
        <v>0.34921862808645648</v>
      </c>
      <c r="U521" s="696">
        <f t="shared" si="254"/>
        <v>0.80041472788172741</v>
      </c>
      <c r="V521" s="697">
        <f t="shared" si="255"/>
        <v>-0.81679513912109958</v>
      </c>
      <c r="W521" s="698">
        <f t="shared" si="243"/>
        <v>-10.156161050587233</v>
      </c>
      <c r="X521" s="699">
        <f t="shared" si="244"/>
        <v>-160.08621014626056</v>
      </c>
      <c r="Y521" s="702">
        <f t="shared" si="245"/>
        <v>19.913789853739445</v>
      </c>
      <c r="AA521" s="174">
        <f t="shared" si="246"/>
        <v>72444</v>
      </c>
      <c r="AB521" s="174">
        <f t="shared" si="247"/>
        <v>5248133136</v>
      </c>
      <c r="AD521" s="701">
        <f t="shared" si="248"/>
        <v>27.064913462873633</v>
      </c>
      <c r="AE521" s="702">
        <f t="shared" si="249"/>
        <v>-21.057159710330918</v>
      </c>
      <c r="AG521" s="701">
        <f t="shared" si="250"/>
        <v>-7.9657344052508918</v>
      </c>
      <c r="AH521" s="702">
        <f t="shared" si="251"/>
        <v>-45.43122193209868</v>
      </c>
      <c r="AJ521" s="174">
        <f t="shared" si="252"/>
        <v>0</v>
      </c>
      <c r="AK521" s="174">
        <f t="shared" si="264"/>
        <v>0</v>
      </c>
      <c r="AM521" s="174" t="str">
        <f t="shared" si="256"/>
        <v>0.732994206433903+0.963694923822959i</v>
      </c>
      <c r="AN521" s="174" t="str">
        <f t="shared" si="257"/>
        <v>1.300511645352i</v>
      </c>
      <c r="AO521" s="174" t="str">
        <f t="shared" si="258"/>
        <v>0.741012144925563-0.563619871497197i</v>
      </c>
      <c r="AP521" s="174" t="str">
        <f t="shared" si="259"/>
        <v>0.0445009655943495-0.16061582063716i</v>
      </c>
      <c r="AQ521" s="174" t="str">
        <f t="shared" si="260"/>
        <v>0.955499034405651+0.16061582063716i</v>
      </c>
      <c r="AR521" s="174" t="str">
        <f t="shared" si="261"/>
        <v>0.84783891548959-0.142518556561584i</v>
      </c>
    </row>
    <row r="522" spans="7:44" x14ac:dyDescent="0.2">
      <c r="G522" s="703">
        <v>72865.75</v>
      </c>
      <c r="H522" s="691">
        <f t="shared" si="253"/>
        <v>72.865750000000006</v>
      </c>
      <c r="I522" s="692">
        <f t="shared" si="233"/>
        <v>71.097704085927958</v>
      </c>
      <c r="J522" s="693">
        <f t="shared" si="234"/>
        <v>1.5567307112140791</v>
      </c>
      <c r="K522" s="693">
        <f t="shared" si="235"/>
        <v>1.0007748279923974</v>
      </c>
      <c r="L522" s="694">
        <f t="shared" si="236"/>
        <v>3.9352967468376493E-2</v>
      </c>
      <c r="M522" s="693">
        <f t="shared" si="237"/>
        <v>1.0043148670953455</v>
      </c>
      <c r="N522" s="694">
        <f t="shared" si="238"/>
        <v>-9.2729811207787949E-2</v>
      </c>
      <c r="O522" s="692">
        <f t="shared" si="239"/>
        <v>131854.75467455285</v>
      </c>
      <c r="P522" s="695">
        <f t="shared" si="240"/>
        <v>1.5707887426922036</v>
      </c>
      <c r="Q522" s="704">
        <f t="shared" si="262"/>
        <v>54.948581282373219</v>
      </c>
      <c r="R522" s="705">
        <f t="shared" si="263"/>
        <v>1.5525964900662566</v>
      </c>
      <c r="S522" s="692">
        <f t="shared" si="241"/>
        <v>1.0649641952238076</v>
      </c>
      <c r="T522" s="695">
        <f t="shared" si="242"/>
        <v>0.35108910285266387</v>
      </c>
      <c r="U522" s="696">
        <f t="shared" si="254"/>
        <v>0.79870184685743206</v>
      </c>
      <c r="V522" s="697">
        <f t="shared" si="255"/>
        <v>-0.82071055773110946</v>
      </c>
      <c r="W522" s="698">
        <f t="shared" si="243"/>
        <v>-10.230621743693471</v>
      </c>
      <c r="X522" s="699">
        <f t="shared" si="244"/>
        <v>-160.43388192590083</v>
      </c>
      <c r="Y522" s="702">
        <f t="shared" si="245"/>
        <v>19.566118074099165</v>
      </c>
      <c r="AA522" s="174">
        <f t="shared" si="246"/>
        <v>72865.75</v>
      </c>
      <c r="AB522" s="174">
        <f t="shared" si="247"/>
        <v>5309417523.0625</v>
      </c>
      <c r="AD522" s="701">
        <f t="shared" si="248"/>
        <v>27.058963309387206</v>
      </c>
      <c r="AE522" s="702">
        <f t="shared" si="249"/>
        <v>-21.158263145971507</v>
      </c>
      <c r="AG522" s="701">
        <f t="shared" si="250"/>
        <v>-7.9970296437095003</v>
      </c>
      <c r="AH522" s="702">
        <f t="shared" si="251"/>
        <v>-45.229116352824605</v>
      </c>
      <c r="AJ522" s="174">
        <f t="shared" si="252"/>
        <v>0</v>
      </c>
      <c r="AK522" s="174">
        <f t="shared" si="264"/>
        <v>0</v>
      </c>
      <c r="AM522" s="174" t="str">
        <f t="shared" si="256"/>
        <v>0.740298153465487+0.965688847873146i</v>
      </c>
      <c r="AN522" s="174" t="str">
        <f t="shared" si="257"/>
        <v>1.3080828836385i</v>
      </c>
      <c r="AO522" s="174" t="str">
        <f t="shared" si="258"/>
        <v>0.738247445901159-0.56594131971692i</v>
      </c>
      <c r="AP522" s="174" t="str">
        <f t="shared" si="259"/>
        <v>0.0432836410890855-0.160948141312191i</v>
      </c>
      <c r="AQ522" s="174" t="str">
        <f t="shared" si="260"/>
        <v>0.956716358910914+0.160948141312191i</v>
      </c>
      <c r="AR522" s="174" t="str">
        <f t="shared" si="261"/>
        <v>0.846723162033049-0.142444014744698i</v>
      </c>
    </row>
    <row r="523" spans="7:44" x14ac:dyDescent="0.2">
      <c r="G523" s="703">
        <v>73287.5</v>
      </c>
      <c r="H523" s="691">
        <f t="shared" si="253"/>
        <v>73.287499999999994</v>
      </c>
      <c r="I523" s="692">
        <f t="shared" si="233"/>
        <v>71.509139386951944</v>
      </c>
      <c r="J523" s="693">
        <f t="shared" si="234"/>
        <v>1.5568116444935824</v>
      </c>
      <c r="K523" s="693">
        <f t="shared" si="235"/>
        <v>1.0007838199010581</v>
      </c>
      <c r="L523" s="694">
        <f t="shared" si="236"/>
        <v>3.9580506950641393E-2</v>
      </c>
      <c r="M523" s="693">
        <f t="shared" si="237"/>
        <v>1.0043648520573265</v>
      </c>
      <c r="N523" s="694">
        <f t="shared" si="238"/>
        <v>-9.3263437181498668E-2</v>
      </c>
      <c r="O523" s="692">
        <f t="shared" si="239"/>
        <v>132617.93549381022</v>
      </c>
      <c r="P523" s="695">
        <f t="shared" si="240"/>
        <v>1.5707887863366903</v>
      </c>
      <c r="Q523" s="704">
        <f t="shared" si="262"/>
        <v>55.266520929957778</v>
      </c>
      <c r="R523" s="705">
        <f t="shared" si="263"/>
        <v>1.5527012023413957</v>
      </c>
      <c r="S523" s="692">
        <f t="shared" si="241"/>
        <v>1.0656951478980272</v>
      </c>
      <c r="T523" s="695">
        <f t="shared" si="242"/>
        <v>0.35295701825614162</v>
      </c>
      <c r="U523" s="696">
        <f t="shared" si="254"/>
        <v>0.79698904577693119</v>
      </c>
      <c r="V523" s="697">
        <f t="shared" si="255"/>
        <v>-0.82461585099092927</v>
      </c>
      <c r="W523" s="698">
        <f t="shared" si="243"/>
        <v>-10.304853778316685</v>
      </c>
      <c r="X523" s="699">
        <f t="shared" si="244"/>
        <v>-160.78083994563232</v>
      </c>
      <c r="Y523" s="702">
        <f t="shared" si="245"/>
        <v>19.219160054367677</v>
      </c>
      <c r="AA523" s="174">
        <f t="shared" si="246"/>
        <v>73287.5</v>
      </c>
      <c r="AB523" s="174">
        <f t="shared" si="247"/>
        <v>5371057656.25</v>
      </c>
      <c r="AD523" s="701">
        <f t="shared" si="248"/>
        <v>27.052987168492532</v>
      </c>
      <c r="AE523" s="702">
        <f t="shared" si="249"/>
        <v>-21.259289744409898</v>
      </c>
      <c r="AG523" s="701">
        <f t="shared" si="250"/>
        <v>-8.0279920818206598</v>
      </c>
      <c r="AH523" s="702">
        <f t="shared" si="251"/>
        <v>-45.027534130509203</v>
      </c>
      <c r="AJ523" s="174">
        <f t="shared" si="252"/>
        <v>0</v>
      </c>
      <c r="AK523" s="174">
        <f t="shared" si="264"/>
        <v>0</v>
      </c>
      <c r="AM523" s="174" t="str">
        <f t="shared" si="256"/>
        <v>0.7476169874835+0.967627415379027i</v>
      </c>
      <c r="AN523" s="174" t="str">
        <f t="shared" si="257"/>
        <v>1.315654121925i</v>
      </c>
      <c r="AO523" s="174" t="str">
        <f t="shared" si="258"/>
        <v>0.735472491784727-0.568247364580612i</v>
      </c>
      <c r="AP523" s="174" t="str">
        <f t="shared" si="259"/>
        <v>0.0420638354194167-0.161271235896504i</v>
      </c>
      <c r="AQ523" s="174" t="str">
        <f t="shared" si="260"/>
        <v>0.957936164580583+0.161271235896504i</v>
      </c>
      <c r="AR523" s="174" t="str">
        <f t="shared" si="261"/>
        <v>0.84561090941227-0.142360964635041i</v>
      </c>
    </row>
    <row r="524" spans="7:44" x14ac:dyDescent="0.2">
      <c r="G524" s="703">
        <v>73709.25</v>
      </c>
      <c r="H524" s="691">
        <f t="shared" si="253"/>
        <v>73.709249999999997</v>
      </c>
      <c r="I524" s="692">
        <f t="shared" si="233"/>
        <v>71.920575151015669</v>
      </c>
      <c r="J524" s="693">
        <f t="shared" si="234"/>
        <v>1.5568916517841891</v>
      </c>
      <c r="K524" s="693">
        <f t="shared" si="235"/>
        <v>1.0007928636235839</v>
      </c>
      <c r="L524" s="694">
        <f t="shared" si="236"/>
        <v>3.9808042332339227E-2</v>
      </c>
      <c r="M524" s="693">
        <f t="shared" si="237"/>
        <v>1.0044151229903953</v>
      </c>
      <c r="N524" s="694">
        <f t="shared" si="238"/>
        <v>-9.379700989122175E-2</v>
      </c>
      <c r="O524" s="692">
        <f t="shared" si="239"/>
        <v>133381.11631306788</v>
      </c>
      <c r="P524" s="695">
        <f t="shared" si="240"/>
        <v>1.5707888294817263</v>
      </c>
      <c r="Q524" s="704">
        <f t="shared" si="262"/>
        <v>55.584461176588647</v>
      </c>
      <c r="R524" s="705">
        <f t="shared" si="263"/>
        <v>1.5528047167200498</v>
      </c>
      <c r="S524" s="692">
        <f t="shared" si="241"/>
        <v>1.0664298137928709</v>
      </c>
      <c r="T524" s="695">
        <f t="shared" si="242"/>
        <v>0.35482236653833044</v>
      </c>
      <c r="U524" s="696">
        <f t="shared" si="254"/>
        <v>0.79527639676608097</v>
      </c>
      <c r="V524" s="697">
        <f t="shared" si="255"/>
        <v>-0.82851105096496402</v>
      </c>
      <c r="W524" s="698">
        <f t="shared" si="243"/>
        <v>-10.378859756853904</v>
      </c>
      <c r="X524" s="699">
        <f t="shared" si="244"/>
        <v>-161.12708531115501</v>
      </c>
      <c r="Y524" s="702">
        <f t="shared" si="245"/>
        <v>18.872914688844986</v>
      </c>
      <c r="AA524" s="174">
        <f t="shared" si="246"/>
        <v>73709.25</v>
      </c>
      <c r="AB524" s="174">
        <f t="shared" si="247"/>
        <v>5433053535.5625</v>
      </c>
      <c r="AD524" s="701">
        <f t="shared" si="248"/>
        <v>27.046985152745087</v>
      </c>
      <c r="AE524" s="702">
        <f t="shared" si="249"/>
        <v>-21.360237863429305</v>
      </c>
      <c r="AG524" s="701">
        <f t="shared" si="250"/>
        <v>-8.0586256774937652</v>
      </c>
      <c r="AH524" s="702">
        <f t="shared" si="251"/>
        <v>-44.826474338759148</v>
      </c>
      <c r="AJ524" s="174">
        <f t="shared" si="252"/>
        <v>0</v>
      </c>
      <c r="AK524" s="174">
        <f t="shared" si="264"/>
        <v>0</v>
      </c>
      <c r="AM524" s="174" t="str">
        <f t="shared" si="256"/>
        <v>0.754950288947674+0.96951051521537i</v>
      </c>
      <c r="AN524" s="174" t="str">
        <f t="shared" si="257"/>
        <v>1.3232253602115i</v>
      </c>
      <c r="AO524" s="174" t="str">
        <f t="shared" si="258"/>
        <v>0.732687374628617-0.570537953434482i</v>
      </c>
      <c r="AP524" s="174" t="str">
        <f t="shared" si="259"/>
        <v>0.040841618508721-0.161585085869228i</v>
      </c>
      <c r="AQ524" s="174" t="str">
        <f t="shared" si="260"/>
        <v>0.959158381491279+0.161585085869228i</v>
      </c>
      <c r="AR524" s="174" t="str">
        <f t="shared" si="261"/>
        <v>0.844502211311916-0.1422694780808i</v>
      </c>
    </row>
    <row r="525" spans="7:44" x14ac:dyDescent="0.2">
      <c r="G525" s="703">
        <v>74131</v>
      </c>
      <c r="H525" s="691">
        <f t="shared" si="253"/>
        <v>74.131</v>
      </c>
      <c r="I525" s="692">
        <f t="shared" ref="I525:I588" si="265">SQRT(1+(G525/pole1)^2)</f>
        <v>72.332011370217586</v>
      </c>
      <c r="J525" s="693">
        <f t="shared" ref="J525:J588" si="266">ATAN(G525/pole1)</f>
        <v>1.5569707488863909</v>
      </c>
      <c r="K525" s="693">
        <f t="shared" ref="K525:K588" si="267">SQRT(1+(G525/Zero1)^2)</f>
        <v>1.00080195915857</v>
      </c>
      <c r="L525" s="694">
        <f t="shared" ref="L525:L588" si="268">ATAN(G525/Zero1)</f>
        <v>4.0035573590021391E-2</v>
      </c>
      <c r="M525" s="693">
        <f t="shared" ref="M525:M588" si="269">SQRT(1+(G525/z_RHP)^2)</f>
        <v>1.0044656798516149</v>
      </c>
      <c r="N525" s="694">
        <f t="shared" ref="N525:N588" si="270">-ATAN(G525/z_RHP)</f>
        <v>-9.433052904116114E-2</v>
      </c>
      <c r="O525" s="692">
        <f t="shared" ref="O525:O588" si="271">SQRT(1+(G525/Pole2)^2)</f>
        <v>134144.29713232574</v>
      </c>
      <c r="P525" s="695">
        <f t="shared" ref="P525:P588" si="272">ATAN(G525/Pole2)</f>
        <v>1.5707888721358363</v>
      </c>
      <c r="Q525" s="704">
        <f t="shared" si="262"/>
        <v>55.902402012044767</v>
      </c>
      <c r="R525" s="705">
        <f t="shared" si="263"/>
        <v>1.5529070536388276</v>
      </c>
      <c r="S525" s="692">
        <f t="shared" ref="S525:S588" si="273">SQRT(1+(G525/pole4)^2)</f>
        <v>1.0671681852395103</v>
      </c>
      <c r="T525" s="695">
        <f t="shared" ref="T525:T588" si="274">ATAN(G525/pole4)</f>
        <v>0.35668514003343993</v>
      </c>
      <c r="U525" s="696">
        <f t="shared" si="254"/>
        <v>0.79356397087631358</v>
      </c>
      <c r="V525" s="697">
        <f t="shared" si="255"/>
        <v>-0.83239619020013489</v>
      </c>
      <c r="W525" s="698">
        <f t="shared" ref="W525:W588" si="275">20*LOG10(((K525*Q525*M525*U525)/(I525*O525*S525))*Adc)</f>
        <v>-10.452642230362612</v>
      </c>
      <c r="X525" s="699">
        <f t="shared" ref="X525:X588" si="276">((L525+R525+N525+V525)-(J525+P525+T525))*radconv</f>
        <v>-161.4726191673069</v>
      </c>
      <c r="Y525" s="702">
        <f t="shared" ref="Y525:Y588" si="277">IF(X525&gt;0,X525,X525+180)</f>
        <v>18.527380832693098</v>
      </c>
      <c r="AA525" s="174">
        <f t="shared" ref="AA525:AA588" si="278">IF(W525&lt;0,G525,1000000000)</f>
        <v>74131</v>
      </c>
      <c r="AB525" s="174">
        <f t="shared" ref="AB525:AB588" si="279">G525^2</f>
        <v>5495405161</v>
      </c>
      <c r="AD525" s="701">
        <f t="shared" ref="AD525:AD588" si="280">20*LOG10((Q525/(O525*S525))*Aea)</f>
        <v>27.040957375016589</v>
      </c>
      <c r="AE525" s="702">
        <f t="shared" ref="AE525:AE588" si="281">(R525-(P525+T525))*radconv</f>
        <v>-21.461105893369314</v>
      </c>
      <c r="AG525" s="701">
        <f t="shared" ref="AG525:AG588" si="282">20*LOG10((K525*M525/(I525*U525))*Acs*Am)</f>
        <v>-8.0889343255675268</v>
      </c>
      <c r="AH525" s="702">
        <f t="shared" ref="AH525:AH588" si="283">(L525+N525-(J525+V525))*radconv</f>
        <v>-44.62593600247034</v>
      </c>
      <c r="AJ525" s="174">
        <f t="shared" ref="AJ525:AJ588" si="284">SUM((W526&lt;0)*(W525&gt;0))*G525</f>
        <v>0</v>
      </c>
      <c r="AK525" s="174">
        <f t="shared" si="264"/>
        <v>0</v>
      </c>
      <c r="AM525" s="174" t="str">
        <f t="shared" si="256"/>
        <v>0.762297637488416+0.971338039436535i</v>
      </c>
      <c r="AN525" s="174" t="str">
        <f t="shared" si="257"/>
        <v>1.330796598498i</v>
      </c>
      <c r="AO525" s="174" t="str">
        <f t="shared" si="258"/>
        <v>0.729892186779582-0.572813034199803i</v>
      </c>
      <c r="AP525" s="174" t="str">
        <f t="shared" si="259"/>
        <v>0.0396170604185973-0.161889673239422i</v>
      </c>
      <c r="AQ525" s="174" t="str">
        <f t="shared" si="260"/>
        <v>0.960382939581403+0.161889673239422i</v>
      </c>
      <c r="AR525" s="174" t="str">
        <f t="shared" si="261"/>
        <v>0.843397120224926-0.142169626902988i</v>
      </c>
    </row>
    <row r="526" spans="7:44" x14ac:dyDescent="0.2">
      <c r="G526" s="703">
        <v>74562.75</v>
      </c>
      <c r="H526" s="691">
        <f t="shared" ref="H526:H589" si="285">G526/1000</f>
        <v>74.562749999999994</v>
      </c>
      <c r="I526" s="692">
        <f t="shared" si="265"/>
        <v>72.753203505548839</v>
      </c>
      <c r="J526" s="693">
        <f t="shared" si="266"/>
        <v>1.5570507947433798</v>
      </c>
      <c r="K526" s="693">
        <f t="shared" si="267"/>
        <v>1.0008113240236389</v>
      </c>
      <c r="L526" s="694">
        <f t="shared" si="268"/>
        <v>4.0268495483388872E-2</v>
      </c>
      <c r="M526" s="693">
        <f t="shared" si="269"/>
        <v>1.0045177315856737</v>
      </c>
      <c r="N526" s="694">
        <f t="shared" si="270"/>
        <v>-9.4876642530754784E-2</v>
      </c>
      <c r="O526" s="692">
        <f t="shared" si="271"/>
        <v>134925.57352524734</v>
      </c>
      <c r="P526" s="695">
        <f t="shared" si="272"/>
        <v>1.5707889153014793</v>
      </c>
      <c r="Q526" s="704">
        <f t="shared" si="262"/>
        <v>56.22788205602636</v>
      </c>
      <c r="R526" s="705">
        <f t="shared" si="263"/>
        <v>1.5530106182232273</v>
      </c>
      <c r="S526" s="692">
        <f t="shared" si="273"/>
        <v>1.0679278943721167</v>
      </c>
      <c r="T526" s="695">
        <f t="shared" si="274"/>
        <v>0.3585894062542333</v>
      </c>
      <c r="U526" s="696">
        <f t="shared" ref="U526:U589" si="286">IMABS(IMPRODUCT(AO526, AR526))</f>
        <v>0.7918112462975776</v>
      </c>
      <c r="V526" s="697">
        <f t="shared" ref="V526:V589" si="287">IMARGUMENT(IMPRODUCT(AO526, AR526))</f>
        <v>-0.83636306200662014</v>
      </c>
      <c r="W526" s="698">
        <f t="shared" si="275"/>
        <v>-10.527945233906665</v>
      </c>
      <c r="X526" s="699">
        <f t="shared" si="276"/>
        <v>-161.82561010364381</v>
      </c>
      <c r="Y526" s="702">
        <f t="shared" si="277"/>
        <v>18.174389896356189</v>
      </c>
      <c r="AA526" s="174">
        <f t="shared" si="278"/>
        <v>74562.75</v>
      </c>
      <c r="AB526" s="174">
        <f t="shared" si="279"/>
        <v>5559603687.5625</v>
      </c>
      <c r="AD526" s="701">
        <f t="shared" si="280"/>
        <v>27.03476010696809</v>
      </c>
      <c r="AE526" s="702">
        <f t="shared" si="281"/>
        <v>-21.564280970624036</v>
      </c>
      <c r="AG526" s="701">
        <f t="shared" si="282"/>
        <v>-8.1196290191987792</v>
      </c>
      <c r="AH526" s="702">
        <f t="shared" si="283"/>
        <v>-44.421181836271039</v>
      </c>
      <c r="AJ526" s="174">
        <f t="shared" si="284"/>
        <v>0</v>
      </c>
      <c r="AK526" s="174">
        <f t="shared" si="264"/>
        <v>0</v>
      </c>
      <c r="AM526" s="174" t="str">
        <f t="shared" ref="AM526:AM589" si="288">IMSUB(1,IMEXP(COMPLEX(0,-2*Pi*G526*Tsw)))</f>
        <v>0.769833307919149+0.973151218391345i</v>
      </c>
      <c r="AN526" s="174" t="str">
        <f t="shared" ref="AN526:AN589" si="289">COMPLEX(0, 2*Pi*G526*Tsw)</f>
        <v>1.3385473563645i</v>
      </c>
      <c r="AO526" s="174" t="str">
        <f t="shared" ref="AO526:AO589" si="290">IMDIV(AM526, AN526)</f>
        <v>0.727020388008107-0.575125941012666i</v>
      </c>
      <c r="AP526" s="174" t="str">
        <f t="shared" ref="AP526:AP589" si="291">IMDIV(IMEXP(COMPLEX(0,-2*Pi*G526*Tsw)),6)</f>
        <v>0.0383611153468085-0.162191869731891i</v>
      </c>
      <c r="AQ526" s="174" t="str">
        <f t="shared" ref="AQ526:AQ589" si="292">IMSUB(1, AP526)</f>
        <v>0.961638884653191+0.162191869731891i</v>
      </c>
      <c r="AR526" s="174" t="str">
        <f t="shared" ref="AR526:AR589" si="293">IMDIV(0.833, AQ526)</f>
        <v>0.842269616503507-0.142058818647224i</v>
      </c>
    </row>
    <row r="527" spans="7:44" x14ac:dyDescent="0.2">
      <c r="G527" s="703">
        <v>74994.5</v>
      </c>
      <c r="H527" s="691">
        <f t="shared" si="285"/>
        <v>74.994500000000002</v>
      </c>
      <c r="I527" s="692">
        <f t="shared" si="265"/>
        <v>73.174396101668179</v>
      </c>
      <c r="J527" s="693">
        <f t="shared" si="266"/>
        <v>1.5571299191112762</v>
      </c>
      <c r="K527" s="693">
        <f t="shared" si="267"/>
        <v>1.0008207431843148</v>
      </c>
      <c r="L527" s="694">
        <f t="shared" si="268"/>
        <v>4.0501413005133408E-2</v>
      </c>
      <c r="M527" s="693">
        <f t="shared" si="269"/>
        <v>1.0045700828759456</v>
      </c>
      <c r="N527" s="694">
        <f t="shared" si="270"/>
        <v>-9.5422699263824823E-2</v>
      </c>
      <c r="O527" s="692">
        <f t="shared" si="271"/>
        <v>135706.84991816923</v>
      </c>
      <c r="P527" s="695">
        <f t="shared" si="272"/>
        <v>1.5707889579701055</v>
      </c>
      <c r="Q527" s="704">
        <f t="shared" si="262"/>
        <v>56.553362696145264</v>
      </c>
      <c r="R527" s="705">
        <f t="shared" si="263"/>
        <v>1.5531129907216086</v>
      </c>
      <c r="S527" s="692">
        <f t="shared" si="273"/>
        <v>1.0686914705427122</v>
      </c>
      <c r="T527" s="695">
        <f t="shared" si="274"/>
        <v>0.36049095817971682</v>
      </c>
      <c r="U527" s="696">
        <f t="shared" si="286"/>
        <v>0.7900589028096564</v>
      </c>
      <c r="V527" s="697">
        <f t="shared" si="287"/>
        <v>-0.84031946085204801</v>
      </c>
      <c r="W527" s="698">
        <f t="shared" si="275"/>
        <v>-10.603019258913776</v>
      </c>
      <c r="X527" s="699">
        <f t="shared" si="276"/>
        <v>-162.17785793999784</v>
      </c>
      <c r="Y527" s="702">
        <f t="shared" si="277"/>
        <v>17.822142060002164</v>
      </c>
      <c r="AA527" s="174">
        <f t="shared" si="278"/>
        <v>74994.5</v>
      </c>
      <c r="AB527" s="174">
        <f t="shared" si="279"/>
        <v>5624175030.25</v>
      </c>
      <c r="AD527" s="701">
        <f t="shared" si="280"/>
        <v>27.02853608112536</v>
      </c>
      <c r="AE527" s="702">
        <f t="shared" si="281"/>
        <v>-21.667368803233764</v>
      </c>
      <c r="AG527" s="701">
        <f t="shared" si="282"/>
        <v>-8.1499912363447375</v>
      </c>
      <c r="AH527" s="702">
        <f t="shared" si="283"/>
        <v>-44.21697192767035</v>
      </c>
      <c r="AJ527" s="174">
        <f t="shared" si="284"/>
        <v>0</v>
      </c>
      <c r="AK527" s="174">
        <f t="shared" si="264"/>
        <v>0</v>
      </c>
      <c r="AM527" s="174" t="str">
        <f t="shared" si="288"/>
        <v>0.777382805371488+0.974905936311669i</v>
      </c>
      <c r="AN527" s="174" t="str">
        <f t="shared" si="289"/>
        <v>1.346298114231i</v>
      </c>
      <c r="AO527" s="174" t="str">
        <f t="shared" si="290"/>
        <v>0.724138232094703-0.577422487006547i</v>
      </c>
      <c r="AP527" s="174" t="str">
        <f t="shared" si="291"/>
        <v>0.0371028657714187-0.162484322718611i</v>
      </c>
      <c r="AQ527" s="174" t="str">
        <f t="shared" si="292"/>
        <v>0.962897134228581+0.162484322718611i</v>
      </c>
      <c r="AR527" s="174" t="str">
        <f t="shared" si="293"/>
        <v>0.841146000430039-0.1419393965658i</v>
      </c>
    </row>
    <row r="528" spans="7:44" x14ac:dyDescent="0.2">
      <c r="G528" s="703">
        <v>75426.25</v>
      </c>
      <c r="H528" s="691">
        <f t="shared" si="285"/>
        <v>75.426249999999996</v>
      </c>
      <c r="I528" s="692">
        <f t="shared" si="265"/>
        <v>73.59558915066421</v>
      </c>
      <c r="J528" s="693">
        <f t="shared" si="266"/>
        <v>1.5572081378103326</v>
      </c>
      <c r="K528" s="693">
        <f t="shared" si="267"/>
        <v>1.0008302166390648</v>
      </c>
      <c r="L528" s="694">
        <f t="shared" si="268"/>
        <v>4.0734326130106975E-2</v>
      </c>
      <c r="M528" s="693">
        <f t="shared" si="269"/>
        <v>1.0046227336756008</v>
      </c>
      <c r="N528" s="694">
        <f t="shared" si="270"/>
        <v>-9.5968698923625501E-2</v>
      </c>
      <c r="O528" s="692">
        <f t="shared" si="271"/>
        <v>136488.12631109133</v>
      </c>
      <c r="P528" s="695">
        <f t="shared" si="272"/>
        <v>1.5707890001502496</v>
      </c>
      <c r="Q528" s="704">
        <f t="shared" si="262"/>
        <v>56.87884392216754</v>
      </c>
      <c r="R528" s="705">
        <f t="shared" si="263"/>
        <v>1.5532141915964439</v>
      </c>
      <c r="S528" s="692">
        <f t="shared" si="273"/>
        <v>1.0694589054682913</v>
      </c>
      <c r="T528" s="695">
        <f t="shared" si="274"/>
        <v>0.36238978788690418</v>
      </c>
      <c r="U528" s="696">
        <f t="shared" si="286"/>
        <v>0.78830701318000918</v>
      </c>
      <c r="V528" s="697">
        <f t="shared" si="287"/>
        <v>-0.84426542315486741</v>
      </c>
      <c r="W528" s="698">
        <f t="shared" si="275"/>
        <v>-10.677866883459433</v>
      </c>
      <c r="X528" s="699">
        <f t="shared" si="276"/>
        <v>-162.52936402684068</v>
      </c>
      <c r="Y528" s="702">
        <f t="shared" si="277"/>
        <v>17.470635973159318</v>
      </c>
      <c r="AA528" s="174">
        <f t="shared" si="278"/>
        <v>75426.25</v>
      </c>
      <c r="AB528" s="174">
        <f t="shared" si="279"/>
        <v>5689119189.0625</v>
      </c>
      <c r="AD528" s="701">
        <f t="shared" si="280"/>
        <v>27.022285419528398</v>
      </c>
      <c r="AE528" s="702">
        <f t="shared" si="281"/>
        <v>-21.77036776532049</v>
      </c>
      <c r="AG528" s="701">
        <f t="shared" si="282"/>
        <v>-8.1800249584736537</v>
      </c>
      <c r="AH528" s="702">
        <f t="shared" si="283"/>
        <v>-44.013305079771257</v>
      </c>
      <c r="AJ528" s="174">
        <f t="shared" si="284"/>
        <v>0</v>
      </c>
      <c r="AK528" s="174">
        <f t="shared" si="264"/>
        <v>0</v>
      </c>
      <c r="AM528" s="174" t="str">
        <f t="shared" si="288"/>
        <v>0.784945676317325+0.976602087784676i</v>
      </c>
      <c r="AN528" s="174" t="str">
        <f t="shared" si="289"/>
        <v>1.3540488720975i</v>
      </c>
      <c r="AO528" s="174" t="str">
        <f t="shared" si="290"/>
        <v>0.721245819046297-0.579702618193831i</v>
      </c>
      <c r="AP528" s="174" t="str">
        <f t="shared" si="291"/>
        <v>0.0358423872804458-0.162767014630779i</v>
      </c>
      <c r="AQ528" s="174" t="str">
        <f t="shared" si="292"/>
        <v>0.964157612719554+0.162767014630779i</v>
      </c>
      <c r="AR528" s="174" t="str">
        <f t="shared" si="293"/>
        <v>0.840026324523995-0.141811437518367i</v>
      </c>
    </row>
    <row r="529" spans="7:44" x14ac:dyDescent="0.2">
      <c r="G529" s="703">
        <v>75858</v>
      </c>
      <c r="H529" s="691">
        <f t="shared" si="285"/>
        <v>75.858000000000004</v>
      </c>
      <c r="I529" s="692">
        <f t="shared" si="265"/>
        <v>74.016782644805659</v>
      </c>
      <c r="J529" s="693">
        <f t="shared" si="266"/>
        <v>1.5572854663007463</v>
      </c>
      <c r="K529" s="693">
        <f t="shared" si="267"/>
        <v>1.000839744386347</v>
      </c>
      <c r="L529" s="694">
        <f t="shared" si="268"/>
        <v>4.0967234833164404E-2</v>
      </c>
      <c r="M529" s="693">
        <f t="shared" si="269"/>
        <v>1.004675683937551</v>
      </c>
      <c r="N529" s="694">
        <f t="shared" si="270"/>
        <v>-9.6514641193613374E-2</v>
      </c>
      <c r="O529" s="692">
        <f t="shared" si="271"/>
        <v>137269.40270401366</v>
      </c>
      <c r="P529" s="695">
        <f t="shared" si="272"/>
        <v>1.5707890418502526</v>
      </c>
      <c r="Q529" s="704">
        <f t="shared" si="262"/>
        <v>57.204325724092186</v>
      </c>
      <c r="R529" s="705">
        <f t="shared" si="263"/>
        <v>1.5533142408445919</v>
      </c>
      <c r="S529" s="692">
        <f t="shared" si="273"/>
        <v>1.0702301908478076</v>
      </c>
      <c r="T529" s="695">
        <f t="shared" si="274"/>
        <v>0.36428588755399804</v>
      </c>
      <c r="U529" s="696">
        <f t="shared" si="286"/>
        <v>0.78655564902387476</v>
      </c>
      <c r="V529" s="697">
        <f t="shared" si="287"/>
        <v>-0.84820098581636172</v>
      </c>
      <c r="W529" s="698">
        <f t="shared" si="275"/>
        <v>-10.75249063478315</v>
      </c>
      <c r="X529" s="699">
        <f t="shared" si="276"/>
        <v>-162.88012975415469</v>
      </c>
      <c r="Y529" s="702">
        <f t="shared" si="277"/>
        <v>17.119870245845306</v>
      </c>
      <c r="AA529" s="174">
        <f t="shared" si="278"/>
        <v>75858</v>
      </c>
      <c r="AB529" s="174">
        <f t="shared" si="279"/>
        <v>5754436164</v>
      </c>
      <c r="AD529" s="701">
        <f t="shared" si="280"/>
        <v>27.016008244509976</v>
      </c>
      <c r="AE529" s="702">
        <f t="shared" si="281"/>
        <v>-21.873276263470554</v>
      </c>
      <c r="AG529" s="701">
        <f t="shared" si="282"/>
        <v>-8.2097341033067561</v>
      </c>
      <c r="AH529" s="702">
        <f t="shared" si="283"/>
        <v>-43.81018004739412</v>
      </c>
      <c r="AJ529" s="174">
        <f t="shared" si="284"/>
        <v>0</v>
      </c>
      <c r="AK529" s="174">
        <f t="shared" si="264"/>
        <v>0</v>
      </c>
      <c r="AM529" s="174" t="str">
        <f t="shared" si="288"/>
        <v>0.792521466425155+0.978239570915853i</v>
      </c>
      <c r="AN529" s="174" t="str">
        <f t="shared" si="289"/>
        <v>1.361799629964i</v>
      </c>
      <c r="AO529" s="174" t="str">
        <f t="shared" si="290"/>
        <v>0.718343249176616-0.581966281226046i</v>
      </c>
      <c r="AP529" s="174" t="str">
        <f t="shared" si="291"/>
        <v>0.0345797555958075-0.163039928485976i</v>
      </c>
      <c r="AQ529" s="174" t="str">
        <f t="shared" si="292"/>
        <v>0.965420244404192+0.163039928485976i</v>
      </c>
      <c r="AR529" s="174" t="str">
        <f t="shared" si="293"/>
        <v>0.838910640053415-0.141675018266107i</v>
      </c>
    </row>
    <row r="530" spans="7:44" x14ac:dyDescent="0.2">
      <c r="G530" s="703">
        <v>76299.75</v>
      </c>
      <c r="H530" s="691">
        <f t="shared" si="285"/>
        <v>76.299750000000003</v>
      </c>
      <c r="I530" s="692">
        <f t="shared" si="265"/>
        <v>74.447732086739592</v>
      </c>
      <c r="J530" s="693">
        <f t="shared" si="266"/>
        <v>1.5573636802216795</v>
      </c>
      <c r="K530" s="693">
        <f t="shared" si="267"/>
        <v>1.0008495490027685</v>
      </c>
      <c r="L530" s="694">
        <f t="shared" si="268"/>
        <v>4.1205533460264621E-2</v>
      </c>
      <c r="M530" s="693">
        <f t="shared" si="269"/>
        <v>1.0047301705069911</v>
      </c>
      <c r="N530" s="694">
        <f t="shared" si="270"/>
        <v>-9.7073168604776466E-2</v>
      </c>
      <c r="O530" s="692">
        <f t="shared" si="271"/>
        <v>138068.77467059979</v>
      </c>
      <c r="P530" s="695">
        <f t="shared" si="272"/>
        <v>1.5707890840276424</v>
      </c>
      <c r="Q530" s="704">
        <f t="shared" si="262"/>
        <v>57.537346775511182</v>
      </c>
      <c r="R530" s="705">
        <f t="shared" si="263"/>
        <v>1.5534154358249865</v>
      </c>
      <c r="S530" s="692">
        <f t="shared" si="273"/>
        <v>1.0710233169775412</v>
      </c>
      <c r="T530" s="695">
        <f t="shared" si="274"/>
        <v>0.36622307015927952</v>
      </c>
      <c r="U530" s="696">
        <f t="shared" si="286"/>
        <v>0.78476433792065659</v>
      </c>
      <c r="V530" s="697">
        <f t="shared" si="287"/>
        <v>-0.8522169774602496</v>
      </c>
      <c r="W530" s="698">
        <f t="shared" si="275"/>
        <v>-10.82861366080008</v>
      </c>
      <c r="X530" s="699">
        <f t="shared" si="276"/>
        <v>-163.23825497042324</v>
      </c>
      <c r="Y530" s="702">
        <f t="shared" si="277"/>
        <v>16.761745029576758</v>
      </c>
      <c r="AA530" s="174">
        <f t="shared" si="278"/>
        <v>76299.75</v>
      </c>
      <c r="AB530" s="174">
        <f t="shared" si="279"/>
        <v>5821651850.0625</v>
      </c>
      <c r="AD530" s="701">
        <f t="shared" si="280"/>
        <v>27.009558366592596</v>
      </c>
      <c r="AE530" s="702">
        <f t="shared" si="281"/>
        <v>-21.978473022321449</v>
      </c>
      <c r="AG530" s="701">
        <f t="shared" si="282"/>
        <v>-8.2397994377985455</v>
      </c>
      <c r="AH530" s="702">
        <f t="shared" si="283"/>
        <v>-43.602909760776754</v>
      </c>
      <c r="AJ530" s="174">
        <f t="shared" si="284"/>
        <v>0</v>
      </c>
      <c r="AK530" s="174">
        <f t="shared" si="264"/>
        <v>0</v>
      </c>
      <c r="AM530" s="174" t="str">
        <f t="shared" si="288"/>
        <v>0.800285620374799+0.9798541557655i</v>
      </c>
      <c r="AN530" s="174" t="str">
        <f t="shared" si="289"/>
        <v>1.3697299074105i</v>
      </c>
      <c r="AO530" s="174" t="str">
        <f t="shared" si="290"/>
        <v>0.715363043811997-0.584265274522445i</v>
      </c>
      <c r="AP530" s="174" t="str">
        <f t="shared" si="291"/>
        <v>0.0332857299375335-0.163309025960917i</v>
      </c>
      <c r="AQ530" s="174" t="str">
        <f t="shared" si="292"/>
        <v>0.966714270062466+0.163309025960917i</v>
      </c>
      <c r="AR530" s="174" t="str">
        <f t="shared" si="293"/>
        <v>0.837773297952398-0.141526762872581i</v>
      </c>
    </row>
    <row r="531" spans="7:44" x14ac:dyDescent="0.2">
      <c r="G531" s="703">
        <v>76741.5</v>
      </c>
      <c r="H531" s="691">
        <f t="shared" si="285"/>
        <v>76.741500000000002</v>
      </c>
      <c r="I531" s="692">
        <f t="shared" si="265"/>
        <v>74.87868197885912</v>
      </c>
      <c r="J531" s="693">
        <f t="shared" si="266"/>
        <v>1.5574409938526408</v>
      </c>
      <c r="K531" s="693">
        <f t="shared" si="267"/>
        <v>1.0008594104525528</v>
      </c>
      <c r="L531" s="694">
        <f t="shared" si="268"/>
        <v>4.1443827404992251E-2</v>
      </c>
      <c r="M531" s="693">
        <f t="shared" si="269"/>
        <v>1.0047849704708407</v>
      </c>
      <c r="N531" s="694">
        <f t="shared" si="270"/>
        <v>-9.7631635267090164E-2</v>
      </c>
      <c r="O531" s="692">
        <f t="shared" si="271"/>
        <v>138868.14663718612</v>
      </c>
      <c r="P531" s="695">
        <f t="shared" si="272"/>
        <v>1.5707891257194577</v>
      </c>
      <c r="Q531" s="704">
        <f t="shared" si="262"/>
        <v>57.870368409355706</v>
      </c>
      <c r="R531" s="705">
        <f t="shared" si="263"/>
        <v>1.5535154661302881</v>
      </c>
      <c r="S531" s="692">
        <f t="shared" si="273"/>
        <v>1.0718204563541944</v>
      </c>
      <c r="T531" s="695">
        <f t="shared" si="274"/>
        <v>0.36815737855321007</v>
      </c>
      <c r="U531" s="696">
        <f t="shared" si="286"/>
        <v>0.78297372493191431</v>
      </c>
      <c r="V531" s="697">
        <f t="shared" si="287"/>
        <v>-0.85622216179394239</v>
      </c>
      <c r="W531" s="698">
        <f t="shared" si="275"/>
        <v>-10.904507518208767</v>
      </c>
      <c r="X531" s="699">
        <f t="shared" si="276"/>
        <v>-163.59560820120674</v>
      </c>
      <c r="Y531" s="702">
        <f t="shared" si="277"/>
        <v>16.404391798793256</v>
      </c>
      <c r="AA531" s="174">
        <f t="shared" si="278"/>
        <v>76741.5</v>
      </c>
      <c r="AB531" s="174">
        <f t="shared" si="279"/>
        <v>5889257822.25</v>
      </c>
      <c r="AD531" s="701">
        <f t="shared" si="280"/>
        <v>27.003080992825794</v>
      </c>
      <c r="AE531" s="702">
        <f t="shared" si="281"/>
        <v>-22.083571804138359</v>
      </c>
      <c r="AG531" s="701">
        <f t="shared" si="282"/>
        <v>-8.2695330842715986</v>
      </c>
      <c r="AH531" s="702">
        <f t="shared" si="283"/>
        <v>-43.396203892233871</v>
      </c>
      <c r="AJ531" s="174">
        <f t="shared" si="284"/>
        <v>0</v>
      </c>
      <c r="AK531" s="174">
        <f t="shared" si="264"/>
        <v>0</v>
      </c>
      <c r="AM531" s="174" t="str">
        <f t="shared" si="288"/>
        <v>0.80806233415623+0.981407118595767i</v>
      </c>
      <c r="AN531" s="174" t="str">
        <f t="shared" si="289"/>
        <v>1.377660184857i</v>
      </c>
      <c r="AO531" s="174" t="str">
        <f t="shared" si="290"/>
        <v>0.712372419108299-0.58654691703971i</v>
      </c>
      <c r="AP531" s="174" t="str">
        <f t="shared" si="291"/>
        <v>0.0319896109739617-0.163567853099295i</v>
      </c>
      <c r="AQ531" s="174" t="str">
        <f t="shared" si="292"/>
        <v>0.968010389026038+0.163567853099295i</v>
      </c>
      <c r="AR531" s="174" t="str">
        <f t="shared" si="293"/>
        <v>0.836640238959894-0.141369813025292i</v>
      </c>
    </row>
    <row r="532" spans="7:44" x14ac:dyDescent="0.2">
      <c r="G532" s="703">
        <v>77183.25</v>
      </c>
      <c r="H532" s="691">
        <f t="shared" si="285"/>
        <v>77.183250000000001</v>
      </c>
      <c r="I532" s="692">
        <f t="shared" si="265"/>
        <v>75.30963231343587</v>
      </c>
      <c r="J532" s="693">
        <f t="shared" si="266"/>
        <v>1.5575174226481019</v>
      </c>
      <c r="K532" s="693">
        <f t="shared" si="267"/>
        <v>1.0008693287340202</v>
      </c>
      <c r="L532" s="694">
        <f t="shared" si="268"/>
        <v>4.1682116640423532E-2</v>
      </c>
      <c r="M532" s="693">
        <f t="shared" si="269"/>
        <v>1.004840083777826</v>
      </c>
      <c r="N532" s="694">
        <f t="shared" si="270"/>
        <v>-9.81900408421673E-2</v>
      </c>
      <c r="O532" s="692">
        <f t="shared" si="271"/>
        <v>139667.51860377271</v>
      </c>
      <c r="P532" s="695">
        <f t="shared" si="272"/>
        <v>1.5707891669340357</v>
      </c>
      <c r="Q532" s="704">
        <f t="shared" si="262"/>
        <v>58.203390615628379</v>
      </c>
      <c r="R532" s="705">
        <f t="shared" si="263"/>
        <v>1.5536143517502341</v>
      </c>
      <c r="S532" s="692">
        <f t="shared" si="273"/>
        <v>1.0726216000302025</v>
      </c>
      <c r="T532" s="695">
        <f t="shared" si="274"/>
        <v>0.37008880468542626</v>
      </c>
      <c r="U532" s="696">
        <f t="shared" si="286"/>
        <v>0.78118388306965358</v>
      </c>
      <c r="V532" s="697">
        <f t="shared" si="287"/>
        <v>-0.86021657983676902</v>
      </c>
      <c r="W532" s="698">
        <f t="shared" si="275"/>
        <v>-10.980174757087749</v>
      </c>
      <c r="X532" s="699">
        <f t="shared" si="276"/>
        <v>-163.95219105826837</v>
      </c>
      <c r="Y532" s="702">
        <f t="shared" si="277"/>
        <v>16.047808941731631</v>
      </c>
      <c r="AA532" s="174">
        <f t="shared" si="278"/>
        <v>77183.25</v>
      </c>
      <c r="AB532" s="174">
        <f t="shared" si="279"/>
        <v>5957254080.5625</v>
      </c>
      <c r="AD532" s="701">
        <f t="shared" si="280"/>
        <v>26.996576255108302</v>
      </c>
      <c r="AE532" s="702">
        <f t="shared" si="281"/>
        <v>-22.188571002819543</v>
      </c>
      <c r="AG532" s="701">
        <f t="shared" si="282"/>
        <v>-8.298939040207534</v>
      </c>
      <c r="AH532" s="702">
        <f t="shared" si="283"/>
        <v>-43.190060959161521</v>
      </c>
      <c r="AJ532" s="174">
        <f t="shared" si="284"/>
        <v>0</v>
      </c>
      <c r="AK532" s="174">
        <f t="shared" si="264"/>
        <v>0</v>
      </c>
      <c r="AM532" s="174" t="str">
        <f t="shared" si="288"/>
        <v>0.815851118699921+0.982898361742418i</v>
      </c>
      <c r="AN532" s="174" t="str">
        <f t="shared" si="289"/>
        <v>1.3855904623035i</v>
      </c>
      <c r="AO532" s="174" t="str">
        <f t="shared" si="290"/>
        <v>0.709371483481765-0.588811153725463i</v>
      </c>
      <c r="AP532" s="174" t="str">
        <f t="shared" si="291"/>
        <v>0.0306914802166798-0.163816393623736i</v>
      </c>
      <c r="AQ532" s="174" t="str">
        <f t="shared" si="292"/>
        <v>0.96930851978332+0.163816393623736i</v>
      </c>
      <c r="AR532" s="174" t="str">
        <f t="shared" si="293"/>
        <v>0.835511514018955-0.141204250519008i</v>
      </c>
    </row>
    <row r="533" spans="7:44" x14ac:dyDescent="0.2">
      <c r="G533" s="703">
        <v>77625</v>
      </c>
      <c r="H533" s="691">
        <f t="shared" si="285"/>
        <v>77.625</v>
      </c>
      <c r="I533" s="692">
        <f t="shared" si="265"/>
        <v>75.740583082917297</v>
      </c>
      <c r="J533" s="693">
        <f t="shared" si="266"/>
        <v>1.5575929817108434</v>
      </c>
      <c r="K533" s="693">
        <f t="shared" si="267"/>
        <v>1.0008793038454813</v>
      </c>
      <c r="L533" s="694">
        <f t="shared" si="268"/>
        <v>4.1920401139637915E-2</v>
      </c>
      <c r="M533" s="693">
        <f t="shared" si="269"/>
        <v>1.0048955103763915</v>
      </c>
      <c r="N533" s="694">
        <f t="shared" si="270"/>
        <v>-9.8748384991847168E-2</v>
      </c>
      <c r="O533" s="692">
        <f t="shared" si="271"/>
        <v>140466.89057035954</v>
      </c>
      <c r="P533" s="695">
        <f t="shared" si="272"/>
        <v>1.570789207679524</v>
      </c>
      <c r="Q533" s="704">
        <f t="shared" si="262"/>
        <v>58.536413384559324</v>
      </c>
      <c r="R533" s="705">
        <f t="shared" si="263"/>
        <v>1.5537121122197535</v>
      </c>
      <c r="S533" s="692">
        <f t="shared" si="273"/>
        <v>1.0734267390398329</v>
      </c>
      <c r="T533" s="695">
        <f t="shared" si="274"/>
        <v>0.37201734061555319</v>
      </c>
      <c r="U533" s="696">
        <f t="shared" si="286"/>
        <v>0.77939488411736368</v>
      </c>
      <c r="V533" s="697">
        <f t="shared" si="287"/>
        <v>-0.86420027308681979</v>
      </c>
      <c r="W533" s="698">
        <f t="shared" si="275"/>
        <v>-11.055617877327252</v>
      </c>
      <c r="X533" s="699">
        <f t="shared" si="276"/>
        <v>-164.3080051930142</v>
      </c>
      <c r="Y533" s="702">
        <f t="shared" si="277"/>
        <v>15.691994806985804</v>
      </c>
      <c r="AA533" s="174">
        <f t="shared" si="278"/>
        <v>77625</v>
      </c>
      <c r="AB533" s="174">
        <f t="shared" si="279"/>
        <v>6025640625</v>
      </c>
      <c r="AD533" s="701">
        <f t="shared" si="280"/>
        <v>26.990044285603712</v>
      </c>
      <c r="AE533" s="702">
        <f t="shared" si="281"/>
        <v>-22.293469044612852</v>
      </c>
      <c r="AG533" s="701">
        <f t="shared" si="282"/>
        <v>-8.3280212387719423</v>
      </c>
      <c r="AH533" s="702">
        <f t="shared" si="283"/>
        <v>-42.984479431387101</v>
      </c>
      <c r="AJ533" s="174">
        <f t="shared" si="284"/>
        <v>0</v>
      </c>
      <c r="AK533" s="174">
        <f t="shared" si="264"/>
        <v>0</v>
      </c>
      <c r="AM533" s="174" t="str">
        <f t="shared" si="288"/>
        <v>0.82365148417723+0.984327791422708i</v>
      </c>
      <c r="AN533" s="174" t="str">
        <f t="shared" si="289"/>
        <v>1.39352073975i</v>
      </c>
      <c r="AO533" s="174" t="str">
        <f t="shared" si="290"/>
        <v>0.706360345666113-0.591057930235753i</v>
      </c>
      <c r="AP533" s="174" t="str">
        <f t="shared" si="291"/>
        <v>0.029391419303795-0.164054631903785i</v>
      </c>
      <c r="AQ533" s="174" t="str">
        <f t="shared" si="292"/>
        <v>0.970608580696205+0.164054631903785i</v>
      </c>
      <c r="AR533" s="174" t="str">
        <f t="shared" si="293"/>
        <v>0.834387172767201-0.141030156971595i</v>
      </c>
    </row>
    <row r="534" spans="7:44" x14ac:dyDescent="0.2">
      <c r="G534" s="703">
        <v>78077</v>
      </c>
      <c r="H534" s="691">
        <f t="shared" si="285"/>
        <v>78.076999999999998</v>
      </c>
      <c r="I534" s="692">
        <f t="shared" si="265"/>
        <v>76.181533718485596</v>
      </c>
      <c r="J534" s="693">
        <f t="shared" si="266"/>
        <v>1.5576694091405392</v>
      </c>
      <c r="K534" s="693">
        <f t="shared" si="267"/>
        <v>1.0008895692326147</v>
      </c>
      <c r="L534" s="694">
        <f t="shared" si="268"/>
        <v>4.2164209663996845E-2</v>
      </c>
      <c r="M534" s="693">
        <f t="shared" si="269"/>
        <v>1.0049525472735825</v>
      </c>
      <c r="N534" s="694">
        <f t="shared" si="270"/>
        <v>-9.9319620562993149E-2</v>
      </c>
      <c r="O534" s="692">
        <f t="shared" si="271"/>
        <v>141284.81049995174</v>
      </c>
      <c r="P534" s="695">
        <f t="shared" si="272"/>
        <v>1.5707892488931996</v>
      </c>
      <c r="Q534" s="704">
        <f t="shared" si="262"/>
        <v>58.877163909583707</v>
      </c>
      <c r="R534" s="705">
        <f t="shared" si="263"/>
        <v>1.5538109963409821</v>
      </c>
      <c r="S534" s="692">
        <f t="shared" si="273"/>
        <v>1.0742546859212769</v>
      </c>
      <c r="T534" s="695">
        <f t="shared" si="274"/>
        <v>0.37398762495100335</v>
      </c>
      <c r="U534" s="696">
        <f t="shared" si="286"/>
        <v>0.77756532079039153</v>
      </c>
      <c r="V534" s="697">
        <f t="shared" si="287"/>
        <v>-0.86826534346693096</v>
      </c>
      <c r="W534" s="698">
        <f t="shared" si="275"/>
        <v>-11.132582093982922</v>
      </c>
      <c r="X534" s="699">
        <f t="shared" si="276"/>
        <v>-164.67128142209771</v>
      </c>
      <c r="Y534" s="702">
        <f t="shared" si="277"/>
        <v>15.328718577902293</v>
      </c>
      <c r="AA534" s="174">
        <f t="shared" si="278"/>
        <v>78077</v>
      </c>
      <c r="AB534" s="174">
        <f t="shared" si="279"/>
        <v>6096017929</v>
      </c>
      <c r="AD534" s="701">
        <f t="shared" si="280"/>
        <v>26.983332704912939</v>
      </c>
      <c r="AE534" s="702">
        <f t="shared" si="281"/>
        <v>-22.400694740159814</v>
      </c>
      <c r="AG534" s="701">
        <f t="shared" si="282"/>
        <v>-8.3574471601984204</v>
      </c>
      <c r="AH534" s="702">
        <f t="shared" si="283"/>
        <v>-42.774707211983326</v>
      </c>
      <c r="AJ534" s="174">
        <f t="shared" si="284"/>
        <v>0</v>
      </c>
      <c r="AK534" s="174">
        <f t="shared" si="264"/>
        <v>0</v>
      </c>
      <c r="AM534" s="174" t="str">
        <f t="shared" si="288"/>
        <v>0.831644318283091+0.985726313148652i</v>
      </c>
      <c r="AN534" s="174" t="str">
        <f t="shared" si="289"/>
        <v>1.401635024766i</v>
      </c>
      <c r="AO534" s="174" t="str">
        <f t="shared" si="290"/>
        <v>0.703268893636-0.59333871056906i</v>
      </c>
      <c r="AP534" s="174" t="str">
        <f t="shared" si="291"/>
        <v>0.0280592802861515-0.164287718858109i</v>
      </c>
      <c r="AQ534" s="174" t="str">
        <f t="shared" si="292"/>
        <v>0.971940719713849+0.164287718858109i</v>
      </c>
      <c r="AR534" s="174" t="str">
        <f t="shared" si="293"/>
        <v>0.833241331101813-0.140843278574967i</v>
      </c>
    </row>
    <row r="535" spans="7:44" x14ac:dyDescent="0.2">
      <c r="G535" s="703">
        <v>78529</v>
      </c>
      <c r="H535" s="691">
        <f t="shared" si="285"/>
        <v>78.528999999999996</v>
      </c>
      <c r="I535" s="692">
        <f t="shared" si="265"/>
        <v>76.622484793920123</v>
      </c>
      <c r="J535" s="693">
        <f t="shared" si="266"/>
        <v>1.5577449569135475</v>
      </c>
      <c r="K535" s="693">
        <f t="shared" si="267"/>
        <v>1.0008998941140006</v>
      </c>
      <c r="L535" s="694">
        <f t="shared" si="268"/>
        <v>4.2408013172786176E-2</v>
      </c>
      <c r="M535" s="693">
        <f t="shared" si="269"/>
        <v>1.0050099120596336</v>
      </c>
      <c r="N535" s="694">
        <f t="shared" si="270"/>
        <v>-9.9890791109588428E-2</v>
      </c>
      <c r="O535" s="692">
        <f t="shared" si="271"/>
        <v>142102.7304295442</v>
      </c>
      <c r="P535" s="695">
        <f t="shared" si="272"/>
        <v>1.5707892896324369</v>
      </c>
      <c r="Q535" s="704">
        <f t="shared" ref="Q535:Q598" si="294">SQRT(1+(G535/Zero2)^2)</f>
        <v>59.217915003687665</v>
      </c>
      <c r="R535" s="705">
        <f t="shared" ref="R535:R598" si="295">ATAN(G535/Zero2)</f>
        <v>1.5539087424672486</v>
      </c>
      <c r="S535" s="692">
        <f t="shared" si="273"/>
        <v>1.0750867966486133</v>
      </c>
      <c r="T535" s="695">
        <f t="shared" si="274"/>
        <v>0.37595486693700297</v>
      </c>
      <c r="U535" s="696">
        <f t="shared" si="286"/>
        <v>0.77573678809472646</v>
      </c>
      <c r="V535" s="697">
        <f t="shared" si="287"/>
        <v>-0.87231927496418815</v>
      </c>
      <c r="W535" s="698">
        <f t="shared" si="275"/>
        <v>-11.209316810670245</v>
      </c>
      <c r="X535" s="699">
        <f t="shared" si="276"/>
        <v>-165.03375646266909</v>
      </c>
      <c r="Y535" s="702">
        <f t="shared" si="277"/>
        <v>14.966243537330911</v>
      </c>
      <c r="AA535" s="174">
        <f t="shared" si="278"/>
        <v>78529</v>
      </c>
      <c r="AB535" s="174">
        <f t="shared" si="279"/>
        <v>6166803841</v>
      </c>
      <c r="AD535" s="701">
        <f t="shared" si="280"/>
        <v>26.97659289478451</v>
      </c>
      <c r="AE535" s="702">
        <f t="shared" si="281"/>
        <v>-22.507811297048463</v>
      </c>
      <c r="AG535" s="701">
        <f t="shared" si="282"/>
        <v>-8.3865422561156997</v>
      </c>
      <c r="AH535" s="702">
        <f t="shared" si="283"/>
        <v>-42.565519364679275</v>
      </c>
      <c r="AJ535" s="174">
        <f t="shared" si="284"/>
        <v>0</v>
      </c>
      <c r="AK535" s="174">
        <f t="shared" si="264"/>
        <v>0</v>
      </c>
      <c r="AM535" s="174" t="str">
        <f t="shared" si="288"/>
        <v>0.839648237139174+0.987059933412063i</v>
      </c>
      <c r="AN535" s="174" t="str">
        <f t="shared" si="289"/>
        <v>1.409749309782i</v>
      </c>
      <c r="AO535" s="174" t="str">
        <f t="shared" si="290"/>
        <v>0.700166991792817-0.595601098232859i</v>
      </c>
      <c r="AP535" s="174" t="str">
        <f t="shared" si="291"/>
        <v>0.0267252938101377-0.16450998890201i</v>
      </c>
      <c r="AQ535" s="174" t="str">
        <f t="shared" si="292"/>
        <v>0.973274706189862+0.16450998890201i</v>
      </c>
      <c r="AR535" s="174" t="str">
        <f t="shared" si="293"/>
        <v>0.832100179945813-0.140647640894864i</v>
      </c>
    </row>
    <row r="536" spans="7:44" x14ac:dyDescent="0.2">
      <c r="G536" s="703">
        <v>78981</v>
      </c>
      <c r="H536" s="691">
        <f t="shared" si="285"/>
        <v>78.980999999999995</v>
      </c>
      <c r="I536" s="692">
        <f t="shared" si="265"/>
        <v>77.063436301670265</v>
      </c>
      <c r="J536" s="693">
        <f t="shared" si="266"/>
        <v>1.5578196401289983</v>
      </c>
      <c r="K536" s="693">
        <f t="shared" si="267"/>
        <v>1.0009102784877977</v>
      </c>
      <c r="L536" s="694">
        <f t="shared" si="268"/>
        <v>4.2651811637178134E-2</v>
      </c>
      <c r="M536" s="693">
        <f t="shared" si="269"/>
        <v>1.0050676046784017</v>
      </c>
      <c r="N536" s="694">
        <f t="shared" si="270"/>
        <v>-0.10046189627012646</v>
      </c>
      <c r="O536" s="692">
        <f t="shared" si="271"/>
        <v>142920.65035913687</v>
      </c>
      <c r="P536" s="695">
        <f t="shared" si="272"/>
        <v>1.5707893299053814</v>
      </c>
      <c r="Q536" s="704">
        <f t="shared" si="294"/>
        <v>59.558666657103629</v>
      </c>
      <c r="R536" s="705">
        <f t="shared" si="295"/>
        <v>1.5540053701290235</v>
      </c>
      <c r="S536" s="692">
        <f t="shared" si="273"/>
        <v>1.0759230615609812</v>
      </c>
      <c r="T536" s="695">
        <f t="shared" si="274"/>
        <v>0.37791905842343781</v>
      </c>
      <c r="U536" s="696">
        <f t="shared" si="286"/>
        <v>0.7739093589938234</v>
      </c>
      <c r="V536" s="697">
        <f t="shared" si="287"/>
        <v>-0.87636211350899262</v>
      </c>
      <c r="W536" s="698">
        <f t="shared" si="275"/>
        <v>-11.285824550540495</v>
      </c>
      <c r="X536" s="699">
        <f t="shared" si="276"/>
        <v>-165.39543220688788</v>
      </c>
      <c r="Y536" s="702">
        <f t="shared" si="277"/>
        <v>14.604567793112125</v>
      </c>
      <c r="AA536" s="174">
        <f t="shared" si="278"/>
        <v>78981</v>
      </c>
      <c r="AB536" s="174">
        <f t="shared" si="279"/>
        <v>6237998361</v>
      </c>
      <c r="AD536" s="701">
        <f t="shared" si="280"/>
        <v>26.969824997571166</v>
      </c>
      <c r="AE536" s="702">
        <f t="shared" si="281"/>
        <v>-22.614817129764809</v>
      </c>
      <c r="AG536" s="701">
        <f t="shared" si="282"/>
        <v>-8.4153105392214496</v>
      </c>
      <c r="AH536" s="702">
        <f t="shared" si="283"/>
        <v>-42.356914103912139</v>
      </c>
      <c r="AJ536" s="174">
        <f t="shared" si="284"/>
        <v>0</v>
      </c>
      <c r="AK536" s="174">
        <f t="shared" si="264"/>
        <v>0</v>
      </c>
      <c r="AM536" s="174" t="str">
        <f t="shared" si="288"/>
        <v>0.847662713757378+0.988328564405701i</v>
      </c>
      <c r="AN536" s="174" t="str">
        <f t="shared" si="289"/>
        <v>1.417863594798i</v>
      </c>
      <c r="AO536" s="174" t="str">
        <f t="shared" si="290"/>
        <v>0.697054757616868-0.597845037327545i</v>
      </c>
      <c r="AP536" s="174" t="str">
        <f t="shared" si="291"/>
        <v>0.0253895477071037-0.16472142740095i</v>
      </c>
      <c r="AQ536" s="174" t="str">
        <f t="shared" si="292"/>
        <v>0.974610452292896+0.16472142740095i</v>
      </c>
      <c r="AR536" s="174" t="str">
        <f t="shared" si="293"/>
        <v>0.830963768339934-0.140443330683972i</v>
      </c>
    </row>
    <row r="537" spans="7:44" x14ac:dyDescent="0.2">
      <c r="G537" s="703">
        <v>79433</v>
      </c>
      <c r="H537" s="691">
        <f t="shared" si="285"/>
        <v>79.433000000000007</v>
      </c>
      <c r="I537" s="692">
        <f t="shared" si="265"/>
        <v>77.504388234357179</v>
      </c>
      <c r="J537" s="693">
        <f t="shared" si="266"/>
        <v>1.5578934735424406</v>
      </c>
      <c r="K537" s="693">
        <f t="shared" si="267"/>
        <v>1.0009207223521543</v>
      </c>
      <c r="L537" s="694">
        <f t="shared" si="268"/>
        <v>4.2895605028348535E-2</v>
      </c>
      <c r="M537" s="693">
        <f t="shared" si="269"/>
        <v>1.0051256250734351</v>
      </c>
      <c r="N537" s="694">
        <f t="shared" si="270"/>
        <v>-0.10103293568335403</v>
      </c>
      <c r="O537" s="692">
        <f t="shared" si="271"/>
        <v>143738.57028872977</v>
      </c>
      <c r="P537" s="695">
        <f t="shared" si="272"/>
        <v>1.5707893697199933</v>
      </c>
      <c r="Q537" s="704">
        <f t="shared" si="294"/>
        <v>59.899418860286261</v>
      </c>
      <c r="R537" s="705">
        <f t="shared" si="295"/>
        <v>1.5541008984124471</v>
      </c>
      <c r="S537" s="692">
        <f t="shared" si="273"/>
        <v>1.0767634709793772</v>
      </c>
      <c r="T537" s="695">
        <f t="shared" si="274"/>
        <v>0.37988019137960105</v>
      </c>
      <c r="U537" s="696">
        <f t="shared" si="286"/>
        <v>0.77208310514580392</v>
      </c>
      <c r="V537" s="697">
        <f t="shared" si="287"/>
        <v>-0.88039390550282337</v>
      </c>
      <c r="W537" s="698">
        <f t="shared" si="275"/>
        <v>-11.362107787229032</v>
      </c>
      <c r="X537" s="699">
        <f t="shared" si="276"/>
        <v>-165.75631058652206</v>
      </c>
      <c r="Y537" s="702">
        <f t="shared" si="277"/>
        <v>14.243689413477938</v>
      </c>
      <c r="AA537" s="174">
        <f t="shared" si="278"/>
        <v>79433</v>
      </c>
      <c r="AB537" s="174">
        <f t="shared" si="279"/>
        <v>6309601489</v>
      </c>
      <c r="AD537" s="701">
        <f t="shared" si="280"/>
        <v>26.963029155858283</v>
      </c>
      <c r="AE537" s="702">
        <f t="shared" si="281"/>
        <v>-22.721710685084041</v>
      </c>
      <c r="AG537" s="701">
        <f t="shared" si="282"/>
        <v>-8.4437559572888503</v>
      </c>
      <c r="AH537" s="702">
        <f t="shared" si="283"/>
        <v>-42.1488895974569</v>
      </c>
      <c r="AJ537" s="174">
        <f t="shared" si="284"/>
        <v>0</v>
      </c>
      <c r="AK537" s="174">
        <f t="shared" si="264"/>
        <v>0</v>
      </c>
      <c r="AM537" s="174" t="str">
        <f t="shared" si="288"/>
        <v>0.855687220454462+0.989532122601303i</v>
      </c>
      <c r="AN537" s="174" t="str">
        <f t="shared" si="289"/>
        <v>1.425977879814i</v>
      </c>
      <c r="AO537" s="174" t="str">
        <f t="shared" si="290"/>
        <v>0.693932308915181-0.600070472738382i</v>
      </c>
      <c r="AP537" s="174" t="str">
        <f t="shared" si="291"/>
        <v>0.0240521299242563-0.164922020433551i</v>
      </c>
      <c r="AQ537" s="174" t="str">
        <f t="shared" si="292"/>
        <v>0.975947870075744+0.164922020433551i</v>
      </c>
      <c r="AR537" s="174" t="str">
        <f t="shared" si="293"/>
        <v>0.829832143969204-0.14023043443241i</v>
      </c>
    </row>
    <row r="538" spans="7:44" x14ac:dyDescent="0.2">
      <c r="G538" s="703">
        <v>79895.5</v>
      </c>
      <c r="H538" s="691">
        <f t="shared" si="285"/>
        <v>79.895499999999998</v>
      </c>
      <c r="I538" s="692">
        <f t="shared" si="265"/>
        <v>77.955583951799213</v>
      </c>
      <c r="J538" s="693">
        <f t="shared" si="266"/>
        <v>1.5579681575115678</v>
      </c>
      <c r="K538" s="693">
        <f t="shared" si="267"/>
        <v>1.0009314704060293</v>
      </c>
      <c r="L538" s="694">
        <f t="shared" si="268"/>
        <v>4.3145056480139415E-2</v>
      </c>
      <c r="M538" s="693">
        <f t="shared" si="269"/>
        <v>1.0051853325142841</v>
      </c>
      <c r="N538" s="694">
        <f t="shared" si="270"/>
        <v>-0.1016171719600944</v>
      </c>
      <c r="O538" s="692">
        <f t="shared" si="271"/>
        <v>144575.49057066962</v>
      </c>
      <c r="P538" s="695">
        <f t="shared" si="272"/>
        <v>1.5707894099931894</v>
      </c>
      <c r="Q538" s="704">
        <f t="shared" si="294"/>
        <v>60.248087326645141</v>
      </c>
      <c r="R538" s="705">
        <f t="shared" si="295"/>
        <v>1.5541975272997641</v>
      </c>
      <c r="S538" s="692">
        <f t="shared" si="273"/>
        <v>1.0776276831080607</v>
      </c>
      <c r="T538" s="695">
        <f t="shared" si="274"/>
        <v>0.38188370744535344</v>
      </c>
      <c r="U538" s="696">
        <f t="shared" si="286"/>
        <v>0.77021571717171355</v>
      </c>
      <c r="V538" s="697">
        <f t="shared" si="287"/>
        <v>-0.88450797081462262</v>
      </c>
      <c r="W538" s="698">
        <f t="shared" si="275"/>
        <v>-11.439933233386945</v>
      </c>
      <c r="X538" s="699">
        <f t="shared" si="276"/>
        <v>-166.12474889450939</v>
      </c>
      <c r="Y538" s="702">
        <f t="shared" si="277"/>
        <v>13.875251105490605</v>
      </c>
      <c r="AA538" s="174">
        <f t="shared" si="278"/>
        <v>79895.5</v>
      </c>
      <c r="AB538" s="174">
        <f t="shared" si="279"/>
        <v>6383290920.25</v>
      </c>
      <c r="AD538" s="701">
        <f t="shared" si="280"/>
        <v>26.956046669336288</v>
      </c>
      <c r="AE538" s="702">
        <f t="shared" si="281"/>
        <v>-22.830969580025005</v>
      </c>
      <c r="AG538" s="701">
        <f t="shared" si="282"/>
        <v>-8.4725320138167515</v>
      </c>
      <c r="AH538" s="702">
        <f t="shared" si="283"/>
        <v>-41.936631851950004</v>
      </c>
      <c r="AJ538" s="174">
        <f t="shared" si="284"/>
        <v>0</v>
      </c>
      <c r="AK538" s="174">
        <f t="shared" ref="AK538:AK601" si="296">IF(AJ538&gt;0,Y538,0)</f>
        <v>0</v>
      </c>
      <c r="AM538" s="174" t="str">
        <f t="shared" si="288"/>
        <v>0.863907968301823+0.990696199098524i</v>
      </c>
      <c r="AN538" s="174" t="str">
        <f t="shared" si="289"/>
        <v>1.434280660389i</v>
      </c>
      <c r="AO538" s="174" t="str">
        <f t="shared" si="290"/>
        <v>0.690726875470685-0.602328395104705i</v>
      </c>
      <c r="AP538" s="174" t="str">
        <f t="shared" si="291"/>
        <v>0.0226820052830295-0.165116033183087i</v>
      </c>
      <c r="AQ538" s="174" t="str">
        <f t="shared" si="292"/>
        <v>0.97731799471697+0.165116033183087i</v>
      </c>
      <c r="AR538" s="174" t="str">
        <f t="shared" si="293"/>
        <v>0.828679235542299-0.140003794971116i</v>
      </c>
    </row>
    <row r="539" spans="7:44" x14ac:dyDescent="0.2">
      <c r="G539" s="703">
        <v>80358</v>
      </c>
      <c r="H539" s="691">
        <f t="shared" si="285"/>
        <v>80.358000000000004</v>
      </c>
      <c r="I539" s="692">
        <f t="shared" si="265"/>
        <v>78.406780099049456</v>
      </c>
      <c r="J539" s="693">
        <f t="shared" si="266"/>
        <v>1.5580419819350511</v>
      </c>
      <c r="K539" s="693">
        <f t="shared" si="267"/>
        <v>1.0009422807425532</v>
      </c>
      <c r="L539" s="694">
        <f t="shared" si="268"/>
        <v>4.339450255922099E-2</v>
      </c>
      <c r="M539" s="693">
        <f t="shared" si="269"/>
        <v>1.0052453830162544</v>
      </c>
      <c r="N539" s="694">
        <f t="shared" si="270"/>
        <v>-0.10220133863498057</v>
      </c>
      <c r="O539" s="692">
        <f t="shared" si="271"/>
        <v>145412.4108526097</v>
      </c>
      <c r="P539" s="695">
        <f t="shared" si="272"/>
        <v>1.5707894498028012</v>
      </c>
      <c r="Q539" s="704">
        <f t="shared" si="294"/>
        <v>60.596756349075285</v>
      </c>
      <c r="R539" s="705">
        <f t="shared" si="295"/>
        <v>1.554293044197762</v>
      </c>
      <c r="S539" s="692">
        <f t="shared" si="273"/>
        <v>1.0784962139742786</v>
      </c>
      <c r="T539" s="695">
        <f t="shared" si="274"/>
        <v>0.38388400460035116</v>
      </c>
      <c r="U539" s="696">
        <f t="shared" si="286"/>
        <v>0.76834970734367303</v>
      </c>
      <c r="V539" s="697">
        <f t="shared" si="287"/>
        <v>-0.88861057013700551</v>
      </c>
      <c r="W539" s="698">
        <f t="shared" si="275"/>
        <v>-11.517528711460198</v>
      </c>
      <c r="X539" s="699">
        <f t="shared" si="276"/>
        <v>-166.49235657703019</v>
      </c>
      <c r="Y539" s="702">
        <f t="shared" si="277"/>
        <v>13.507643422969807</v>
      </c>
      <c r="AA539" s="174">
        <f t="shared" si="278"/>
        <v>80358</v>
      </c>
      <c r="AB539" s="174">
        <f t="shared" si="279"/>
        <v>6457408164</v>
      </c>
      <c r="AD539" s="701">
        <f t="shared" si="280"/>
        <v>26.949035227656548</v>
      </c>
      <c r="AE539" s="702">
        <f t="shared" si="281"/>
        <v>-22.94010773069839</v>
      </c>
      <c r="AG539" s="701">
        <f t="shared" si="282"/>
        <v>-8.5009781908286719</v>
      </c>
      <c r="AH539" s="702">
        <f t="shared" si="283"/>
        <v>-41.724978130848662</v>
      </c>
      <c r="AJ539" s="174">
        <f t="shared" si="284"/>
        <v>0</v>
      </c>
      <c r="AK539" s="174">
        <f t="shared" si="296"/>
        <v>0</v>
      </c>
      <c r="AM539" s="174" t="str">
        <f t="shared" si="288"/>
        <v>0.872138097758079+0.991791981191156i</v>
      </c>
      <c r="AN539" s="174" t="str">
        <f t="shared" si="289"/>
        <v>1.442583440964i</v>
      </c>
      <c r="AO539" s="174" t="str">
        <f t="shared" si="290"/>
        <v>0.687510997997035-0.604566829891848i</v>
      </c>
      <c r="AP539" s="174" t="str">
        <f t="shared" si="291"/>
        <v>0.0213103170403202-0.165298663531859i</v>
      </c>
      <c r="AQ539" s="174" t="str">
        <f t="shared" si="292"/>
        <v>0.97868968295968+0.165298663531859i</v>
      </c>
      <c r="AR539" s="174" t="str">
        <f t="shared" si="293"/>
        <v>0.82753143609751-0.139768348230512i</v>
      </c>
    </row>
    <row r="540" spans="7:44" x14ac:dyDescent="0.2">
      <c r="G540" s="703">
        <v>80820.5</v>
      </c>
      <c r="H540" s="691">
        <f t="shared" si="285"/>
        <v>80.820499999999996</v>
      </c>
      <c r="I540" s="692">
        <f t="shared" si="265"/>
        <v>78.857976668730259</v>
      </c>
      <c r="J540" s="693">
        <f t="shared" si="266"/>
        <v>1.5581149615660983</v>
      </c>
      <c r="K540" s="693">
        <f t="shared" si="267"/>
        <v>1.0009531533597074</v>
      </c>
      <c r="L540" s="694">
        <f t="shared" si="268"/>
        <v>4.3643943234725119E-2</v>
      </c>
      <c r="M540" s="693">
        <f t="shared" si="269"/>
        <v>1.0053057765178688</v>
      </c>
      <c r="N540" s="694">
        <f t="shared" si="270"/>
        <v>-0.10278543532182656</v>
      </c>
      <c r="O540" s="692">
        <f t="shared" si="271"/>
        <v>146249.33113455004</v>
      </c>
      <c r="P540" s="695">
        <f t="shared" si="272"/>
        <v>1.5707894891567875</v>
      </c>
      <c r="Q540" s="704">
        <f t="shared" si="294"/>
        <v>60.945425918032832</v>
      </c>
      <c r="R540" s="705">
        <f t="shared" si="295"/>
        <v>1.5543874681897987</v>
      </c>
      <c r="S540" s="692">
        <f t="shared" si="273"/>
        <v>1.0793690531526159</v>
      </c>
      <c r="T540" s="695">
        <f t="shared" si="274"/>
        <v>0.38588107462726867</v>
      </c>
      <c r="U540" s="696">
        <f t="shared" si="286"/>
        <v>0.76648514825815284</v>
      </c>
      <c r="V540" s="697">
        <f t="shared" si="287"/>
        <v>-0.8927017546272753</v>
      </c>
      <c r="W540" s="698">
        <f t="shared" si="275"/>
        <v>-11.594896718808489</v>
      </c>
      <c r="X540" s="699">
        <f t="shared" si="276"/>
        <v>-166.8591358263624</v>
      </c>
      <c r="Y540" s="702">
        <f t="shared" si="277"/>
        <v>13.140864173637596</v>
      </c>
      <c r="AA540" s="174">
        <f t="shared" si="278"/>
        <v>80820.5</v>
      </c>
      <c r="AB540" s="174">
        <f t="shared" si="279"/>
        <v>6531953220.25</v>
      </c>
      <c r="AD540" s="701">
        <f t="shared" si="280"/>
        <v>26.941994984240409</v>
      </c>
      <c r="AE540" s="702">
        <f t="shared" si="281"/>
        <v>-23.049123573346261</v>
      </c>
      <c r="AG540" s="701">
        <f t="shared" si="282"/>
        <v>-8.5290985150524019</v>
      </c>
      <c r="AH540" s="702">
        <f t="shared" si="283"/>
        <v>-41.513926327993659</v>
      </c>
      <c r="AJ540" s="174">
        <f t="shared" si="284"/>
        <v>0</v>
      </c>
      <c r="AK540" s="174">
        <f t="shared" si="296"/>
        <v>0</v>
      </c>
      <c r="AM540" s="174" t="str">
        <f t="shared" si="288"/>
        <v>0.880377041472925+0.992819393340616i</v>
      </c>
      <c r="AN540" s="174" t="str">
        <f t="shared" si="289"/>
        <v>1.450886221539i</v>
      </c>
      <c r="AO540" s="174" t="str">
        <f t="shared" si="290"/>
        <v>0.684284803730166-0.606785720619141i</v>
      </c>
      <c r="AP540" s="174" t="str">
        <f t="shared" si="291"/>
        <v>0.0199371597545125-0.165469898890103i</v>
      </c>
      <c r="AQ540" s="174" t="str">
        <f t="shared" si="292"/>
        <v>0.980062840245488+0.165469898890103i</v>
      </c>
      <c r="AR540" s="174" t="str">
        <f t="shared" si="293"/>
        <v>0.826388792438457-0.139524185912869i</v>
      </c>
    </row>
    <row r="541" spans="7:44" x14ac:dyDescent="0.2">
      <c r="G541" s="703">
        <v>81283</v>
      </c>
      <c r="H541" s="691">
        <f t="shared" si="285"/>
        <v>81.283000000000001</v>
      </c>
      <c r="I541" s="692">
        <f t="shared" si="265"/>
        <v>79.309173653631916</v>
      </c>
      <c r="J541" s="693">
        <f t="shared" si="266"/>
        <v>1.5581871108222247</v>
      </c>
      <c r="K541" s="693">
        <f t="shared" si="267"/>
        <v>1.0009640882554629</v>
      </c>
      <c r="L541" s="694">
        <f t="shared" si="268"/>
        <v>4.3893378475787663E-2</v>
      </c>
      <c r="M541" s="693">
        <f t="shared" si="269"/>
        <v>1.0053665129573146</v>
      </c>
      <c r="N541" s="694">
        <f t="shared" si="270"/>
        <v>-0.10336946163472993</v>
      </c>
      <c r="O541" s="692">
        <f t="shared" si="271"/>
        <v>147086.25141649056</v>
      </c>
      <c r="P541" s="695">
        <f t="shared" si="272"/>
        <v>1.5707895280629256</v>
      </c>
      <c r="Q541" s="704">
        <f t="shared" si="294"/>
        <v>61.294096024191077</v>
      </c>
      <c r="R541" s="705">
        <f t="shared" si="295"/>
        <v>1.5544808179250897</v>
      </c>
      <c r="S541" s="692">
        <f t="shared" si="273"/>
        <v>1.0802461901997207</v>
      </c>
      <c r="T541" s="695">
        <f t="shared" si="274"/>
        <v>0.38787490943823794</v>
      </c>
      <c r="U541" s="696">
        <f t="shared" si="286"/>
        <v>0.76462211112956457</v>
      </c>
      <c r="V541" s="697">
        <f t="shared" si="287"/>
        <v>-0.89678157590223895</v>
      </c>
      <c r="W541" s="698">
        <f t="shared" si="275"/>
        <v>-11.672039703975578</v>
      </c>
      <c r="X541" s="699">
        <f t="shared" si="276"/>
        <v>-167.22508887417544</v>
      </c>
      <c r="Y541" s="702">
        <f t="shared" si="277"/>
        <v>12.774911125824559</v>
      </c>
      <c r="AA541" s="174">
        <f t="shared" si="278"/>
        <v>81283</v>
      </c>
      <c r="AB541" s="174">
        <f t="shared" si="279"/>
        <v>6606926089</v>
      </c>
      <c r="AD541" s="701">
        <f t="shared" si="280"/>
        <v>26.934926092704558</v>
      </c>
      <c r="AE541" s="702">
        <f t="shared" si="281"/>
        <v>-23.158015576492154</v>
      </c>
      <c r="AG541" s="701">
        <f t="shared" si="282"/>
        <v>-8.5568969476477754</v>
      </c>
      <c r="AH541" s="702">
        <f t="shared" si="283"/>
        <v>-41.303474291680381</v>
      </c>
      <c r="AJ541" s="174">
        <f t="shared" si="284"/>
        <v>0</v>
      </c>
      <c r="AK541" s="174">
        <f t="shared" si="296"/>
        <v>0</v>
      </c>
      <c r="AM541" s="174" t="str">
        <f t="shared" si="288"/>
        <v>0.888624231488439+0.99377836472146i</v>
      </c>
      <c r="AN541" s="174" t="str">
        <f t="shared" si="289"/>
        <v>1.459189002114i</v>
      </c>
      <c r="AO541" s="174" t="str">
        <f t="shared" si="290"/>
        <v>0.681048420240095-0.608985011675009i</v>
      </c>
      <c r="AP541" s="174" t="str">
        <f t="shared" si="291"/>
        <v>0.0185626280852602-0.165629727453577i</v>
      </c>
      <c r="AQ541" s="174" t="str">
        <f t="shared" si="292"/>
        <v>0.98143737191474+0.165629727453577i</v>
      </c>
      <c r="AR541" s="174" t="str">
        <f t="shared" si="293"/>
        <v>0.82525134996738-0.139271399365122i</v>
      </c>
    </row>
    <row r="542" spans="7:44" x14ac:dyDescent="0.2">
      <c r="G542" s="703">
        <v>81756.25</v>
      </c>
      <c r="H542" s="691">
        <f t="shared" si="285"/>
        <v>81.756249999999994</v>
      </c>
      <c r="I542" s="692">
        <f t="shared" si="265"/>
        <v>79.770858342264162</v>
      </c>
      <c r="J542" s="693">
        <f t="shared" si="266"/>
        <v>1.5582600922084204</v>
      </c>
      <c r="K542" s="693">
        <f t="shared" si="267"/>
        <v>1.0009753417782903</v>
      </c>
      <c r="L542" s="694">
        <f t="shared" si="268"/>
        <v>4.4148605743259212E-2</v>
      </c>
      <c r="M542" s="693">
        <f t="shared" si="269"/>
        <v>1.0054290160307111</v>
      </c>
      <c r="N542" s="694">
        <f t="shared" si="270"/>
        <v>-0.10396698936449725</v>
      </c>
      <c r="O542" s="692">
        <f t="shared" si="271"/>
        <v>147942.62444011969</v>
      </c>
      <c r="P542" s="695">
        <f t="shared" si="272"/>
        <v>1.5707895674177137</v>
      </c>
      <c r="Q542" s="704">
        <f t="shared" si="294"/>
        <v>61.650870901005796</v>
      </c>
      <c r="R542" s="705">
        <f t="shared" si="295"/>
        <v>1.5545752444216898</v>
      </c>
      <c r="S542" s="692">
        <f t="shared" si="273"/>
        <v>1.0811481527185705</v>
      </c>
      <c r="T542" s="695">
        <f t="shared" si="274"/>
        <v>0.3899117302500032</v>
      </c>
      <c r="U542" s="696">
        <f t="shared" si="286"/>
        <v>0.762717419257671</v>
      </c>
      <c r="V542" s="697">
        <f t="shared" si="287"/>
        <v>-0.90094451730557512</v>
      </c>
      <c r="W542" s="698">
        <f t="shared" si="275"/>
        <v>-11.750745318320245</v>
      </c>
      <c r="X542" s="699">
        <f t="shared" si="276"/>
        <v>-167.59869499587316</v>
      </c>
      <c r="Y542" s="702">
        <f t="shared" si="277"/>
        <v>12.40130500412684</v>
      </c>
      <c r="AA542" s="174">
        <f t="shared" si="278"/>
        <v>81756.25</v>
      </c>
      <c r="AB542" s="174">
        <f t="shared" si="279"/>
        <v>6684084414.0625</v>
      </c>
      <c r="AD542" s="701">
        <f t="shared" si="280"/>
        <v>26.927663402968022</v>
      </c>
      <c r="AE542" s="702">
        <f t="shared" si="281"/>
        <v>-23.269308827891763</v>
      </c>
      <c r="AG542" s="701">
        <f t="shared" si="282"/>
        <v>-8.5850123693899949</v>
      </c>
      <c r="AH542" s="702">
        <f t="shared" si="283"/>
        <v>-41.088749215890545</v>
      </c>
      <c r="AJ542" s="174">
        <f t="shared" si="284"/>
        <v>0</v>
      </c>
      <c r="AK542" s="174">
        <f t="shared" si="296"/>
        <v>0</v>
      </c>
      <c r="AM542" s="174" t="str">
        <f t="shared" si="288"/>
        <v>0.897071055917535+0.994688711341427i</v>
      </c>
      <c r="AN542" s="174" t="str">
        <f t="shared" si="289"/>
        <v>1.4676847662375i</v>
      </c>
      <c r="AO542" s="174" t="str">
        <f t="shared" si="290"/>
        <v>0.677726398899249-0.611215075984765i</v>
      </c>
      <c r="AP542" s="174" t="str">
        <f t="shared" si="291"/>
        <v>0.0171548240137442-0.165781451890238i</v>
      </c>
      <c r="AQ542" s="174" t="str">
        <f t="shared" si="292"/>
        <v>0.982845175986256+0.165781451890238i</v>
      </c>
      <c r="AR542" s="174" t="str">
        <f t="shared" si="293"/>
        <v>0.824092899489726-0.139003904895549i</v>
      </c>
    </row>
    <row r="543" spans="7:44" x14ac:dyDescent="0.2">
      <c r="G543" s="703">
        <v>82229.5</v>
      </c>
      <c r="H543" s="691">
        <f t="shared" si="285"/>
        <v>82.229500000000002</v>
      </c>
      <c r="I543" s="692">
        <f t="shared" si="265"/>
        <v>80.232543450888727</v>
      </c>
      <c r="J543" s="693">
        <f t="shared" si="266"/>
        <v>1.5583322336759871</v>
      </c>
      <c r="K543" s="693">
        <f t="shared" si="267"/>
        <v>1.0009866605041418</v>
      </c>
      <c r="L543" s="694">
        <f t="shared" si="268"/>
        <v>4.4403827255355882E-2</v>
      </c>
      <c r="M543" s="693">
        <f t="shared" si="269"/>
        <v>1.0054918780371638</v>
      </c>
      <c r="N543" s="694">
        <f t="shared" si="270"/>
        <v>-0.10456444259428889</v>
      </c>
      <c r="O543" s="692">
        <f t="shared" si="271"/>
        <v>148798.99746374905</v>
      </c>
      <c r="P543" s="695">
        <f t="shared" si="272"/>
        <v>1.5707896063195099</v>
      </c>
      <c r="Q543" s="704">
        <f t="shared" si="294"/>
        <v>62.007646321196411</v>
      </c>
      <c r="R543" s="705">
        <f t="shared" si="295"/>
        <v>1.5546685843094783</v>
      </c>
      <c r="S543" s="692">
        <f t="shared" si="273"/>
        <v>1.082054593042423</v>
      </c>
      <c r="T543" s="695">
        <f t="shared" si="274"/>
        <v>0.39194514698433036</v>
      </c>
      <c r="U543" s="696">
        <f t="shared" si="286"/>
        <v>0.76081446739878156</v>
      </c>
      <c r="V543" s="697">
        <f t="shared" si="287"/>
        <v>-0.90509567187706774</v>
      </c>
      <c r="W543" s="698">
        <f t="shared" si="275"/>
        <v>-11.829220364349773</v>
      </c>
      <c r="X543" s="699">
        <f t="shared" si="276"/>
        <v>-167.97144091215733</v>
      </c>
      <c r="Y543" s="702">
        <f t="shared" si="277"/>
        <v>12.028559087842666</v>
      </c>
      <c r="AA543" s="174">
        <f t="shared" si="278"/>
        <v>82229.5</v>
      </c>
      <c r="AB543" s="174">
        <f t="shared" si="279"/>
        <v>6761690670.25</v>
      </c>
      <c r="AD543" s="701">
        <f t="shared" si="280"/>
        <v>26.920371043869086</v>
      </c>
      <c r="AE543" s="702">
        <f t="shared" si="281"/>
        <v>-23.380469272165239</v>
      </c>
      <c r="AG543" s="701">
        <f t="shared" si="282"/>
        <v>-8.612798948702018</v>
      </c>
      <c r="AH543" s="702">
        <f t="shared" si="283"/>
        <v>-40.874647413251814</v>
      </c>
      <c r="AJ543" s="174">
        <f t="shared" si="284"/>
        <v>0</v>
      </c>
      <c r="AK543" s="174">
        <f t="shared" si="296"/>
        <v>0</v>
      </c>
      <c r="AM543" s="174" t="str">
        <f t="shared" si="288"/>
        <v>0.905525309508099+0.995527263743419i</v>
      </c>
      <c r="AN543" s="174" t="str">
        <f t="shared" si="289"/>
        <v>1.476180530361i</v>
      </c>
      <c r="AO543" s="174" t="str">
        <f t="shared" si="290"/>
        <v>0.674393980457094-0.613424503903091i</v>
      </c>
      <c r="AP543" s="174" t="str">
        <f t="shared" si="291"/>
        <v>0.0157457817486501-0.165921210623903i</v>
      </c>
      <c r="AQ543" s="174" t="str">
        <f t="shared" si="292"/>
        <v>0.98425421825135+0.165921210623903i</v>
      </c>
      <c r="AR543" s="174" t="str">
        <f t="shared" si="293"/>
        <v>0.822939986573535-0.138727572928959i</v>
      </c>
    </row>
    <row r="544" spans="7:44" x14ac:dyDescent="0.2">
      <c r="G544" s="703">
        <v>82702.75</v>
      </c>
      <c r="H544" s="691">
        <f t="shared" si="285"/>
        <v>82.702749999999995</v>
      </c>
      <c r="I544" s="692">
        <f t="shared" si="265"/>
        <v>80.694228972296756</v>
      </c>
      <c r="J544" s="693">
        <f t="shared" si="266"/>
        <v>1.5584035496407473</v>
      </c>
      <c r="K544" s="693">
        <f t="shared" si="267"/>
        <v>1.0009980444308058</v>
      </c>
      <c r="L544" s="694">
        <f t="shared" si="268"/>
        <v>4.465904297902424E-2</v>
      </c>
      <c r="M544" s="693">
        <f t="shared" si="269"/>
        <v>1.0055550989093569</v>
      </c>
      <c r="N544" s="694">
        <f t="shared" si="270"/>
        <v>-0.10516182091159476</v>
      </c>
      <c r="O544" s="692">
        <f t="shared" si="271"/>
        <v>149655.37048737862</v>
      </c>
      <c r="P544" s="695">
        <f t="shared" si="272"/>
        <v>1.5707896447760907</v>
      </c>
      <c r="Q544" s="704">
        <f t="shared" si="294"/>
        <v>62.364422275437256</v>
      </c>
      <c r="R544" s="705">
        <f t="shared" si="295"/>
        <v>1.5547608562357116</v>
      </c>
      <c r="S544" s="692">
        <f t="shared" si="273"/>
        <v>1.0829654999275329</v>
      </c>
      <c r="T544" s="695">
        <f t="shared" si="274"/>
        <v>0.39397515139452766</v>
      </c>
      <c r="U544" s="696">
        <f t="shared" si="286"/>
        <v>0.75891332743962026</v>
      </c>
      <c r="V544" s="697">
        <f t="shared" si="287"/>
        <v>-0.90923509632105615</v>
      </c>
      <c r="W544" s="698">
        <f t="shared" si="275"/>
        <v>-11.907467314861131</v>
      </c>
      <c r="X544" s="699">
        <f t="shared" si="276"/>
        <v>-168.34332913570782</v>
      </c>
      <c r="Y544" s="702">
        <f t="shared" si="277"/>
        <v>11.656670864292181</v>
      </c>
      <c r="AA544" s="174">
        <f t="shared" si="278"/>
        <v>82702.75</v>
      </c>
      <c r="AB544" s="174">
        <f t="shared" si="279"/>
        <v>6839744857.5625</v>
      </c>
      <c r="AD544" s="701">
        <f t="shared" si="280"/>
        <v>26.91304918052915</v>
      </c>
      <c r="AE544" s="702">
        <f t="shared" si="281"/>
        <v>-23.491495368848419</v>
      </c>
      <c r="AG544" s="701">
        <f t="shared" si="282"/>
        <v>-8.6402607247676997</v>
      </c>
      <c r="AH544" s="702">
        <f t="shared" si="283"/>
        <v>-40.661166439069397</v>
      </c>
      <c r="AJ544" s="174">
        <f t="shared" si="284"/>
        <v>0</v>
      </c>
      <c r="AK544" s="174">
        <f t="shared" si="296"/>
        <v>0</v>
      </c>
      <c r="AM544" s="174" t="str">
        <f t="shared" si="288"/>
        <v>0.913986382052619+0.996293961402759i</v>
      </c>
      <c r="AN544" s="174" t="str">
        <f t="shared" si="289"/>
        <v>1.4846762944845i</v>
      </c>
      <c r="AO544" s="174" t="str">
        <f t="shared" si="290"/>
        <v>0.671051302633404-0.615613238689157i</v>
      </c>
      <c r="AP544" s="174" t="str">
        <f t="shared" si="291"/>
        <v>0.0143356029912302-0.166048993567127i</v>
      </c>
      <c r="AQ544" s="174" t="str">
        <f t="shared" si="292"/>
        <v>0.98566439700877+0.166048993567127i</v>
      </c>
      <c r="AR544" s="174" t="str">
        <f t="shared" si="293"/>
        <v>0.821792655445081-0.138442500075711i</v>
      </c>
    </row>
    <row r="545" spans="7:44" x14ac:dyDescent="0.2">
      <c r="G545" s="703">
        <v>83176</v>
      </c>
      <c r="H545" s="691">
        <f t="shared" si="285"/>
        <v>83.176000000000002</v>
      </c>
      <c r="I545" s="692">
        <f t="shared" si="265"/>
        <v>81.155914899443445</v>
      </c>
      <c r="J545" s="693">
        <f t="shared" si="266"/>
        <v>1.5584740541905184</v>
      </c>
      <c r="K545" s="693">
        <f t="shared" si="267"/>
        <v>1.0010094935560574</v>
      </c>
      <c r="L545" s="694">
        <f t="shared" si="268"/>
        <v>4.4914252881215339E-2</v>
      </c>
      <c r="M545" s="693">
        <f t="shared" si="269"/>
        <v>1.0056186785796075</v>
      </c>
      <c r="N545" s="694">
        <f t="shared" si="270"/>
        <v>-0.1057591239042221</v>
      </c>
      <c r="O545" s="692">
        <f t="shared" si="271"/>
        <v>150511.74351100839</v>
      </c>
      <c r="P545" s="695">
        <f t="shared" si="272"/>
        <v>1.5707896827950554</v>
      </c>
      <c r="Q545" s="704">
        <f t="shared" si="294"/>
        <v>62.721198754614853</v>
      </c>
      <c r="R545" s="705">
        <f t="shared" si="295"/>
        <v>1.5548520784234354</v>
      </c>
      <c r="S545" s="692">
        <f t="shared" si="273"/>
        <v>1.0838808621126401</v>
      </c>
      <c r="T545" s="695">
        <f t="shared" si="274"/>
        <v>0.39600173537405209</v>
      </c>
      <c r="U545" s="696">
        <f t="shared" si="286"/>
        <v>0.75701406980890096</v>
      </c>
      <c r="V545" s="697">
        <f t="shared" si="287"/>
        <v>-0.91336284778556398</v>
      </c>
      <c r="W545" s="698">
        <f t="shared" si="275"/>
        <v>-11.985488594565492</v>
      </c>
      <c r="X545" s="699">
        <f t="shared" si="276"/>
        <v>-168.71436221817518</v>
      </c>
      <c r="Y545" s="702">
        <f t="shared" si="277"/>
        <v>11.285637781824818</v>
      </c>
      <c r="AA545" s="174">
        <f t="shared" si="278"/>
        <v>83176</v>
      </c>
      <c r="AB545" s="174">
        <f t="shared" si="279"/>
        <v>6918246976</v>
      </c>
      <c r="AD545" s="701">
        <f t="shared" si="280"/>
        <v>26.905697978221941</v>
      </c>
      <c r="AE545" s="702">
        <f t="shared" si="281"/>
        <v>-23.602385609802393</v>
      </c>
      <c r="AG545" s="701">
        <f t="shared" si="282"/>
        <v>-8.6674016705292285</v>
      </c>
      <c r="AH545" s="702">
        <f t="shared" si="283"/>
        <v>-40.448303804451861</v>
      </c>
      <c r="AJ545" s="174">
        <f t="shared" si="284"/>
        <v>0</v>
      </c>
      <c r="AK545" s="174">
        <f t="shared" si="296"/>
        <v>0</v>
      </c>
      <c r="AM545" s="174" t="str">
        <f t="shared" si="288"/>
        <v>0.922453662851404+0.996988748981069i</v>
      </c>
      <c r="AN545" s="174" t="str">
        <f t="shared" si="289"/>
        <v>1.493172058608i</v>
      </c>
      <c r="AO545" s="174" t="str">
        <f t="shared" si="290"/>
        <v>0.667698503486936-0.617781224563869i</v>
      </c>
      <c r="AP545" s="174" t="str">
        <f t="shared" si="291"/>
        <v>0.0129243895247659-0.166164791496845i</v>
      </c>
      <c r="AQ545" s="174" t="str">
        <f t="shared" si="292"/>
        <v>0.987075610475234+0.166164791496845i</v>
      </c>
      <c r="AR545" s="174" t="str">
        <f t="shared" si="293"/>
        <v>0.820650948889129-0.138148782491138i</v>
      </c>
    </row>
    <row r="546" spans="7:44" x14ac:dyDescent="0.2">
      <c r="G546" s="703">
        <v>83660.5</v>
      </c>
      <c r="H546" s="691">
        <f t="shared" si="285"/>
        <v>83.660499999999999</v>
      </c>
      <c r="I546" s="692">
        <f t="shared" si="265"/>
        <v>81.628576341001917</v>
      </c>
      <c r="J546" s="693">
        <f t="shared" si="266"/>
        <v>1.5585454085573092</v>
      </c>
      <c r="K546" s="693">
        <f t="shared" si="267"/>
        <v>1.0010212823870239</v>
      </c>
      <c r="L546" s="694">
        <f t="shared" si="268"/>
        <v>4.5175523514607768E-2</v>
      </c>
      <c r="M546" s="693">
        <f t="shared" si="269"/>
        <v>1.0056841412747661</v>
      </c>
      <c r="N546" s="694">
        <f t="shared" si="270"/>
        <v>-0.10637054739671849</v>
      </c>
      <c r="O546" s="692">
        <f t="shared" si="271"/>
        <v>151388.47405500995</v>
      </c>
      <c r="P546" s="695">
        <f t="shared" si="272"/>
        <v>1.5707897212722091</v>
      </c>
      <c r="Q546" s="704">
        <f t="shared" si="294"/>
        <v>63.086456984124545</v>
      </c>
      <c r="R546" s="705">
        <f t="shared" si="295"/>
        <v>1.5549444002542236</v>
      </c>
      <c r="S546" s="692">
        <f t="shared" si="273"/>
        <v>1.0848225877443902</v>
      </c>
      <c r="T546" s="695">
        <f t="shared" si="274"/>
        <v>0.39807294320450676</v>
      </c>
      <c r="U546" s="696">
        <f t="shared" si="286"/>
        <v>0.75507168542506309</v>
      </c>
      <c r="V546" s="697">
        <f t="shared" si="287"/>
        <v>-0.9175766909069959</v>
      </c>
      <c r="W546" s="698">
        <f t="shared" si="275"/>
        <v>-12.065133280935186</v>
      </c>
      <c r="X546" s="699">
        <f t="shared" si="276"/>
        <v>-169.09333225057148</v>
      </c>
      <c r="Y546" s="702">
        <f t="shared" si="277"/>
        <v>10.906667749428522</v>
      </c>
      <c r="AA546" s="174">
        <f t="shared" si="278"/>
        <v>83660.5</v>
      </c>
      <c r="AB546" s="174">
        <f t="shared" si="279"/>
        <v>6999079260.25</v>
      </c>
      <c r="AD546" s="701">
        <f t="shared" si="280"/>
        <v>26.898141803969299</v>
      </c>
      <c r="AE546" s="702">
        <f t="shared" si="281"/>
        <v>-23.715769630428877</v>
      </c>
      <c r="AG546" s="701">
        <f t="shared" si="282"/>
        <v>-8.6948595243273843</v>
      </c>
      <c r="AH546" s="702">
        <f t="shared" si="283"/>
        <v>-40.23101896289333</v>
      </c>
      <c r="AJ546" s="174">
        <f t="shared" si="284"/>
        <v>0</v>
      </c>
      <c r="AK546" s="174">
        <f t="shared" si="296"/>
        <v>0</v>
      </c>
      <c r="AM546" s="174" t="str">
        <f t="shared" si="288"/>
        <v>0.931128019326557+0.997625506028248i</v>
      </c>
      <c r="AN546" s="174" t="str">
        <f t="shared" si="289"/>
        <v>1.501869782259i</v>
      </c>
      <c r="AO546" s="174" t="str">
        <f t="shared" si="290"/>
        <v>0.664255661717685-0.619979195483928i</v>
      </c>
      <c r="AP546" s="174" t="str">
        <f t="shared" si="291"/>
        <v>0.0114786634455738-0.166270917671375i</v>
      </c>
      <c r="AQ546" s="174" t="str">
        <f t="shared" si="292"/>
        <v>0.988521336554426+0.166270917671375i</v>
      </c>
      <c r="AR546" s="174" t="str">
        <f t="shared" si="293"/>
        <v>0.819487971829449-0.137839227195309i</v>
      </c>
    </row>
    <row r="547" spans="7:44" x14ac:dyDescent="0.2">
      <c r="G547" s="703">
        <v>84145</v>
      </c>
      <c r="H547" s="691">
        <f t="shared" si="285"/>
        <v>84.144999999999996</v>
      </c>
      <c r="I547" s="692">
        <f t="shared" si="265"/>
        <v>82.101238193382514</v>
      </c>
      <c r="J547" s="693">
        <f t="shared" si="266"/>
        <v>1.5586159413415432</v>
      </c>
      <c r="K547" s="693">
        <f t="shared" si="267"/>
        <v>1.0010331395484373</v>
      </c>
      <c r="L547" s="694">
        <f t="shared" si="268"/>
        <v>4.5436787976372808E-2</v>
      </c>
      <c r="M547" s="693">
        <f t="shared" si="269"/>
        <v>1.0057499798845402</v>
      </c>
      <c r="N547" s="694">
        <f t="shared" si="270"/>
        <v>-0.10698189106747581</v>
      </c>
      <c r="O547" s="692">
        <f t="shared" si="271"/>
        <v>152265.20459901172</v>
      </c>
      <c r="P547" s="695">
        <f t="shared" si="272"/>
        <v>1.5707897593062663</v>
      </c>
      <c r="Q547" s="704">
        <f t="shared" si="294"/>
        <v>63.451715745149741</v>
      </c>
      <c r="R547" s="705">
        <f t="shared" si="295"/>
        <v>1.5550356591875729</v>
      </c>
      <c r="S547" s="692">
        <f t="shared" si="273"/>
        <v>1.085768959074183</v>
      </c>
      <c r="T547" s="695">
        <f t="shared" si="274"/>
        <v>0.40014054930481774</v>
      </c>
      <c r="U547" s="696">
        <f t="shared" si="286"/>
        <v>0.75313141869649913</v>
      </c>
      <c r="V547" s="697">
        <f t="shared" si="287"/>
        <v>-0.92177842205799476</v>
      </c>
      <c r="W547" s="698">
        <f t="shared" si="275"/>
        <v>-12.144546433943134</v>
      </c>
      <c r="X547" s="699">
        <f t="shared" si="276"/>
        <v>-169.47141153533931</v>
      </c>
      <c r="Y547" s="702">
        <f t="shared" si="277"/>
        <v>10.528588464660686</v>
      </c>
      <c r="AA547" s="174">
        <f t="shared" si="278"/>
        <v>84145</v>
      </c>
      <c r="AB547" s="174">
        <f t="shared" si="279"/>
        <v>7080381025</v>
      </c>
      <c r="AD547" s="701">
        <f t="shared" si="280"/>
        <v>26.890555230283123</v>
      </c>
      <c r="AE547" s="702">
        <f t="shared" si="281"/>
        <v>-23.829008161268778</v>
      </c>
      <c r="AG547" s="701">
        <f t="shared" si="282"/>
        <v>-8.7219893332367668</v>
      </c>
      <c r="AH547" s="702">
        <f t="shared" si="283"/>
        <v>-40.014376793069353</v>
      </c>
      <c r="AJ547" s="174">
        <f t="shared" si="284"/>
        <v>0</v>
      </c>
      <c r="AK547" s="174">
        <f t="shared" si="296"/>
        <v>0</v>
      </c>
      <c r="AM547" s="174" t="str">
        <f t="shared" si="288"/>
        <v>0.939807585961524+0.99818679278591i</v>
      </c>
      <c r="AN547" s="174" t="str">
        <f t="shared" si="289"/>
        <v>1.51056750591i</v>
      </c>
      <c r="AO547" s="174" t="str">
        <f t="shared" si="290"/>
        <v>0.660802505601747-0.622155304072533i</v>
      </c>
      <c r="AP547" s="174" t="str">
        <f t="shared" si="291"/>
        <v>0.0100320690064127-0.166364465464318i</v>
      </c>
      <c r="AQ547" s="174" t="str">
        <f t="shared" si="292"/>
        <v>0.989967930993587+0.166364465464318i</v>
      </c>
      <c r="AR547" s="174" t="str">
        <f t="shared" si="293"/>
        <v>0.818330976159066-0.137520813714599i</v>
      </c>
    </row>
    <row r="548" spans="7:44" x14ac:dyDescent="0.2">
      <c r="G548" s="703">
        <v>84629.5</v>
      </c>
      <c r="H548" s="691">
        <f t="shared" si="285"/>
        <v>84.629499999999993</v>
      </c>
      <c r="I548" s="692">
        <f t="shared" si="265"/>
        <v>82.573900449530441</v>
      </c>
      <c r="J548" s="693">
        <f t="shared" si="266"/>
        <v>1.5586856666510049</v>
      </c>
      <c r="K548" s="693">
        <f t="shared" si="267"/>
        <v>1.0010450650378697</v>
      </c>
      <c r="L548" s="694">
        <f t="shared" si="268"/>
        <v>4.5698046231063029E-2</v>
      </c>
      <c r="M548" s="693">
        <f t="shared" si="269"/>
        <v>1.0058161943351096</v>
      </c>
      <c r="N548" s="694">
        <f t="shared" si="270"/>
        <v>-0.10759315447524558</v>
      </c>
      <c r="O548" s="692">
        <f t="shared" si="271"/>
        <v>153141.93514301375</v>
      </c>
      <c r="P548" s="695">
        <f t="shared" si="272"/>
        <v>1.570789796904837</v>
      </c>
      <c r="Q548" s="704">
        <f t="shared" si="294"/>
        <v>63.816975028563988</v>
      </c>
      <c r="R548" s="705">
        <f t="shared" si="295"/>
        <v>1.5551258734725713</v>
      </c>
      <c r="S548" s="692">
        <f t="shared" si="273"/>
        <v>1.0867199639648837</v>
      </c>
      <c r="T548" s="695">
        <f t="shared" si="274"/>
        <v>0.40220454542983258</v>
      </c>
      <c r="U548" s="696">
        <f t="shared" si="286"/>
        <v>0.7511933405430179</v>
      </c>
      <c r="V548" s="697">
        <f t="shared" si="287"/>
        <v>-0.92596810391018991</v>
      </c>
      <c r="W548" s="698">
        <f t="shared" si="275"/>
        <v>-12.223730506930593</v>
      </c>
      <c r="X548" s="699">
        <f t="shared" si="276"/>
        <v>-169.84860293079231</v>
      </c>
      <c r="Y548" s="702">
        <f t="shared" si="277"/>
        <v>10.15139706920769</v>
      </c>
      <c r="AA548" s="174">
        <f t="shared" si="278"/>
        <v>84629.5</v>
      </c>
      <c r="AB548" s="174">
        <f t="shared" si="279"/>
        <v>7162152270.25</v>
      </c>
      <c r="AD548" s="701">
        <f t="shared" si="280"/>
        <v>26.88293843490554</v>
      </c>
      <c r="AE548" s="702">
        <f t="shared" si="281"/>
        <v>-23.94209968474993</v>
      </c>
      <c r="AG548" s="701">
        <f t="shared" si="282"/>
        <v>-8.7487951531589196</v>
      </c>
      <c r="AH548" s="702">
        <f t="shared" si="283"/>
        <v>-39.798374489225885</v>
      </c>
      <c r="AJ548" s="174">
        <f t="shared" si="284"/>
        <v>0</v>
      </c>
      <c r="AK548" s="174">
        <f t="shared" si="296"/>
        <v>0</v>
      </c>
      <c r="AM548" s="174" t="str">
        <f t="shared" si="288"/>
        <v>0.948491706147785+0.998672566792757i</v>
      </c>
      <c r="AN548" s="174" t="str">
        <f t="shared" si="289"/>
        <v>1.519265229561i</v>
      </c>
      <c r="AO548" s="174" t="str">
        <f t="shared" si="290"/>
        <v>0.65733918433803-0.624309493624005i</v>
      </c>
      <c r="AP548" s="174" t="str">
        <f t="shared" si="291"/>
        <v>0.0085847156420358-0.166445427798793i</v>
      </c>
      <c r="AQ548" s="174" t="str">
        <f t="shared" si="292"/>
        <v>0.991415284357964+0.166445427798793i</v>
      </c>
      <c r="AR548" s="174" t="str">
        <f t="shared" si="293"/>
        <v>0.817180003248002-0.137193643647844i</v>
      </c>
    </row>
    <row r="549" spans="7:44" x14ac:dyDescent="0.2">
      <c r="G549" s="703">
        <v>85114</v>
      </c>
      <c r="H549" s="691">
        <f t="shared" si="285"/>
        <v>85.114000000000004</v>
      </c>
      <c r="I549" s="692">
        <f t="shared" si="265"/>
        <v>83.046563102551531</v>
      </c>
      <c r="J549" s="693">
        <f t="shared" si="266"/>
        <v>1.5587545982723297</v>
      </c>
      <c r="K549" s="693">
        <f t="shared" si="267"/>
        <v>1.0010570588528787</v>
      </c>
      <c r="L549" s="694">
        <f t="shared" si="268"/>
        <v>4.5959298243236087E-2</v>
      </c>
      <c r="M549" s="693">
        <f t="shared" si="269"/>
        <v>1.0058827845522533</v>
      </c>
      <c r="N549" s="694">
        <f t="shared" si="270"/>
        <v>-0.10820433717913502</v>
      </c>
      <c r="O549" s="692">
        <f t="shared" si="271"/>
        <v>154018.66568701595</v>
      </c>
      <c r="P549" s="695">
        <f t="shared" si="272"/>
        <v>1.5707898340753581</v>
      </c>
      <c r="Q549" s="704">
        <f t="shared" si="294"/>
        <v>64.182234825448589</v>
      </c>
      <c r="R549" s="705">
        <f t="shared" si="295"/>
        <v>1.5552150609429558</v>
      </c>
      <c r="S549" s="692">
        <f t="shared" si="273"/>
        <v>1.0876755902624853</v>
      </c>
      <c r="T549" s="695">
        <f t="shared" si="274"/>
        <v>0.40426492348619419</v>
      </c>
      <c r="U549" s="696">
        <f t="shared" si="286"/>
        <v>0.74925752034883797</v>
      </c>
      <c r="V549" s="697">
        <f t="shared" si="287"/>
        <v>-0.93014579955942844</v>
      </c>
      <c r="W549" s="698">
        <f t="shared" si="275"/>
        <v>-12.302687905818409</v>
      </c>
      <c r="X549" s="699">
        <f t="shared" si="276"/>
        <v>-170.22490933365452</v>
      </c>
      <c r="Y549" s="702">
        <f t="shared" si="277"/>
        <v>9.7750906663454771</v>
      </c>
      <c r="AA549" s="174">
        <f t="shared" si="278"/>
        <v>85114</v>
      </c>
      <c r="AB549" s="174">
        <f t="shared" si="279"/>
        <v>7244392996</v>
      </c>
      <c r="AD549" s="701">
        <f t="shared" si="280"/>
        <v>26.875291595681674</v>
      </c>
      <c r="AE549" s="702">
        <f t="shared" si="281"/>
        <v>-24.055042715785369</v>
      </c>
      <c r="AG549" s="701">
        <f t="shared" si="282"/>
        <v>-8.7752809729176846</v>
      </c>
      <c r="AH549" s="702">
        <f t="shared" si="283"/>
        <v>-39.583009202922604</v>
      </c>
      <c r="AJ549" s="174">
        <f t="shared" si="284"/>
        <v>0</v>
      </c>
      <c r="AK549" s="174">
        <f t="shared" si="296"/>
        <v>0</v>
      </c>
      <c r="AM549" s="174" t="str">
        <f t="shared" si="288"/>
        <v>0.957179722932345+0.999082791300025i</v>
      </c>
      <c r="AN549" s="174" t="str">
        <f t="shared" si="289"/>
        <v>1.527962953212i</v>
      </c>
      <c r="AO549" s="174" t="str">
        <f t="shared" si="290"/>
        <v>0.653865847466922-0.626441708498373i</v>
      </c>
      <c r="AP549" s="174" t="str">
        <f t="shared" si="291"/>
        <v>0.00713671284460915-0.166513798550004i</v>
      </c>
      <c r="AQ549" s="174" t="str">
        <f t="shared" si="292"/>
        <v>0.992863287155391+0.166513798550004i</v>
      </c>
      <c r="AR549" s="174" t="str">
        <f t="shared" si="293"/>
        <v>0.816035092988109-0.136857818031385i</v>
      </c>
    </row>
    <row r="550" spans="7:44" x14ac:dyDescent="0.2">
      <c r="G550" s="703">
        <v>85609.5</v>
      </c>
      <c r="H550" s="691">
        <f t="shared" si="285"/>
        <v>85.609499999999997</v>
      </c>
      <c r="I550" s="692">
        <f t="shared" si="265"/>
        <v>83.52995740606697</v>
      </c>
      <c r="J550" s="693">
        <f t="shared" si="266"/>
        <v>1.5588242880229455</v>
      </c>
      <c r="K550" s="693">
        <f t="shared" si="267"/>
        <v>1.0010693956407895</v>
      </c>
      <c r="L550" s="694">
        <f t="shared" si="268"/>
        <v>4.6226475179992059E-2</v>
      </c>
      <c r="M550" s="693">
        <f t="shared" si="269"/>
        <v>1.0059512752042468</v>
      </c>
      <c r="N550" s="694">
        <f t="shared" si="270"/>
        <v>-0.10882931213191682</v>
      </c>
      <c r="O550" s="692">
        <f t="shared" si="271"/>
        <v>154915.30136204837</v>
      </c>
      <c r="P550" s="695">
        <f t="shared" si="272"/>
        <v>1.5707898716546282</v>
      </c>
      <c r="Q550" s="704">
        <f t="shared" si="294"/>
        <v>64.555787936425617</v>
      </c>
      <c r="R550" s="705">
        <f t="shared" si="295"/>
        <v>1.5553052294236185</v>
      </c>
      <c r="S550" s="692">
        <f t="shared" si="273"/>
        <v>1.0886576802260817</v>
      </c>
      <c r="T550" s="695">
        <f t="shared" si="274"/>
        <v>0.4063683294986824</v>
      </c>
      <c r="U550" s="696">
        <f t="shared" si="286"/>
        <v>0.74728015579884643</v>
      </c>
      <c r="V550" s="697">
        <f t="shared" si="287"/>
        <v>-0.93440601354413044</v>
      </c>
      <c r="W550" s="698">
        <f t="shared" si="275"/>
        <v>-12.383205946019435</v>
      </c>
      <c r="X550" s="699">
        <f t="shared" si="276"/>
        <v>-170.60884702692582</v>
      </c>
      <c r="Y550" s="702">
        <f t="shared" si="277"/>
        <v>9.3911529730741847</v>
      </c>
      <c r="AA550" s="174">
        <f t="shared" si="278"/>
        <v>85609.5</v>
      </c>
      <c r="AB550" s="174">
        <f t="shared" si="279"/>
        <v>7328986490.25</v>
      </c>
      <c r="AD550" s="701">
        <f t="shared" si="280"/>
        <v>26.867440254685672</v>
      </c>
      <c r="AE550" s="702">
        <f t="shared" si="281"/>
        <v>-24.170394882781693</v>
      </c>
      <c r="AG550" s="701">
        <f t="shared" si="282"/>
        <v>-8.802041229474213</v>
      </c>
      <c r="AH550" s="702">
        <f t="shared" si="283"/>
        <v>-39.363410166347684</v>
      </c>
      <c r="AJ550" s="174">
        <f t="shared" si="284"/>
        <v>0</v>
      </c>
      <c r="AK550" s="174">
        <f t="shared" si="296"/>
        <v>0</v>
      </c>
      <c r="AM550" s="174" t="str">
        <f t="shared" si="288"/>
        <v>0.966068336229626+0.999424155298327i</v>
      </c>
      <c r="AN550" s="174" t="str">
        <f t="shared" si="289"/>
        <v>1.536858148401i</v>
      </c>
      <c r="AO550" s="174" t="str">
        <f t="shared" si="290"/>
        <v>0.650303449500634-0.628599547222206i</v>
      </c>
      <c r="AP550" s="174" t="str">
        <f t="shared" si="291"/>
        <v>0.00565527729506228-0.166570692549721i</v>
      </c>
      <c r="AQ550" s="174" t="str">
        <f t="shared" si="292"/>
        <v>0.994344722704938+0.166570692549721i</v>
      </c>
      <c r="AR550" s="174" t="str">
        <f t="shared" si="293"/>
        <v>0.814870499626823-0.136505520029249i</v>
      </c>
    </row>
    <row r="551" spans="7:44" x14ac:dyDescent="0.2">
      <c r="G551" s="703">
        <v>86105</v>
      </c>
      <c r="H551" s="691">
        <f t="shared" si="285"/>
        <v>86.105000000000004</v>
      </c>
      <c r="I551" s="692">
        <f t="shared" si="265"/>
        <v>84.013352110590759</v>
      </c>
      <c r="J551" s="693">
        <f t="shared" si="266"/>
        <v>1.5588931758143099</v>
      </c>
      <c r="K551" s="693">
        <f t="shared" si="267"/>
        <v>1.0010818038867888</v>
      </c>
      <c r="L551" s="694">
        <f t="shared" si="268"/>
        <v>4.6493645512589929E-2</v>
      </c>
      <c r="M551" s="693">
        <f t="shared" si="269"/>
        <v>1.0060201587208728</v>
      </c>
      <c r="N551" s="694">
        <f t="shared" si="270"/>
        <v>-0.10945420174304321</v>
      </c>
      <c r="O551" s="692">
        <f t="shared" si="271"/>
        <v>155811.93703708099</v>
      </c>
      <c r="P551" s="695">
        <f t="shared" si="272"/>
        <v>1.570789908801391</v>
      </c>
      <c r="Q551" s="704">
        <f t="shared" si="294"/>
        <v>64.929341566224807</v>
      </c>
      <c r="R551" s="705">
        <f t="shared" si="295"/>
        <v>1.5553943603844442</v>
      </c>
      <c r="S551" s="692">
        <f t="shared" si="273"/>
        <v>1.0896445780614989</v>
      </c>
      <c r="T551" s="695">
        <f t="shared" si="274"/>
        <v>0.40846793465082615</v>
      </c>
      <c r="U551" s="696">
        <f t="shared" si="286"/>
        <v>0.74530529484617447</v>
      </c>
      <c r="V551" s="697">
        <f t="shared" si="287"/>
        <v>-0.93865382566004008</v>
      </c>
      <c r="W551" s="698">
        <f t="shared" si="275"/>
        <v>-12.463491846079327</v>
      </c>
      <c r="X551" s="699">
        <f t="shared" si="276"/>
        <v>-170.99186533272021</v>
      </c>
      <c r="Y551" s="702">
        <f t="shared" si="277"/>
        <v>9.0081346672797906</v>
      </c>
      <c r="AA551" s="174">
        <f t="shared" si="278"/>
        <v>86105</v>
      </c>
      <c r="AB551" s="174">
        <f t="shared" si="279"/>
        <v>7414071025</v>
      </c>
      <c r="AD551" s="701">
        <f t="shared" si="280"/>
        <v>26.859557866647904</v>
      </c>
      <c r="AE551" s="702">
        <f t="shared" si="281"/>
        <v>-24.285588697248553</v>
      </c>
      <c r="AG551" s="701">
        <f t="shared" si="282"/>
        <v>-8.8284750201974873</v>
      </c>
      <c r="AH551" s="702">
        <f t="shared" si="283"/>
        <v>-39.144471244306651</v>
      </c>
      <c r="AJ551" s="174">
        <f t="shared" si="284"/>
        <v>0</v>
      </c>
      <c r="AK551" s="174">
        <f t="shared" si="296"/>
        <v>0</v>
      </c>
      <c r="AM551" s="174" t="str">
        <f t="shared" si="288"/>
        <v>0.974959634335048+0.999686440884023i</v>
      </c>
      <c r="AN551" s="174" t="str">
        <f t="shared" si="289"/>
        <v>1.54575334359i</v>
      </c>
      <c r="AO551" s="174" t="str">
        <f t="shared" si="290"/>
        <v>0.646730893405192-0.630734287833214i</v>
      </c>
      <c r="AP551" s="174" t="str">
        <f t="shared" si="291"/>
        <v>0.00417339427749197-0.166614406814004i</v>
      </c>
      <c r="AQ551" s="174" t="str">
        <f t="shared" si="292"/>
        <v>0.995826605722508+0.166614406814004i</v>
      </c>
      <c r="AR551" s="174" t="str">
        <f t="shared" si="293"/>
        <v>0.813712327108352-0.136144380878472i</v>
      </c>
    </row>
    <row r="552" spans="7:44" x14ac:dyDescent="0.2">
      <c r="G552" s="703">
        <v>86600.5</v>
      </c>
      <c r="H552" s="691">
        <f t="shared" si="285"/>
        <v>86.600499999999997</v>
      </c>
      <c r="I552" s="692">
        <f t="shared" si="265"/>
        <v>84.496747209240567</v>
      </c>
      <c r="J552" s="693">
        <f t="shared" si="266"/>
        <v>1.5589612754094826</v>
      </c>
      <c r="K552" s="693">
        <f t="shared" si="267"/>
        <v>1.0010942835882195</v>
      </c>
      <c r="L552" s="694">
        <f t="shared" si="268"/>
        <v>4.6760809203134732E-2</v>
      </c>
      <c r="M552" s="693">
        <f t="shared" si="269"/>
        <v>1.0060894350214364</v>
      </c>
      <c r="N552" s="694">
        <f t="shared" si="270"/>
        <v>-0.11007900554207112</v>
      </c>
      <c r="O552" s="692">
        <f t="shared" si="271"/>
        <v>156708.57271211385</v>
      </c>
      <c r="P552" s="695">
        <f t="shared" si="272"/>
        <v>1.5707899455230703</v>
      </c>
      <c r="Q552" s="704">
        <f t="shared" si="294"/>
        <v>65.302895705942689</v>
      </c>
      <c r="R552" s="705">
        <f t="shared" si="295"/>
        <v>1.5554824716288731</v>
      </c>
      <c r="S552" s="692">
        <f t="shared" si="273"/>
        <v>1.0906362707170572</v>
      </c>
      <c r="T552" s="695">
        <f t="shared" si="274"/>
        <v>0.41056373077425123</v>
      </c>
      <c r="U552" s="696">
        <f t="shared" si="286"/>
        <v>0.74333300683650627</v>
      </c>
      <c r="V552" s="697">
        <f t="shared" si="287"/>
        <v>-0.94288930467664567</v>
      </c>
      <c r="W552" s="698">
        <f t="shared" si="275"/>
        <v>-12.543548033763052</v>
      </c>
      <c r="X552" s="699">
        <f t="shared" si="276"/>
        <v>-171.37396746737113</v>
      </c>
      <c r="Y552" s="702">
        <f t="shared" si="277"/>
        <v>8.6260325326288694</v>
      </c>
      <c r="AA552" s="174">
        <f t="shared" si="278"/>
        <v>86600.5</v>
      </c>
      <c r="AB552" s="174">
        <f t="shared" si="279"/>
        <v>7499646600.25</v>
      </c>
      <c r="AD552" s="701">
        <f t="shared" si="280"/>
        <v>26.851644622037661</v>
      </c>
      <c r="AE552" s="702">
        <f t="shared" si="281"/>
        <v>-24.400622671535956</v>
      </c>
      <c r="AG552" s="701">
        <f t="shared" si="282"/>
        <v>-8.85458640277505</v>
      </c>
      <c r="AH552" s="702">
        <f t="shared" si="283"/>
        <v>-38.926189260380141</v>
      </c>
      <c r="AJ552" s="174">
        <f t="shared" si="284"/>
        <v>0</v>
      </c>
      <c r="AK552" s="174">
        <f t="shared" si="296"/>
        <v>0</v>
      </c>
      <c r="AM552" s="174" t="str">
        <f t="shared" si="288"/>
        <v>0.983852913733755+0.999869627304035i</v>
      </c>
      <c r="AN552" s="174" t="str">
        <f t="shared" si="289"/>
        <v>1.554648538779i</v>
      </c>
      <c r="AO552" s="174" t="str">
        <f t="shared" si="290"/>
        <v>0.643148340196119-0.632845874287741i</v>
      </c>
      <c r="AP552" s="174" t="str">
        <f t="shared" si="291"/>
        <v>0.0026911810443741-0.166644937884006i</v>
      </c>
      <c r="AQ552" s="174" t="str">
        <f t="shared" si="292"/>
        <v>0.997308818955626+0.166644937884006i</v>
      </c>
      <c r="AR552" s="174" t="str">
        <f t="shared" si="293"/>
        <v>0.812560613478649-0.135774506738984i</v>
      </c>
    </row>
    <row r="553" spans="7:44" x14ac:dyDescent="0.2">
      <c r="G553" s="703">
        <v>87096</v>
      </c>
      <c r="H553" s="691">
        <f t="shared" si="285"/>
        <v>87.096000000000004</v>
      </c>
      <c r="I553" s="692">
        <f t="shared" si="265"/>
        <v>84.980142695290638</v>
      </c>
      <c r="J553" s="693">
        <f t="shared" si="266"/>
        <v>1.5590286002583975</v>
      </c>
      <c r="K553" s="693">
        <f t="shared" si="267"/>
        <v>1.0011068347424095</v>
      </c>
      <c r="L553" s="694">
        <f t="shared" si="268"/>
        <v>4.7027966213737213E-2</v>
      </c>
      <c r="M553" s="693">
        <f t="shared" si="269"/>
        <v>1.0061591040248059</v>
      </c>
      <c r="N553" s="694">
        <f t="shared" si="270"/>
        <v>-0.11070372305895469</v>
      </c>
      <c r="O553" s="692">
        <f t="shared" si="271"/>
        <v>157605.20838714691</v>
      </c>
      <c r="P553" s="695">
        <f t="shared" si="272"/>
        <v>1.5707899818269211</v>
      </c>
      <c r="Q553" s="704">
        <f t="shared" si="294"/>
        <v>65.676450346878312</v>
      </c>
      <c r="R553" s="705">
        <f t="shared" si="295"/>
        <v>1.5555695805553598</v>
      </c>
      <c r="S553" s="692">
        <f t="shared" si="273"/>
        <v>1.0916327451252086</v>
      </c>
      <c r="T553" s="695">
        <f t="shared" si="274"/>
        <v>0.41265570986403799</v>
      </c>
      <c r="U553" s="696">
        <f t="shared" si="286"/>
        <v>0.74136335951094867</v>
      </c>
      <c r="V553" s="697">
        <f t="shared" si="287"/>
        <v>-0.94711251976167454</v>
      </c>
      <c r="W553" s="698">
        <f t="shared" si="275"/>
        <v>-12.623376890309718</v>
      </c>
      <c r="X553" s="699">
        <f t="shared" si="276"/>
        <v>-171.75515668467074</v>
      </c>
      <c r="Y553" s="702">
        <f t="shared" si="277"/>
        <v>8.2448433153292626</v>
      </c>
      <c r="AA553" s="174">
        <f t="shared" si="278"/>
        <v>87096</v>
      </c>
      <c r="AB553" s="174">
        <f t="shared" si="279"/>
        <v>7585713216</v>
      </c>
      <c r="AD553" s="701">
        <f t="shared" si="280"/>
        <v>26.843700711370076</v>
      </c>
      <c r="AE553" s="702">
        <f t="shared" si="281"/>
        <v>-24.515495350553444</v>
      </c>
      <c r="AG553" s="701">
        <f t="shared" si="282"/>
        <v>-8.8803793672362161</v>
      </c>
      <c r="AH553" s="702">
        <f t="shared" si="283"/>
        <v>-38.708560997412974</v>
      </c>
      <c r="AJ553" s="174">
        <f t="shared" si="284"/>
        <v>0</v>
      </c>
      <c r="AK553" s="174">
        <f t="shared" si="296"/>
        <v>0</v>
      </c>
      <c r="AM553" s="174" t="str">
        <f t="shared" si="288"/>
        <v>0.992747470754124+0.999973700063925i</v>
      </c>
      <c r="AN553" s="174" t="str">
        <f t="shared" si="289"/>
        <v>1.563543733968i</v>
      </c>
      <c r="AO553" s="174" t="str">
        <f t="shared" si="290"/>
        <v>0.639555951227643-0.634934251717222i</v>
      </c>
      <c r="AP553" s="174" t="str">
        <f t="shared" si="291"/>
        <v>0.00120875487431264-0.166662283343987i</v>
      </c>
      <c r="AQ553" s="174" t="str">
        <f t="shared" si="292"/>
        <v>0.998791245125687+0.166662283343987i</v>
      </c>
      <c r="AR553" s="174" t="str">
        <f t="shared" si="293"/>
        <v>0.811415395282357-0.135396003096927i</v>
      </c>
    </row>
    <row r="554" spans="7:44" x14ac:dyDescent="0.2">
      <c r="G554" s="703">
        <v>87603.25</v>
      </c>
      <c r="H554" s="691">
        <f t="shared" si="285"/>
        <v>87.603250000000003</v>
      </c>
      <c r="I554" s="692">
        <f t="shared" si="265"/>
        <v>85.475001536334887</v>
      </c>
      <c r="J554" s="693">
        <f t="shared" si="266"/>
        <v>1.559096732810616</v>
      </c>
      <c r="K554" s="693">
        <f t="shared" si="267"/>
        <v>1.0011197575390272</v>
      </c>
      <c r="L554" s="694">
        <f t="shared" si="268"/>
        <v>4.7301451471969527E-2</v>
      </c>
      <c r="M554" s="693">
        <f t="shared" si="269"/>
        <v>1.0062308318151134</v>
      </c>
      <c r="N554" s="694">
        <f t="shared" si="270"/>
        <v>-0.11134316489939124</v>
      </c>
      <c r="O554" s="692">
        <f t="shared" si="271"/>
        <v>158523.10636123494</v>
      </c>
      <c r="P554" s="695">
        <f t="shared" si="272"/>
        <v>1.5707900185662544</v>
      </c>
      <c r="Q554" s="704">
        <f t="shared" si="294"/>
        <v>66.058863756511016</v>
      </c>
      <c r="R554" s="705">
        <f t="shared" si="295"/>
        <v>1.5556577346315574</v>
      </c>
      <c r="S554" s="692">
        <f t="shared" si="273"/>
        <v>1.0926577888758988</v>
      </c>
      <c r="T554" s="695">
        <f t="shared" si="274"/>
        <v>0.41479333486851505</v>
      </c>
      <c r="U554" s="696">
        <f t="shared" si="286"/>
        <v>0.73934980952501828</v>
      </c>
      <c r="V554" s="697">
        <f t="shared" si="287"/>
        <v>-0.95142325072899014</v>
      </c>
      <c r="W554" s="698">
        <f t="shared" si="275"/>
        <v>-12.704865719434991</v>
      </c>
      <c r="X554" s="699">
        <f t="shared" si="276"/>
        <v>-172.1444429909279</v>
      </c>
      <c r="Y554" s="702">
        <f t="shared" si="277"/>
        <v>7.8555570090721005</v>
      </c>
      <c r="AA554" s="174">
        <f t="shared" si="278"/>
        <v>87603.25</v>
      </c>
      <c r="AB554" s="174">
        <f t="shared" si="279"/>
        <v>7674329410.5625</v>
      </c>
      <c r="AD554" s="701">
        <f t="shared" si="280"/>
        <v>26.835536856867396</v>
      </c>
      <c r="AE554" s="702">
        <f t="shared" si="281"/>
        <v>-24.632923490121538</v>
      </c>
      <c r="AG554" s="701">
        <f t="shared" si="282"/>
        <v>-8.9064582334165987</v>
      </c>
      <c r="AH554" s="702">
        <f t="shared" si="283"/>
        <v>-38.486445781450549</v>
      </c>
      <c r="AJ554" s="174">
        <f t="shared" si="284"/>
        <v>0</v>
      </c>
      <c r="AK554" s="174">
        <f t="shared" si="296"/>
        <v>0</v>
      </c>
      <c r="AM554" s="174" t="str">
        <f t="shared" si="288"/>
        <v>1.00185353680727+0.999998282199177i</v>
      </c>
      <c r="AN554" s="174" t="str">
        <f t="shared" si="289"/>
        <v>1.5726498646635i</v>
      </c>
      <c r="AO554" s="174" t="str">
        <f t="shared" si="290"/>
        <v>0.635868354850332-0.637048054572298i</v>
      </c>
      <c r="AP554" s="174" t="str">
        <f t="shared" si="291"/>
        <v>-0.000308922801211177-0.16666638036653i</v>
      </c>
      <c r="AQ554" s="174" t="str">
        <f t="shared" si="292"/>
        <v>1.00030892280121+0.16666638036653i</v>
      </c>
      <c r="AR554" s="174" t="str">
        <f t="shared" si="293"/>
        <v>0.810249784955913-0.134999694367615i</v>
      </c>
    </row>
    <row r="555" spans="7:44" x14ac:dyDescent="0.2">
      <c r="G555" s="703">
        <v>88110.5</v>
      </c>
      <c r="H555" s="691">
        <f t="shared" si="285"/>
        <v>88.110500000000002</v>
      </c>
      <c r="I555" s="692">
        <f t="shared" si="265"/>
        <v>85.969860769590042</v>
      </c>
      <c r="J555" s="693">
        <f t="shared" si="266"/>
        <v>1.5591640809947096</v>
      </c>
      <c r="K555" s="693">
        <f t="shared" si="267"/>
        <v>1.0011327552116462</v>
      </c>
      <c r="L555" s="694">
        <f t="shared" si="268"/>
        <v>4.7574929649356307E-2</v>
      </c>
      <c r="M555" s="693">
        <f t="shared" si="269"/>
        <v>1.0063029709802365</v>
      </c>
      <c r="N555" s="694">
        <f t="shared" si="270"/>
        <v>-0.11198251532147174</v>
      </c>
      <c r="O555" s="692">
        <f t="shared" si="271"/>
        <v>159441.00433532317</v>
      </c>
      <c r="P555" s="695">
        <f t="shared" si="272"/>
        <v>1.5707900548825728</v>
      </c>
      <c r="Q555" s="704">
        <f t="shared" si="294"/>
        <v>66.441277673587109</v>
      </c>
      <c r="R555" s="705">
        <f t="shared" si="295"/>
        <v>1.5557448739372848</v>
      </c>
      <c r="S555" s="692">
        <f t="shared" si="273"/>
        <v>1.0936878160892918</v>
      </c>
      <c r="T555" s="695">
        <f t="shared" si="274"/>
        <v>0.41692694320782819</v>
      </c>
      <c r="U555" s="696">
        <f t="shared" si="286"/>
        <v>0.73733916554580403</v>
      </c>
      <c r="V555" s="697">
        <f t="shared" si="287"/>
        <v>-0.95572127713223254</v>
      </c>
      <c r="W555" s="698">
        <f t="shared" si="275"/>
        <v>-12.786121214176287</v>
      </c>
      <c r="X555" s="699">
        <f t="shared" si="276"/>
        <v>-172.53277958598204</v>
      </c>
      <c r="Y555" s="702">
        <f t="shared" si="277"/>
        <v>7.4672204140179588</v>
      </c>
      <c r="AA555" s="174">
        <f t="shared" si="278"/>
        <v>88110.5</v>
      </c>
      <c r="AB555" s="174">
        <f t="shared" si="279"/>
        <v>7763460210.25</v>
      </c>
      <c r="AD555" s="701">
        <f t="shared" si="280"/>
        <v>26.827341268797067</v>
      </c>
      <c r="AE555" s="702">
        <f t="shared" si="281"/>
        <v>-24.750179609555975</v>
      </c>
      <c r="AG555" s="701">
        <f t="shared" si="282"/>
        <v>-8.932211651606389</v>
      </c>
      <c r="AH555" s="702">
        <f t="shared" si="283"/>
        <v>-38.265008710224301</v>
      </c>
      <c r="AJ555" s="174">
        <f t="shared" si="284"/>
        <v>0</v>
      </c>
      <c r="AK555" s="174">
        <f t="shared" si="296"/>
        <v>0</v>
      </c>
      <c r="AM555" s="174" t="str">
        <f t="shared" si="288"/>
        <v>1.0109594491632+0.999939943433624i</v>
      </c>
      <c r="AN555" s="174" t="str">
        <f t="shared" si="289"/>
        <v>1.581755995359i</v>
      </c>
      <c r="AO555" s="174" t="str">
        <f t="shared" si="290"/>
        <v>0.632170793957809-0.63913742203566i</v>
      </c>
      <c r="AP555" s="174" t="str">
        <f t="shared" si="291"/>
        <v>-0.001826574860534-0.166656657238937i</v>
      </c>
      <c r="AQ555" s="174" t="str">
        <f t="shared" si="292"/>
        <v>1.00182657486053+0.166656657238937i</v>
      </c>
      <c r="AR555" s="174" t="str">
        <f t="shared" si="293"/>
        <v>0.809091054582287-0.134594563512534i</v>
      </c>
    </row>
    <row r="556" spans="7:44" x14ac:dyDescent="0.2">
      <c r="G556" s="703">
        <v>88617.75</v>
      </c>
      <c r="H556" s="691">
        <f t="shared" si="285"/>
        <v>88.617750000000001</v>
      </c>
      <c r="I556" s="692">
        <f t="shared" si="265"/>
        <v>86.464720388321936</v>
      </c>
      <c r="J556" s="693">
        <f t="shared" si="266"/>
        <v>1.5592306582774778</v>
      </c>
      <c r="K556" s="693">
        <f t="shared" si="267"/>
        <v>1.0011458277573506</v>
      </c>
      <c r="L556" s="694">
        <f t="shared" si="268"/>
        <v>4.7848400705267094E-2</v>
      </c>
      <c r="M556" s="693">
        <f t="shared" si="269"/>
        <v>1.0063755214317103</v>
      </c>
      <c r="N556" s="694">
        <f t="shared" si="270"/>
        <v>-0.11262177382221865</v>
      </c>
      <c r="O556" s="692">
        <f t="shared" si="271"/>
        <v>160358.90230941161</v>
      </c>
      <c r="P556" s="695">
        <f t="shared" si="272"/>
        <v>1.5707900907831405</v>
      </c>
      <c r="Q556" s="704">
        <f t="shared" si="294"/>
        <v>66.823692089394712</v>
      </c>
      <c r="R556" s="705">
        <f t="shared" si="295"/>
        <v>1.5558310158930002</v>
      </c>
      <c r="S556" s="692">
        <f t="shared" si="273"/>
        <v>1.0947228126985333</v>
      </c>
      <c r="T556" s="695">
        <f t="shared" si="274"/>
        <v>0.41905652682173639</v>
      </c>
      <c r="U556" s="696">
        <f t="shared" si="286"/>
        <v>0.73533149514923712</v>
      </c>
      <c r="V556" s="697">
        <f t="shared" si="287"/>
        <v>-0.96000667437119802</v>
      </c>
      <c r="W556" s="698">
        <f t="shared" si="275"/>
        <v>-12.867145785769798</v>
      </c>
      <c r="X556" s="699">
        <f t="shared" si="276"/>
        <v>-172.92017007550314</v>
      </c>
      <c r="Y556" s="702">
        <f t="shared" si="277"/>
        <v>7.0798299244968632</v>
      </c>
      <c r="AA556" s="174">
        <f t="shared" si="278"/>
        <v>88617.75</v>
      </c>
      <c r="AB556" s="174">
        <f t="shared" si="279"/>
        <v>7853105615.0625</v>
      </c>
      <c r="AD556" s="701">
        <f t="shared" si="280"/>
        <v>26.819114151596146</v>
      </c>
      <c r="AE556" s="702">
        <f t="shared" si="281"/>
        <v>-24.867262249336424</v>
      </c>
      <c r="AG556" s="701">
        <f t="shared" si="282"/>
        <v>-8.9576436908712314</v>
      </c>
      <c r="AH556" s="702">
        <f t="shared" si="283"/>
        <v>-38.044246208744347</v>
      </c>
      <c r="AJ556" s="174">
        <f t="shared" si="284"/>
        <v>0</v>
      </c>
      <c r="AK556" s="174">
        <f t="shared" si="296"/>
        <v>0</v>
      </c>
      <c r="AM556" s="174" t="str">
        <f t="shared" si="288"/>
        <v>1.02006445275018+0.999798688604779i</v>
      </c>
      <c r="AN556" s="174" t="str">
        <f t="shared" si="289"/>
        <v>1.5908621260545i</v>
      </c>
      <c r="AO556" s="174" t="str">
        <f t="shared" si="290"/>
        <v>0.628463442702217-0.641202299082978i</v>
      </c>
      <c r="AP556" s="174" t="str">
        <f t="shared" si="291"/>
        <v>-0.00334407545836385-0.166633114767463i</v>
      </c>
      <c r="AQ556" s="174" t="str">
        <f t="shared" si="292"/>
        <v>1.00334407545836+0.166633114767463i</v>
      </c>
      <c r="AR556" s="174" t="str">
        <f t="shared" si="293"/>
        <v>0.807939238667416-0.134180721424503i</v>
      </c>
    </row>
    <row r="557" spans="7:44" x14ac:dyDescent="0.2">
      <c r="G557" s="703">
        <v>89125</v>
      </c>
      <c r="H557" s="691">
        <f t="shared" si="285"/>
        <v>89.125</v>
      </c>
      <c r="I557" s="692">
        <f t="shared" si="265"/>
        <v>86.959580385949707</v>
      </c>
      <c r="J557" s="693">
        <f t="shared" si="266"/>
        <v>1.5592964778192064</v>
      </c>
      <c r="K557" s="693">
        <f t="shared" si="267"/>
        <v>1.0011589751732073</v>
      </c>
      <c r="L557" s="694">
        <f t="shared" si="268"/>
        <v>4.8121864599077836E-2</v>
      </c>
      <c r="M557" s="693">
        <f t="shared" si="269"/>
        <v>1.0064484830805913</v>
      </c>
      <c r="N557" s="694">
        <f t="shared" si="270"/>
        <v>-0.11326093989909949</v>
      </c>
      <c r="O557" s="692">
        <f t="shared" si="271"/>
        <v>161276.80028350026</v>
      </c>
      <c r="P557" s="695">
        <f t="shared" si="272"/>
        <v>1.5707901262750559</v>
      </c>
      <c r="Q557" s="704">
        <f t="shared" si="294"/>
        <v>67.206106995420186</v>
      </c>
      <c r="R557" s="705">
        <f t="shared" si="295"/>
        <v>1.5559161775227204</v>
      </c>
      <c r="S557" s="692">
        <f t="shared" si="273"/>
        <v>1.0957627646221779</v>
      </c>
      <c r="T557" s="695">
        <f t="shared" si="274"/>
        <v>0.42118207782639827</v>
      </c>
      <c r="U557" s="696">
        <f t="shared" si="286"/>
        <v>0.73332686423426374</v>
      </c>
      <c r="V557" s="697">
        <f t="shared" si="287"/>
        <v>-0.96427951821454172</v>
      </c>
      <c r="W557" s="698">
        <f t="shared" si="275"/>
        <v>-12.947941799667062</v>
      </c>
      <c r="X557" s="699">
        <f t="shared" si="276"/>
        <v>-173.30661810157039</v>
      </c>
      <c r="Y557" s="702">
        <f t="shared" si="277"/>
        <v>6.6933818984296067</v>
      </c>
      <c r="AA557" s="174">
        <f t="shared" si="278"/>
        <v>89125</v>
      </c>
      <c r="AB557" s="174">
        <f t="shared" si="279"/>
        <v>7943265625</v>
      </c>
      <c r="AD557" s="701">
        <f t="shared" si="280"/>
        <v>26.810855709682386</v>
      </c>
      <c r="AE557" s="702">
        <f t="shared" si="281"/>
        <v>-24.984169982754462</v>
      </c>
      <c r="AG557" s="701">
        <f t="shared" si="282"/>
        <v>-8.9827583517481795</v>
      </c>
      <c r="AH557" s="702">
        <f t="shared" si="283"/>
        <v>-37.824154663349987</v>
      </c>
      <c r="AJ557" s="174">
        <f t="shared" si="284"/>
        <v>0</v>
      </c>
      <c r="AK557" s="174">
        <f t="shared" si="296"/>
        <v>0</v>
      </c>
      <c r="AM557" s="174" t="str">
        <f t="shared" si="288"/>
        <v>1.02916779257181+0.999574529425639i</v>
      </c>
      <c r="AN557" s="174" t="str">
        <f t="shared" si="289"/>
        <v>1.59996825675i</v>
      </c>
      <c r="AO557" s="174" t="str">
        <f t="shared" si="290"/>
        <v>0.62474647556825-0.64324263198968i</v>
      </c>
      <c r="AP557" s="174" t="str">
        <f t="shared" si="291"/>
        <v>-0.00486129876196802-0.166595754904273i</v>
      </c>
      <c r="AQ557" s="174" t="str">
        <f t="shared" si="292"/>
        <v>1.00486129876197+0.166595754904273i</v>
      </c>
      <c r="AR557" s="174" t="str">
        <f t="shared" si="293"/>
        <v>0.806794370195092-0.133758278202938i</v>
      </c>
    </row>
    <row r="558" spans="7:44" x14ac:dyDescent="0.2">
      <c r="G558" s="703">
        <v>89644</v>
      </c>
      <c r="H558" s="691">
        <f t="shared" si="285"/>
        <v>89.644000000000005</v>
      </c>
      <c r="I558" s="692">
        <f t="shared" si="265"/>
        <v>87.465903765527571</v>
      </c>
      <c r="J558" s="693">
        <f t="shared" si="266"/>
        <v>1.5593630511536247</v>
      </c>
      <c r="K558" s="693">
        <f t="shared" si="267"/>
        <v>1.0011725046260003</v>
      </c>
      <c r="L558" s="694">
        <f t="shared" si="268"/>
        <v>4.8401655588168939E-2</v>
      </c>
      <c r="M558" s="693">
        <f t="shared" si="269"/>
        <v>1.0065235603238769</v>
      </c>
      <c r="N558" s="694">
        <f t="shared" si="270"/>
        <v>-0.11391481551213521</v>
      </c>
      <c r="O558" s="692">
        <f t="shared" si="271"/>
        <v>162215.9605566439</v>
      </c>
      <c r="P558" s="695">
        <f t="shared" si="272"/>
        <v>1.5707901621733849</v>
      </c>
      <c r="Q558" s="704">
        <f t="shared" si="294"/>
        <v>67.597380705021621</v>
      </c>
      <c r="R558" s="705">
        <f t="shared" si="295"/>
        <v>1.5560023145471675</v>
      </c>
      <c r="S558" s="692">
        <f t="shared" si="273"/>
        <v>1.096831920237749</v>
      </c>
      <c r="T558" s="695">
        <f t="shared" si="274"/>
        <v>0.42335268350252098</v>
      </c>
      <c r="U558" s="696">
        <f t="shared" si="286"/>
        <v>0.7312790107116921</v>
      </c>
      <c r="V558" s="697">
        <f t="shared" si="287"/>
        <v>-0.96863842517717036</v>
      </c>
      <c r="W558" s="698">
        <f t="shared" si="275"/>
        <v>-13.030375242084309</v>
      </c>
      <c r="X558" s="699">
        <f t="shared" si="276"/>
        <v>-173.70104622858403</v>
      </c>
      <c r="Y558" s="702">
        <f t="shared" si="277"/>
        <v>6.2989537714159667</v>
      </c>
      <c r="AA558" s="174">
        <f t="shared" si="278"/>
        <v>89644</v>
      </c>
      <c r="AB558" s="174">
        <f t="shared" si="279"/>
        <v>8036046736</v>
      </c>
      <c r="AD558" s="701">
        <f t="shared" si="280"/>
        <v>26.802373759867013</v>
      </c>
      <c r="AE558" s="702">
        <f t="shared" si="281"/>
        <v>-25.103603295982019</v>
      </c>
      <c r="AG558" s="701">
        <f t="shared" si="282"/>
        <v>-9.0081303825630972</v>
      </c>
      <c r="AH558" s="702">
        <f t="shared" si="283"/>
        <v>-37.599655532067693</v>
      </c>
      <c r="AJ558" s="174">
        <f t="shared" si="284"/>
        <v>0</v>
      </c>
      <c r="AK558" s="174">
        <f t="shared" si="296"/>
        <v>0</v>
      </c>
      <c r="AM558" s="174" t="str">
        <f t="shared" si="288"/>
        <v>1.03847949390969+0.999259390022658i</v>
      </c>
      <c r="AN558" s="174" t="str">
        <f t="shared" si="289"/>
        <v>1.609285322952i</v>
      </c>
      <c r="AO558" s="174" t="str">
        <f t="shared" si="290"/>
        <v>0.62093363791429-0.645304769203233i</v>
      </c>
      <c r="AP558" s="174" t="str">
        <f t="shared" si="291"/>
        <v>-0.00641324898494822-0.166543231670443i</v>
      </c>
      <c r="AQ558" s="174" t="str">
        <f t="shared" si="292"/>
        <v>1.00641324898495+0.166543231670443i</v>
      </c>
      <c r="AR558" s="174" t="str">
        <f t="shared" si="293"/>
        <v>0.805630205393988-0.133317261147904i</v>
      </c>
    </row>
    <row r="559" spans="7:44" x14ac:dyDescent="0.2">
      <c r="G559" s="703">
        <v>90163</v>
      </c>
      <c r="H559" s="691">
        <f t="shared" si="285"/>
        <v>90.162999999999997</v>
      </c>
      <c r="I559" s="692">
        <f t="shared" si="265"/>
        <v>87.972227528292862</v>
      </c>
      <c r="J559" s="693">
        <f t="shared" si="266"/>
        <v>1.5594288581632738</v>
      </c>
      <c r="K559" s="693">
        <f t="shared" si="267"/>
        <v>1.0011861124514561</v>
      </c>
      <c r="L559" s="694">
        <f t="shared" si="268"/>
        <v>4.8681438993489125E-2</v>
      </c>
      <c r="M559" s="693">
        <f t="shared" si="269"/>
        <v>1.006599067845348</v>
      </c>
      <c r="N559" s="694">
        <f t="shared" si="270"/>
        <v>-0.11456859330696055</v>
      </c>
      <c r="O559" s="692">
        <f t="shared" si="271"/>
        <v>163155.12082978777</v>
      </c>
      <c r="P559" s="695">
        <f t="shared" si="272"/>
        <v>1.5707901976584349</v>
      </c>
      <c r="Q559" s="704">
        <f t="shared" si="294"/>
        <v>67.988654910394914</v>
      </c>
      <c r="R559" s="705">
        <f t="shared" si="295"/>
        <v>1.5560874601363652</v>
      </c>
      <c r="S559" s="692">
        <f t="shared" si="273"/>
        <v>1.0979062335296776</v>
      </c>
      <c r="T559" s="695">
        <f t="shared" si="274"/>
        <v>0.4255190514460207</v>
      </c>
      <c r="U559" s="696">
        <f t="shared" si="286"/>
        <v>0.7292344734053704</v>
      </c>
      <c r="V559" s="697">
        <f t="shared" si="287"/>
        <v>-0.97298435201990896</v>
      </c>
      <c r="W559" s="698">
        <f t="shared" si="275"/>
        <v>-13.112574284012437</v>
      </c>
      <c r="X559" s="699">
        <f t="shared" si="276"/>
        <v>-174.09449554946403</v>
      </c>
      <c r="Y559" s="702">
        <f t="shared" si="277"/>
        <v>5.9055044505359717</v>
      </c>
      <c r="AA559" s="174">
        <f t="shared" si="278"/>
        <v>90163</v>
      </c>
      <c r="AB559" s="174">
        <f t="shared" si="279"/>
        <v>8129366569</v>
      </c>
      <c r="AD559" s="701">
        <f t="shared" si="280"/>
        <v>26.793859450130494</v>
      </c>
      <c r="AE559" s="702">
        <f t="shared" si="281"/>
        <v>-25.222850586391669</v>
      </c>
      <c r="AG559" s="701">
        <f t="shared" si="282"/>
        <v>-9.0331784203400485</v>
      </c>
      <c r="AH559" s="702">
        <f t="shared" si="283"/>
        <v>-37.375851029645908</v>
      </c>
      <c r="AJ559" s="174">
        <f t="shared" si="284"/>
        <v>0</v>
      </c>
      <c r="AK559" s="174">
        <f t="shared" si="296"/>
        <v>0</v>
      </c>
      <c r="AM559" s="174" t="str">
        <f t="shared" si="288"/>
        <v>1.0477878549545+0.998857507815228i</v>
      </c>
      <c r="AN559" s="174" t="str">
        <f t="shared" si="289"/>
        <v>1.618602389154i</v>
      </c>
      <c r="AO559" s="174" t="str">
        <f t="shared" si="290"/>
        <v>0.617111104313459-0.647341102407584i</v>
      </c>
      <c r="AP559" s="174" t="str">
        <f t="shared" si="291"/>
        <v>-0.00796464249241675-0.166476251302538i</v>
      </c>
      <c r="AQ559" s="174" t="str">
        <f t="shared" si="292"/>
        <v>1.00796464249242+0.166476251302538i</v>
      </c>
      <c r="AR559" s="174" t="str">
        <f t="shared" si="293"/>
        <v>0.80447337874071-0.13286747046432i</v>
      </c>
    </row>
    <row r="560" spans="7:44" x14ac:dyDescent="0.2">
      <c r="G560" s="703">
        <v>90682</v>
      </c>
      <c r="H560" s="691">
        <f t="shared" si="285"/>
        <v>90.682000000000002</v>
      </c>
      <c r="I560" s="692">
        <f t="shared" si="265"/>
        <v>88.478551667667148</v>
      </c>
      <c r="J560" s="693">
        <f t="shared" si="266"/>
        <v>1.5594939120036053</v>
      </c>
      <c r="K560" s="693">
        <f t="shared" si="267"/>
        <v>1.0011997986463792</v>
      </c>
      <c r="L560" s="694">
        <f t="shared" si="268"/>
        <v>4.896121477154633E-2</v>
      </c>
      <c r="M560" s="693">
        <f t="shared" si="269"/>
        <v>1.0066750055481835</v>
      </c>
      <c r="N560" s="694">
        <f t="shared" si="270"/>
        <v>-0.11522227274676729</v>
      </c>
      <c r="O560" s="692">
        <f t="shared" si="271"/>
        <v>164094.28110293183</v>
      </c>
      <c r="P560" s="695">
        <f t="shared" si="272"/>
        <v>1.570790232737302</v>
      </c>
      <c r="Q560" s="704">
        <f t="shared" si="294"/>
        <v>68.379929603029566</v>
      </c>
      <c r="R560" s="705">
        <f t="shared" si="295"/>
        <v>1.5561716313082516</v>
      </c>
      <c r="S560" s="692">
        <f t="shared" si="273"/>
        <v>1.0989856893723065</v>
      </c>
      <c r="T560" s="695">
        <f t="shared" si="274"/>
        <v>0.42768117378037951</v>
      </c>
      <c r="U560" s="696">
        <f t="shared" si="286"/>
        <v>0.72719331759121508</v>
      </c>
      <c r="V560" s="697">
        <f t="shared" si="287"/>
        <v>-0.9773173809920972</v>
      </c>
      <c r="W560" s="698">
        <f t="shared" si="275"/>
        <v>-13.19454131828801</v>
      </c>
      <c r="X560" s="699">
        <f t="shared" si="276"/>
        <v>-174.48697007629667</v>
      </c>
      <c r="Y560" s="702">
        <f t="shared" si="277"/>
        <v>5.5130299237033284</v>
      </c>
      <c r="AA560" s="174">
        <f t="shared" si="278"/>
        <v>90682</v>
      </c>
      <c r="AB560" s="174">
        <f t="shared" si="279"/>
        <v>8223225124</v>
      </c>
      <c r="AD560" s="701">
        <f t="shared" si="280"/>
        <v>26.785312999255879</v>
      </c>
      <c r="AE560" s="702">
        <f t="shared" si="281"/>
        <v>-25.341910428042727</v>
      </c>
      <c r="AG560" s="701">
        <f t="shared" si="282"/>
        <v>-9.0579065361759383</v>
      </c>
      <c r="AH560" s="702">
        <f t="shared" si="283"/>
        <v>-37.152737169031518</v>
      </c>
      <c r="AJ560" s="174">
        <f t="shared" si="284"/>
        <v>0</v>
      </c>
      <c r="AK560" s="174">
        <f t="shared" si="296"/>
        <v>0</v>
      </c>
      <c r="AM560" s="174" t="str">
        <f t="shared" si="288"/>
        <v>1.05709206767446+0.998368917689576i</v>
      </c>
      <c r="AN560" s="174" t="str">
        <f t="shared" si="289"/>
        <v>1.627919455356i</v>
      </c>
      <c r="AO560" s="174" t="str">
        <f t="shared" si="290"/>
        <v>0.613279062674049-0.64935157829617i</v>
      </c>
      <c r="AP560" s="174" t="str">
        <f t="shared" si="291"/>
        <v>-0.0095153446124106-0.166394819614929i</v>
      </c>
      <c r="AQ560" s="174" t="str">
        <f t="shared" si="292"/>
        <v>1.00951534461241+0.166394819614929i</v>
      </c>
      <c r="AR560" s="174" t="str">
        <f t="shared" si="293"/>
        <v>0.803323920821946-0.132409021428838i</v>
      </c>
    </row>
    <row r="561" spans="7:44" x14ac:dyDescent="0.2">
      <c r="G561" s="703">
        <v>91201</v>
      </c>
      <c r="H561" s="691">
        <f t="shared" si="285"/>
        <v>91.200999999999993</v>
      </c>
      <c r="I561" s="692">
        <f t="shared" si="265"/>
        <v>88.984876177221707</v>
      </c>
      <c r="J561" s="693">
        <f t="shared" si="266"/>
        <v>1.559558225530679</v>
      </c>
      <c r="K561" s="693">
        <f t="shared" si="267"/>
        <v>1.0012135632075558</v>
      </c>
      <c r="L561" s="694">
        <f t="shared" si="268"/>
        <v>4.9240982878855623E-2</v>
      </c>
      <c r="M561" s="693">
        <f t="shared" si="269"/>
        <v>1.0067513733350395</v>
      </c>
      <c r="N561" s="694">
        <f t="shared" si="270"/>
        <v>-0.11587585329524495</v>
      </c>
      <c r="O561" s="692">
        <f t="shared" si="271"/>
        <v>165033.44137607608</v>
      </c>
      <c r="P561" s="695">
        <f t="shared" si="272"/>
        <v>1.5707902674169205</v>
      </c>
      <c r="Q561" s="704">
        <f t="shared" si="294"/>
        <v>68.771204774608762</v>
      </c>
      <c r="R561" s="705">
        <f t="shared" si="295"/>
        <v>1.5562548446935252</v>
      </c>
      <c r="S561" s="692">
        <f t="shared" si="273"/>
        <v>1.1000702726270852</v>
      </c>
      <c r="T561" s="695">
        <f t="shared" si="274"/>
        <v>0.42983904281869817</v>
      </c>
      <c r="U561" s="696">
        <f t="shared" si="286"/>
        <v>0.7251556068029209</v>
      </c>
      <c r="V561" s="697">
        <f t="shared" si="287"/>
        <v>-0.98163759467659328</v>
      </c>
      <c r="W561" s="698">
        <f t="shared" si="275"/>
        <v>-13.276278692834374</v>
      </c>
      <c r="X561" s="699">
        <f t="shared" si="276"/>
        <v>-174.87847385619389</v>
      </c>
      <c r="Y561" s="702">
        <f t="shared" si="277"/>
        <v>5.1215261438061077</v>
      </c>
      <c r="AA561" s="174">
        <f t="shared" si="278"/>
        <v>91201</v>
      </c>
      <c r="AB561" s="174">
        <f t="shared" si="279"/>
        <v>8317622401</v>
      </c>
      <c r="AD561" s="701">
        <f t="shared" si="280"/>
        <v>26.776734625932505</v>
      </c>
      <c r="AE561" s="702">
        <f t="shared" si="281"/>
        <v>-25.460781428036761</v>
      </c>
      <c r="AG561" s="701">
        <f t="shared" si="282"/>
        <v>-9.0823187318949152</v>
      </c>
      <c r="AH561" s="702">
        <f t="shared" si="283"/>
        <v>-36.930309926936424</v>
      </c>
      <c r="AJ561" s="174">
        <f t="shared" si="284"/>
        <v>0</v>
      </c>
      <c r="AK561" s="174">
        <f t="shared" si="296"/>
        <v>0</v>
      </c>
      <c r="AM561" s="174" t="str">
        <f t="shared" si="288"/>
        <v>1.0663913243979+0.997793662058791i</v>
      </c>
      <c r="AN561" s="174" t="str">
        <f t="shared" si="289"/>
        <v>1.637236521558i</v>
      </c>
      <c r="AO561" s="174" t="str">
        <f t="shared" si="290"/>
        <v>0.609437701224309-0.651336144995787i</v>
      </c>
      <c r="AP561" s="174" t="str">
        <f t="shared" si="291"/>
        <v>-0.0110652207329841-0.166298943676465i</v>
      </c>
      <c r="AQ561" s="174" t="str">
        <f t="shared" si="292"/>
        <v>1.01106522073298+0.166298943676465i</v>
      </c>
      <c r="AR561" s="174" t="str">
        <f t="shared" si="293"/>
        <v>0.802181860693721-0.131942028401566i</v>
      </c>
    </row>
    <row r="562" spans="7:44" x14ac:dyDescent="0.2">
      <c r="G562" s="703">
        <v>91732</v>
      </c>
      <c r="H562" s="691">
        <f t="shared" si="285"/>
        <v>91.731999999999999</v>
      </c>
      <c r="I562" s="692">
        <f t="shared" si="265"/>
        <v>89.502907988418428</v>
      </c>
      <c r="J562" s="693">
        <f t="shared" si="266"/>
        <v>1.5596232729917623</v>
      </c>
      <c r="K562" s="693">
        <f t="shared" si="267"/>
        <v>1.0012277271262169</v>
      </c>
      <c r="L562" s="694">
        <f t="shared" si="268"/>
        <v>4.9527211628743711E-2</v>
      </c>
      <c r="M562" s="693">
        <f t="shared" si="269"/>
        <v>1.0068299518641919</v>
      </c>
      <c r="N562" s="694">
        <f t="shared" si="270"/>
        <v>-0.11654444262637766</v>
      </c>
      <c r="O562" s="692">
        <f t="shared" si="271"/>
        <v>165994.31633761697</v>
      </c>
      <c r="P562" s="695">
        <f t="shared" si="272"/>
        <v>1.5707903024922454</v>
      </c>
      <c r="Q562" s="704">
        <f t="shared" si="294"/>
        <v>69.171527258171238</v>
      </c>
      <c r="R562" s="705">
        <f t="shared" si="295"/>
        <v>1.5563390077769734</v>
      </c>
      <c r="S562" s="692">
        <f t="shared" si="273"/>
        <v>1.1011852237622661</v>
      </c>
      <c r="T562" s="695">
        <f t="shared" si="274"/>
        <v>0.43204239501767455</v>
      </c>
      <c r="U562" s="696">
        <f t="shared" si="286"/>
        <v>0.72307441120052307</v>
      </c>
      <c r="V562" s="697">
        <f t="shared" si="287"/>
        <v>-0.98604452098059225</v>
      </c>
      <c r="W562" s="698">
        <f t="shared" si="275"/>
        <v>-13.359670665573164</v>
      </c>
      <c r="X562" s="699">
        <f t="shared" si="276"/>
        <v>-175.2780293290183</v>
      </c>
      <c r="Y562" s="702">
        <f t="shared" si="277"/>
        <v>4.7219706709817046</v>
      </c>
      <c r="AA562" s="174">
        <f t="shared" si="278"/>
        <v>91732</v>
      </c>
      <c r="AB562" s="174">
        <f t="shared" si="279"/>
        <v>8414759824</v>
      </c>
      <c r="AD562" s="701">
        <f t="shared" si="280"/>
        <v>26.767925098558717</v>
      </c>
      <c r="AE562" s="702">
        <f t="shared" si="281"/>
        <v>-25.582204030153409</v>
      </c>
      <c r="AG562" s="701">
        <f t="shared" si="282"/>
        <v>-9.1069725125123231</v>
      </c>
      <c r="AH562" s="702">
        <f t="shared" si="283"/>
        <v>-36.703446241378458</v>
      </c>
      <c r="AJ562" s="174">
        <f t="shared" si="284"/>
        <v>0</v>
      </c>
      <c r="AK562" s="174">
        <f t="shared" si="296"/>
        <v>0</v>
      </c>
      <c r="AM562" s="174" t="str">
        <f t="shared" si="288"/>
        <v>1.0758996217419+0.997115463434118i</v>
      </c>
      <c r="AN562" s="174" t="str">
        <f t="shared" si="289"/>
        <v>1.646769011256i</v>
      </c>
      <c r="AO562" s="174" t="str">
        <f t="shared" si="290"/>
        <v>0.605498073268705-0.65333973033735i</v>
      </c>
      <c r="AP562" s="174" t="str">
        <f t="shared" si="291"/>
        <v>-0.0126499369569832-0.166185910572353i</v>
      </c>
      <c r="AQ562" s="174" t="str">
        <f t="shared" si="292"/>
        <v>1.01264993695698+0.166185910572353i</v>
      </c>
      <c r="AR562" s="174" t="str">
        <f t="shared" si="293"/>
        <v>0.801021079623185-0.131455513545826i</v>
      </c>
    </row>
    <row r="563" spans="7:44" x14ac:dyDescent="0.2">
      <c r="G563" s="703">
        <v>92263</v>
      </c>
      <c r="H563" s="691">
        <f t="shared" si="285"/>
        <v>92.263000000000005</v>
      </c>
      <c r="I563" s="692">
        <f t="shared" si="265"/>
        <v>90.020940173958834</v>
      </c>
      <c r="J563" s="693">
        <f t="shared" si="266"/>
        <v>1.5596875718122241</v>
      </c>
      <c r="K563" s="693">
        <f t="shared" si="267"/>
        <v>1.0012419730700344</v>
      </c>
      <c r="L563" s="694">
        <f t="shared" si="268"/>
        <v>4.9813432256999003E-2</v>
      </c>
      <c r="M563" s="693">
        <f t="shared" si="269"/>
        <v>1.0069089803877436</v>
      </c>
      <c r="N563" s="694">
        <f t="shared" si="270"/>
        <v>-0.117212927306135</v>
      </c>
      <c r="O563" s="692">
        <f t="shared" si="271"/>
        <v>166955.19129915803</v>
      </c>
      <c r="P563" s="695">
        <f t="shared" si="272"/>
        <v>1.5707903371638332</v>
      </c>
      <c r="Q563" s="704">
        <f t="shared" si="294"/>
        <v>69.571850226066317</v>
      </c>
      <c r="R563" s="705">
        <f t="shared" si="295"/>
        <v>1.5564222022964138</v>
      </c>
      <c r="S563" s="692">
        <f t="shared" si="273"/>
        <v>1.1023055100586669</v>
      </c>
      <c r="T563" s="695">
        <f t="shared" si="274"/>
        <v>0.4342412792871968</v>
      </c>
      <c r="U563" s="696">
        <f t="shared" si="286"/>
        <v>0.72099695084171878</v>
      </c>
      <c r="V563" s="697">
        <f t="shared" si="287"/>
        <v>-0.99043820841841168</v>
      </c>
      <c r="W563" s="698">
        <f t="shared" si="275"/>
        <v>-13.442827069336046</v>
      </c>
      <c r="X563" s="699">
        <f t="shared" si="276"/>
        <v>-175.67657732398558</v>
      </c>
      <c r="Y563" s="702">
        <f t="shared" si="277"/>
        <v>4.3234226760144168</v>
      </c>
      <c r="AA563" s="174">
        <f t="shared" si="278"/>
        <v>92263</v>
      </c>
      <c r="AB563" s="174">
        <f t="shared" si="279"/>
        <v>8512461169</v>
      </c>
      <c r="AD563" s="701">
        <f t="shared" si="280"/>
        <v>26.759082618243497</v>
      </c>
      <c r="AE563" s="702">
        <f t="shared" si="281"/>
        <v>-25.703426110266367</v>
      </c>
      <c r="AG563" s="701">
        <f t="shared" si="282"/>
        <v>-9.1313038538611675</v>
      </c>
      <c r="AH563" s="702">
        <f t="shared" si="283"/>
        <v>-36.477292662284114</v>
      </c>
      <c r="AJ563" s="174">
        <f t="shared" si="284"/>
        <v>0</v>
      </c>
      <c r="AK563" s="174">
        <f t="shared" si="296"/>
        <v>0</v>
      </c>
      <c r="AM563" s="174" t="str">
        <f t="shared" si="288"/>
        <v>1.08540102226398+0.996346659248811i</v>
      </c>
      <c r="AN563" s="174" t="str">
        <f t="shared" si="289"/>
        <v>1.656301500954i</v>
      </c>
      <c r="AO563" s="174" t="str">
        <f t="shared" si="290"/>
        <v>0.601549089145263-0.65531608927409i</v>
      </c>
      <c r="AP563" s="174" t="str">
        <f t="shared" si="291"/>
        <v>-0.0142335037106632-0.166057776541468i</v>
      </c>
      <c r="AQ563" s="174" t="str">
        <f t="shared" si="292"/>
        <v>1.01423350371066+0.166057776541468i</v>
      </c>
      <c r="AR563" s="174" t="str">
        <f t="shared" si="293"/>
        <v>0.79986809916579-0.130960294239909i</v>
      </c>
    </row>
    <row r="564" spans="7:44" x14ac:dyDescent="0.2">
      <c r="G564" s="703">
        <v>92794</v>
      </c>
      <c r="H564" s="691">
        <f t="shared" si="285"/>
        <v>92.793999999999997</v>
      </c>
      <c r="I564" s="692">
        <f t="shared" si="265"/>
        <v>90.538972727417331</v>
      </c>
      <c r="J564" s="693">
        <f t="shared" si="266"/>
        <v>1.5597511348419129</v>
      </c>
      <c r="K564" s="693">
        <f t="shared" si="267"/>
        <v>1.0012563010355069</v>
      </c>
      <c r="L564" s="694">
        <f t="shared" si="268"/>
        <v>5.009964471707349E-2</v>
      </c>
      <c r="M564" s="693">
        <f t="shared" si="269"/>
        <v>1.0069884587997477</v>
      </c>
      <c r="N564" s="694">
        <f t="shared" si="270"/>
        <v>-0.11788130676177294</v>
      </c>
      <c r="O564" s="692">
        <f t="shared" si="271"/>
        <v>167916.06626069927</v>
      </c>
      <c r="P564" s="695">
        <f t="shared" si="272"/>
        <v>1.5707903714386149</v>
      </c>
      <c r="Q564" s="704">
        <f t="shared" si="294"/>
        <v>69.97217366998116</v>
      </c>
      <c r="R564" s="705">
        <f t="shared" si="295"/>
        <v>1.5565044448746732</v>
      </c>
      <c r="S564" s="692">
        <f t="shared" si="273"/>
        <v>1.1034311152663163</v>
      </c>
      <c r="T564" s="695">
        <f t="shared" si="274"/>
        <v>0.4364356880046289</v>
      </c>
      <c r="U564" s="696">
        <f t="shared" si="286"/>
        <v>0.71892328826528562</v>
      </c>
      <c r="V564" s="697">
        <f t="shared" si="287"/>
        <v>-0.99481874640920953</v>
      </c>
      <c r="W564" s="698">
        <f t="shared" si="275"/>
        <v>-13.525750280639436</v>
      </c>
      <c r="X564" s="699">
        <f t="shared" si="276"/>
        <v>-176.07412228176386</v>
      </c>
      <c r="Y564" s="702">
        <f t="shared" si="277"/>
        <v>3.9258777182361371</v>
      </c>
      <c r="AA564" s="174">
        <f t="shared" si="278"/>
        <v>92794</v>
      </c>
      <c r="AB564" s="174">
        <f t="shared" si="279"/>
        <v>8610726436</v>
      </c>
      <c r="AD564" s="701">
        <f t="shared" si="280"/>
        <v>26.750207418780757</v>
      </c>
      <c r="AE564" s="702">
        <f t="shared" si="281"/>
        <v>-25.824446279610026</v>
      </c>
      <c r="AG564" s="701">
        <f t="shared" si="282"/>
        <v>-9.1553168255709227</v>
      </c>
      <c r="AH564" s="702">
        <f t="shared" si="283"/>
        <v>-36.25184477240628</v>
      </c>
      <c r="AJ564" s="174">
        <f t="shared" si="284"/>
        <v>0</v>
      </c>
      <c r="AK564" s="174">
        <f t="shared" si="296"/>
        <v>0</v>
      </c>
      <c r="AM564" s="174" t="str">
        <f t="shared" si="288"/>
        <v>1.094894662594+0.995487319362317i</v>
      </c>
      <c r="AN564" s="174" t="str">
        <f t="shared" si="289"/>
        <v>1.665833990652i</v>
      </c>
      <c r="AO564" s="174" t="str">
        <f t="shared" si="290"/>
        <v>0.597590951408482-0.657265170922262i</v>
      </c>
      <c r="AP564" s="174" t="str">
        <f t="shared" si="291"/>
        <v>-0.0158157770990001-0.165914553227053i</v>
      </c>
      <c r="AQ564" s="174" t="str">
        <f t="shared" si="292"/>
        <v>1.015815777099+0.165914553227053i</v>
      </c>
      <c r="AR564" s="174" t="str">
        <f t="shared" si="293"/>
        <v>0.798722945686506-0.130456489920079i</v>
      </c>
    </row>
    <row r="565" spans="7:44" x14ac:dyDescent="0.2">
      <c r="G565" s="703">
        <v>93325</v>
      </c>
      <c r="H565" s="691">
        <f t="shared" si="285"/>
        <v>93.325000000000003</v>
      </c>
      <c r="I565" s="692">
        <f t="shared" si="265"/>
        <v>91.057005642514525</v>
      </c>
      <c r="J565" s="693">
        <f t="shared" si="266"/>
        <v>1.5598139746382849</v>
      </c>
      <c r="K565" s="693">
        <f t="shared" si="267"/>
        <v>1.0012707110191137</v>
      </c>
      <c r="L565" s="694">
        <f t="shared" si="268"/>
        <v>5.038584896242719E-2</v>
      </c>
      <c r="M565" s="693">
        <f t="shared" si="269"/>
        <v>1.0070683869936881</v>
      </c>
      <c r="N565" s="694">
        <f t="shared" si="270"/>
        <v>-0.11854958042110376</v>
      </c>
      <c r="O565" s="692">
        <f t="shared" si="271"/>
        <v>168876.94122224074</v>
      </c>
      <c r="P565" s="695">
        <f t="shared" si="272"/>
        <v>1.5707904053233637</v>
      </c>
      <c r="Q565" s="704">
        <f t="shared" si="294"/>
        <v>70.372497581792089</v>
      </c>
      <c r="R565" s="705">
        <f t="shared" si="295"/>
        <v>1.5565857517563861</v>
      </c>
      <c r="S565" s="692">
        <f t="shared" si="273"/>
        <v>1.1045620231244868</v>
      </c>
      <c r="T565" s="695">
        <f t="shared" si="274"/>
        <v>0.43862561375074482</v>
      </c>
      <c r="U565" s="696">
        <f t="shared" si="286"/>
        <v>0.71685348420730055</v>
      </c>
      <c r="V565" s="697">
        <f t="shared" si="287"/>
        <v>-0.99918622466506468</v>
      </c>
      <c r="W565" s="698">
        <f t="shared" si="275"/>
        <v>-13.608442631992981</v>
      </c>
      <c r="X565" s="699">
        <f t="shared" si="276"/>
        <v>-176.47066867639722</v>
      </c>
      <c r="Y565" s="702">
        <f t="shared" si="277"/>
        <v>3.5293313236027757</v>
      </c>
      <c r="AA565" s="174">
        <f t="shared" si="278"/>
        <v>93325</v>
      </c>
      <c r="AB565" s="174">
        <f t="shared" si="279"/>
        <v>8709555625</v>
      </c>
      <c r="AD565" s="701">
        <f t="shared" si="280"/>
        <v>26.7412997337862</v>
      </c>
      <c r="AE565" s="702">
        <f t="shared" si="281"/>
        <v>-25.945263182733125</v>
      </c>
      <c r="AG565" s="701">
        <f t="shared" si="282"/>
        <v>-9.1790154272470996</v>
      </c>
      <c r="AH565" s="702">
        <f t="shared" si="283"/>
        <v>-36.027098120993315</v>
      </c>
      <c r="AJ565" s="174">
        <f t="shared" si="284"/>
        <v>0</v>
      </c>
      <c r="AK565" s="174">
        <f t="shared" si="296"/>
        <v>0</v>
      </c>
      <c r="AM565" s="174" t="str">
        <f t="shared" si="288"/>
        <v>1.10437968006697+0.994537521860848i</v>
      </c>
      <c r="AN565" s="174" t="str">
        <f t="shared" si="289"/>
        <v>1.67536648035i</v>
      </c>
      <c r="AO565" s="174" t="str">
        <f t="shared" si="290"/>
        <v>0.593623862913313-0.659186925977088i</v>
      </c>
      <c r="AP565" s="174" t="str">
        <f t="shared" si="291"/>
        <v>-0.0173966133444948-0.165756253643475i</v>
      </c>
      <c r="AQ565" s="174" t="str">
        <f t="shared" si="292"/>
        <v>1.01739661334449+0.165756253643475i</v>
      </c>
      <c r="AR565" s="174" t="str">
        <f t="shared" si="293"/>
        <v>0.797585644021283-0.129944218978859i</v>
      </c>
    </row>
    <row r="566" spans="7:44" x14ac:dyDescent="0.2">
      <c r="G566" s="703">
        <v>93868.5</v>
      </c>
      <c r="H566" s="691">
        <f t="shared" si="285"/>
        <v>93.868499999999997</v>
      </c>
      <c r="I566" s="692">
        <f t="shared" si="265"/>
        <v>91.587233674187829</v>
      </c>
      <c r="J566" s="693">
        <f t="shared" si="266"/>
        <v>1.5598775575507666</v>
      </c>
      <c r="K566" s="693">
        <f t="shared" si="267"/>
        <v>1.0012855451540745</v>
      </c>
      <c r="L566" s="694">
        <f t="shared" si="268"/>
        <v>5.0678782040223476E-2</v>
      </c>
      <c r="M566" s="693">
        <f t="shared" si="269"/>
        <v>1.0071506624133706</v>
      </c>
      <c r="N566" s="694">
        <f t="shared" si="270"/>
        <v>-0.11923347541161074</v>
      </c>
      <c r="O566" s="692">
        <f t="shared" si="271"/>
        <v>169860.435650862</v>
      </c>
      <c r="P566" s="695">
        <f t="shared" si="272"/>
        <v>1.5707904396087713</v>
      </c>
      <c r="Q566" s="704">
        <f t="shared" si="294"/>
        <v>70.782245790764065</v>
      </c>
      <c r="R566" s="705">
        <f t="shared" si="295"/>
        <v>1.5566680202149474</v>
      </c>
      <c r="S566" s="692">
        <f t="shared" si="273"/>
        <v>1.1057250274856691</v>
      </c>
      <c r="T566" s="695">
        <f t="shared" si="274"/>
        <v>0.44086244137955427</v>
      </c>
      <c r="U566" s="696">
        <f t="shared" si="286"/>
        <v>0.71473901330958156</v>
      </c>
      <c r="V566" s="697">
        <f t="shared" si="287"/>
        <v>-1.003643084918272</v>
      </c>
      <c r="W566" s="698">
        <f t="shared" si="275"/>
        <v>-13.692844915592477</v>
      </c>
      <c r="X566" s="699">
        <f t="shared" si="276"/>
        <v>-176.87552057090682</v>
      </c>
      <c r="Y566" s="702">
        <f t="shared" si="277"/>
        <v>3.124479429093185</v>
      </c>
      <c r="AA566" s="174">
        <f t="shared" si="278"/>
        <v>93868.5</v>
      </c>
      <c r="AB566" s="174">
        <f t="shared" si="279"/>
        <v>8811295292.25</v>
      </c>
      <c r="AD566" s="701">
        <f t="shared" si="280"/>
        <v>26.732148959526153</v>
      </c>
      <c r="AE566" s="702">
        <f t="shared" si="281"/>
        <v>-26.068712294449778</v>
      </c>
      <c r="AG566" s="701">
        <f t="shared" si="282"/>
        <v>-9.2029504502321231</v>
      </c>
      <c r="AH566" s="702">
        <f t="shared" si="283"/>
        <v>-35.797782338425925</v>
      </c>
      <c r="AJ566" s="174">
        <f t="shared" si="284"/>
        <v>0</v>
      </c>
      <c r="AK566" s="174">
        <f t="shared" si="296"/>
        <v>0</v>
      </c>
      <c r="AM566" s="174" t="str">
        <f t="shared" si="288"/>
        <v>1.1140781502174+0.993471778986688i</v>
      </c>
      <c r="AN566" s="174" t="str">
        <f t="shared" si="289"/>
        <v>1.685123369523i</v>
      </c>
      <c r="AO566" s="174" t="str">
        <f t="shared" si="290"/>
        <v>0.589554329940784-0.661125571199429i</v>
      </c>
      <c r="AP566" s="174" t="str">
        <f t="shared" si="291"/>
        <v>-0.0190130250362338-0.165578629831115i</v>
      </c>
      <c r="AQ566" s="174" t="str">
        <f t="shared" si="292"/>
        <v>1.01901302503623+0.165578629831115i</v>
      </c>
      <c r="AR566" s="174" t="str">
        <f t="shared" si="293"/>
        <v>0.796429725315694-0.129411243462619i</v>
      </c>
    </row>
    <row r="567" spans="7:44" x14ac:dyDescent="0.2">
      <c r="G567" s="703">
        <v>94412</v>
      </c>
      <c r="H567" s="691">
        <f t="shared" si="285"/>
        <v>94.412000000000006</v>
      </c>
      <c r="I567" s="692">
        <f t="shared" si="265"/>
        <v>92.117462071866257</v>
      </c>
      <c r="J567" s="693">
        <f t="shared" si="266"/>
        <v>1.5599404084966166</v>
      </c>
      <c r="K567" s="693">
        <f t="shared" si="267"/>
        <v>1.0013004652065856</v>
      </c>
      <c r="L567" s="694">
        <f t="shared" si="268"/>
        <v>5.0971706413353919E-2</v>
      </c>
      <c r="M567" s="693">
        <f t="shared" si="269"/>
        <v>1.0072334088127801</v>
      </c>
      <c r="N567" s="694">
        <f t="shared" si="270"/>
        <v>-0.11991725835498741</v>
      </c>
      <c r="O567" s="692">
        <f t="shared" si="271"/>
        <v>170843.93007948346</v>
      </c>
      <c r="P567" s="695">
        <f t="shared" si="272"/>
        <v>1.5707904734994385</v>
      </c>
      <c r="Q567" s="704">
        <f t="shared" si="294"/>
        <v>71.191994473282804</v>
      </c>
      <c r="R567" s="705">
        <f t="shared" si="295"/>
        <v>1.5567493416745279</v>
      </c>
      <c r="S567" s="692">
        <f t="shared" si="273"/>
        <v>1.1068935525872783</v>
      </c>
      <c r="T567" s="695">
        <f t="shared" si="274"/>
        <v>0.44309455740969367</v>
      </c>
      <c r="U567" s="696">
        <f t="shared" si="286"/>
        <v>0.71262870781748111</v>
      </c>
      <c r="V567" s="697">
        <f t="shared" si="287"/>
        <v>-1.0080864543837678</v>
      </c>
      <c r="W567" s="698">
        <f t="shared" si="275"/>
        <v>-13.777010150946094</v>
      </c>
      <c r="X567" s="699">
        <f t="shared" si="276"/>
        <v>-177.27933592224056</v>
      </c>
      <c r="Y567" s="702">
        <f t="shared" si="277"/>
        <v>2.7206640777594373</v>
      </c>
      <c r="AA567" s="174">
        <f t="shared" si="278"/>
        <v>94412</v>
      </c>
      <c r="AB567" s="174">
        <f t="shared" si="279"/>
        <v>8913625744</v>
      </c>
      <c r="AD567" s="701">
        <f t="shared" si="280"/>
        <v>26.722964646881067</v>
      </c>
      <c r="AE567" s="702">
        <f t="shared" si="281"/>
        <v>-26.191945687875471</v>
      </c>
      <c r="AG567" s="701">
        <f t="shared" si="282"/>
        <v>-9.2265643882705977</v>
      </c>
      <c r="AH567" s="702">
        <f t="shared" si="283"/>
        <v>-35.569191661371761</v>
      </c>
      <c r="AJ567" s="174">
        <f t="shared" si="284"/>
        <v>0</v>
      </c>
      <c r="AK567" s="174">
        <f t="shared" si="296"/>
        <v>0</v>
      </c>
      <c r="AM567" s="174" t="str">
        <f t="shared" si="288"/>
        <v>1.12376576056929+0.99231146144278i</v>
      </c>
      <c r="AN567" s="174" t="str">
        <f t="shared" si="289"/>
        <v>1.694880258696i</v>
      </c>
      <c r="AO567" s="174" t="str">
        <f t="shared" si="290"/>
        <v>0.585475850787383-0.663035488674515i</v>
      </c>
      <c r="AP567" s="174" t="str">
        <f t="shared" si="291"/>
        <v>-0.0206276267615482-0.165385243573797i</v>
      </c>
      <c r="AQ567" s="174" t="str">
        <f t="shared" si="292"/>
        <v>1.02062762676155+0.165385243573797i</v>
      </c>
      <c r="AR567" s="174" t="str">
        <f t="shared" si="293"/>
        <v>0.795282080346766-0.128869645617338i</v>
      </c>
    </row>
    <row r="568" spans="7:44" x14ac:dyDescent="0.2">
      <c r="G568" s="703">
        <v>94955.5</v>
      </c>
      <c r="H568" s="691">
        <f t="shared" si="285"/>
        <v>94.955500000000001</v>
      </c>
      <c r="I568" s="692">
        <f t="shared" si="265"/>
        <v>92.647690829265812</v>
      </c>
      <c r="J568" s="693">
        <f t="shared" si="266"/>
        <v>1.5600025400426121</v>
      </c>
      <c r="K568" s="693">
        <f t="shared" si="267"/>
        <v>1.0013154711728063</v>
      </c>
      <c r="L568" s="694">
        <f t="shared" si="268"/>
        <v>5.1264622031940182E-2</v>
      </c>
      <c r="M568" s="693">
        <f t="shared" si="269"/>
        <v>1.0073166260758497</v>
      </c>
      <c r="N568" s="694">
        <f t="shared" si="270"/>
        <v>-0.12060092863950751</v>
      </c>
      <c r="O568" s="692">
        <f t="shared" si="271"/>
        <v>171827.42450810509</v>
      </c>
      <c r="P568" s="695">
        <f t="shared" si="272"/>
        <v>1.5707905070021431</v>
      </c>
      <c r="Q568" s="704">
        <f t="shared" si="294"/>
        <v>71.601743621218532</v>
      </c>
      <c r="R568" s="705">
        <f t="shared" si="295"/>
        <v>1.556829732391972</v>
      </c>
      <c r="S568" s="692">
        <f t="shared" si="273"/>
        <v>1.1080675809634379</v>
      </c>
      <c r="T568" s="695">
        <f t="shared" si="274"/>
        <v>0.44532195454008766</v>
      </c>
      <c r="U568" s="696">
        <f t="shared" si="286"/>
        <v>0.71052262716529702</v>
      </c>
      <c r="V568" s="697">
        <f t="shared" si="287"/>
        <v>-1.0125164301011449</v>
      </c>
      <c r="W568" s="698">
        <f t="shared" si="275"/>
        <v>-13.860940703798384</v>
      </c>
      <c r="X568" s="699">
        <f t="shared" si="276"/>
        <v>-177.68211962880832</v>
      </c>
      <c r="Y568" s="702">
        <f t="shared" si="277"/>
        <v>2.3178803711916771</v>
      </c>
      <c r="AA568" s="174">
        <f t="shared" si="278"/>
        <v>94955.5</v>
      </c>
      <c r="AB568" s="174">
        <f t="shared" si="279"/>
        <v>9016546980.25</v>
      </c>
      <c r="AD568" s="701">
        <f t="shared" si="280"/>
        <v>26.713747045658103</v>
      </c>
      <c r="AE568" s="702">
        <f t="shared" si="281"/>
        <v>-26.314962013629163</v>
      </c>
      <c r="AG568" s="701">
        <f t="shared" si="282"/>
        <v>-9.2498613112086012</v>
      </c>
      <c r="AH568" s="702">
        <f t="shared" si="283"/>
        <v>-35.341321217703445</v>
      </c>
      <c r="AJ568" s="174">
        <f t="shared" si="284"/>
        <v>0</v>
      </c>
      <c r="AK568" s="174">
        <f t="shared" si="296"/>
        <v>0</v>
      </c>
      <c r="AM568" s="174" t="str">
        <f t="shared" si="288"/>
        <v>1.1334415888996+0.991056679686863i</v>
      </c>
      <c r="AN568" s="174" t="str">
        <f t="shared" si="289"/>
        <v>1.704637147869i</v>
      </c>
      <c r="AO568" s="174" t="str">
        <f t="shared" si="290"/>
        <v>0.58138864386817-0.66491663068386i</v>
      </c>
      <c r="AP568" s="174" t="str">
        <f t="shared" si="291"/>
        <v>-0.0222402648166003-0.165176113281144i</v>
      </c>
      <c r="AQ568" s="174" t="str">
        <f t="shared" si="292"/>
        <v>1.0222402648166+0.165176113281144i</v>
      </c>
      <c r="AR568" s="174" t="str">
        <f t="shared" si="293"/>
        <v>0.794142731006935-0.128319548948439i</v>
      </c>
    </row>
    <row r="569" spans="7:44" x14ac:dyDescent="0.2">
      <c r="G569" s="703">
        <v>95499</v>
      </c>
      <c r="H569" s="691">
        <f t="shared" si="285"/>
        <v>95.498999999999995</v>
      </c>
      <c r="I569" s="692">
        <f t="shared" si="265"/>
        <v>93.177919940245516</v>
      </c>
      <c r="J569" s="693">
        <f t="shared" si="266"/>
        <v>1.5600639644695073</v>
      </c>
      <c r="K569" s="693">
        <f t="shared" si="267"/>
        <v>1.0013305630488742</v>
      </c>
      <c r="L569" s="694">
        <f t="shared" si="268"/>
        <v>5.1557528846112928E-2</v>
      </c>
      <c r="M569" s="693">
        <f t="shared" si="269"/>
        <v>1.0074003140858909</v>
      </c>
      <c r="N569" s="694">
        <f t="shared" si="270"/>
        <v>-0.12128448565406756</v>
      </c>
      <c r="O569" s="692">
        <f t="shared" si="271"/>
        <v>172810.91893672693</v>
      </c>
      <c r="P569" s="695">
        <f t="shared" si="272"/>
        <v>1.5707905401235094</v>
      </c>
      <c r="Q569" s="704">
        <f t="shared" si="294"/>
        <v>72.011493226626499</v>
      </c>
      <c r="R569" s="705">
        <f t="shared" si="295"/>
        <v>1.5569092082541627</v>
      </c>
      <c r="S569" s="692">
        <f t="shared" si="273"/>
        <v>1.1092470951401319</v>
      </c>
      <c r="T569" s="695">
        <f t="shared" si="274"/>
        <v>0.4475446256877918</v>
      </c>
      <c r="U569" s="696">
        <f t="shared" si="286"/>
        <v>0.70842082892625635</v>
      </c>
      <c r="V569" s="697">
        <f t="shared" si="287"/>
        <v>-1.01693310935749</v>
      </c>
      <c r="W569" s="698">
        <f t="shared" si="275"/>
        <v>-13.944638896751606</v>
      </c>
      <c r="X569" s="699">
        <f t="shared" si="276"/>
        <v>-178.08387662053391</v>
      </c>
      <c r="Y569" s="702">
        <f t="shared" si="277"/>
        <v>1.9161233794660859</v>
      </c>
      <c r="AA569" s="174">
        <f t="shared" si="278"/>
        <v>95499</v>
      </c>
      <c r="AB569" s="174">
        <f t="shared" si="279"/>
        <v>9120059001</v>
      </c>
      <c r="AD569" s="701">
        <f t="shared" si="280"/>
        <v>26.704496405390159</v>
      </c>
      <c r="AE569" s="702">
        <f t="shared" si="281"/>
        <v>-26.43775995601623</v>
      </c>
      <c r="AG569" s="701">
        <f t="shared" si="282"/>
        <v>-9.2728452179843508</v>
      </c>
      <c r="AH569" s="702">
        <f t="shared" si="283"/>
        <v>-35.114166104760571</v>
      </c>
      <c r="AJ569" s="174">
        <f t="shared" si="284"/>
        <v>0</v>
      </c>
      <c r="AK569" s="174">
        <f t="shared" si="296"/>
        <v>0</v>
      </c>
      <c r="AM569" s="174" t="str">
        <f t="shared" si="288"/>
        <v>1.14310471410692+0.989707553169307i</v>
      </c>
      <c r="AN569" s="174" t="str">
        <f t="shared" si="289"/>
        <v>1.714394037042i</v>
      </c>
      <c r="AO569" s="174" t="str">
        <f t="shared" si="290"/>
        <v>0.577292927871436-0.666768951249517i</v>
      </c>
      <c r="AP569" s="174" t="str">
        <f t="shared" si="291"/>
        <v>-0.0238507856844867-0.164951258861551i</v>
      </c>
      <c r="AQ569" s="174" t="str">
        <f t="shared" si="292"/>
        <v>1.02385078568449+0.164951258861551i</v>
      </c>
      <c r="AR569" s="174" t="str">
        <f t="shared" si="293"/>
        <v>0.793011697669333-0.127761075785121i</v>
      </c>
    </row>
    <row r="570" spans="7:44" x14ac:dyDescent="0.2">
      <c r="G570" s="703">
        <v>96611.5</v>
      </c>
      <c r="H570" s="691">
        <f t="shared" si="285"/>
        <v>96.611500000000007</v>
      </c>
      <c r="I570" s="692">
        <f t="shared" si="265"/>
        <v>94.263256594501328</v>
      </c>
      <c r="J570" s="693">
        <f t="shared" si="266"/>
        <v>1.5601875403589145</v>
      </c>
      <c r="K570" s="693">
        <f t="shared" si="267"/>
        <v>1.0013617227680682</v>
      </c>
      <c r="L570" s="694">
        <f t="shared" si="268"/>
        <v>5.2157057447092439E-2</v>
      </c>
      <c r="M570" s="693">
        <f t="shared" si="269"/>
        <v>1.0075730840716401</v>
      </c>
      <c r="N570" s="694">
        <f t="shared" si="270"/>
        <v>-0.12268331510751464</v>
      </c>
      <c r="O570" s="692">
        <f t="shared" si="271"/>
        <v>174824.05150681364</v>
      </c>
      <c r="P570" s="695">
        <f t="shared" si="272"/>
        <v>1.5707906067581432</v>
      </c>
      <c r="Q570" s="704">
        <f t="shared" si="294"/>
        <v>72.850218514048549</v>
      </c>
      <c r="R570" s="705">
        <f t="shared" si="295"/>
        <v>1.5570691008893291</v>
      </c>
      <c r="S570" s="692">
        <f t="shared" si="273"/>
        <v>1.1116784974391876</v>
      </c>
      <c r="T570" s="695">
        <f t="shared" si="274"/>
        <v>0.45207948541065673</v>
      </c>
      <c r="U570" s="696">
        <f t="shared" si="286"/>
        <v>0.70413220677865118</v>
      </c>
      <c r="V570" s="697">
        <f t="shared" si="287"/>
        <v>-1.0259326369937953</v>
      </c>
      <c r="W570" s="698">
        <f t="shared" si="275"/>
        <v>-14.115247203659544</v>
      </c>
      <c r="X570" s="699">
        <f t="shared" si="276"/>
        <v>-178.90305948247891</v>
      </c>
      <c r="Y570" s="702">
        <f t="shared" si="277"/>
        <v>1.0969405175210909</v>
      </c>
      <c r="AA570" s="174">
        <f t="shared" si="278"/>
        <v>96611.5</v>
      </c>
      <c r="AB570" s="174">
        <f t="shared" si="279"/>
        <v>9333781932.25</v>
      </c>
      <c r="AD570" s="701">
        <f t="shared" si="280"/>
        <v>26.685459121465051</v>
      </c>
      <c r="AE570" s="702">
        <f t="shared" si="281"/>
        <v>-26.688430923819713</v>
      </c>
      <c r="AG570" s="701">
        <f t="shared" si="282"/>
        <v>-9.3189317396760529</v>
      </c>
      <c r="AH570" s="702">
        <f t="shared" si="283"/>
        <v>-34.651408095380354</v>
      </c>
      <c r="AJ570" s="174">
        <f t="shared" si="284"/>
        <v>0</v>
      </c>
      <c r="AK570" s="174">
        <f t="shared" si="296"/>
        <v>0</v>
      </c>
      <c r="AM570" s="174" t="str">
        <f t="shared" si="288"/>
        <v>1.16284085863572+0.986652347465298i</v>
      </c>
      <c r="AN570" s="174" t="str">
        <f t="shared" si="289"/>
        <v>1.734365590317i</v>
      </c>
      <c r="AO570" s="174" t="str">
        <f t="shared" si="290"/>
        <v>0.568883719196113-0.670470438947754i</v>
      </c>
      <c r="AP570" s="174" t="str">
        <f t="shared" si="291"/>
        <v>-0.0271401431059527-0.164442057910883i</v>
      </c>
      <c r="AQ570" s="174" t="str">
        <f t="shared" si="292"/>
        <v>1.02714014310595+0.164442057910883i</v>
      </c>
      <c r="AR570" s="174" t="str">
        <f t="shared" si="293"/>
        <v>0.790722575508128-0.12659231403415i</v>
      </c>
    </row>
    <row r="571" spans="7:44" x14ac:dyDescent="0.2">
      <c r="G571" s="703">
        <v>97724</v>
      </c>
      <c r="H571" s="691">
        <f t="shared" si="285"/>
        <v>97.724000000000004</v>
      </c>
      <c r="I571" s="692">
        <f t="shared" si="265"/>
        <v>95.348594655480312</v>
      </c>
      <c r="J571" s="693">
        <f t="shared" si="266"/>
        <v>1.5603083029602933</v>
      </c>
      <c r="K571" s="693">
        <f t="shared" si="267"/>
        <v>1.0013932423887812</v>
      </c>
      <c r="L571" s="694">
        <f t="shared" si="268"/>
        <v>5.2756548522292994E-2</v>
      </c>
      <c r="M571" s="693">
        <f t="shared" si="269"/>
        <v>1.0077478249214047</v>
      </c>
      <c r="N571" s="694">
        <f t="shared" si="270"/>
        <v>-0.12408166218958172</v>
      </c>
      <c r="O571" s="692">
        <f t="shared" si="271"/>
        <v>176837.18407690106</v>
      </c>
      <c r="P571" s="695">
        <f t="shared" si="272"/>
        <v>1.5707906718756259</v>
      </c>
      <c r="Q571" s="704">
        <f t="shared" si="294"/>
        <v>73.688945621537115</v>
      </c>
      <c r="R571" s="705">
        <f t="shared" si="295"/>
        <v>1.5572253537345144</v>
      </c>
      <c r="S571" s="692">
        <f t="shared" si="273"/>
        <v>1.114132661297345</v>
      </c>
      <c r="T571" s="695">
        <f t="shared" si="274"/>
        <v>0.45659445925382552</v>
      </c>
      <c r="U571" s="696">
        <f t="shared" si="286"/>
        <v>0.69986221364643597</v>
      </c>
      <c r="V571" s="697">
        <f t="shared" si="287"/>
        <v>-1.0348777019622644</v>
      </c>
      <c r="W571" s="698">
        <f t="shared" si="275"/>
        <v>-14.284910496932426</v>
      </c>
      <c r="X571" s="699">
        <f t="shared" si="276"/>
        <v>-179.71800426680429</v>
      </c>
      <c r="Y571" s="702">
        <f t="shared" si="277"/>
        <v>0.28199573319571414</v>
      </c>
      <c r="AA571" s="174">
        <f t="shared" si="278"/>
        <v>97724</v>
      </c>
      <c r="AB571" s="174">
        <f t="shared" si="279"/>
        <v>9549980176</v>
      </c>
      <c r="AD571" s="701">
        <f t="shared" si="280"/>
        <v>26.666286585408393</v>
      </c>
      <c r="AE571" s="702">
        <f t="shared" si="281"/>
        <v>-26.938170972321526</v>
      </c>
      <c r="AG571" s="701">
        <f t="shared" si="282"/>
        <v>-9.3637559702599695</v>
      </c>
      <c r="AH571" s="702">
        <f t="shared" si="283"/>
        <v>-34.191583889705491</v>
      </c>
      <c r="AJ571" s="174">
        <f t="shared" si="284"/>
        <v>0</v>
      </c>
      <c r="AK571" s="174">
        <f t="shared" si="296"/>
        <v>0</v>
      </c>
      <c r="AM571" s="174" t="str">
        <f t="shared" si="288"/>
        <v>1.1825120541397+0.983203615785512i</v>
      </c>
      <c r="AN571" s="174" t="str">
        <f t="shared" si="289"/>
        <v>1.754337143592i</v>
      </c>
      <c r="AO571" s="174" t="str">
        <f t="shared" si="290"/>
        <v>0.560441657053675-0.674050628443351i</v>
      </c>
      <c r="AP571" s="174" t="str">
        <f t="shared" si="291"/>
        <v>-0.0304186756899508-0.163867269297585i</v>
      </c>
      <c r="AQ571" s="174" t="str">
        <f t="shared" si="292"/>
        <v>1.03041867568995+0.163867269297585i</v>
      </c>
      <c r="AR571" s="174" t="str">
        <f t="shared" si="293"/>
        <v>0.788468517348159-0.125389985559458i</v>
      </c>
    </row>
    <row r="572" spans="7:44" x14ac:dyDescent="0.2">
      <c r="G572" s="703">
        <v>98862</v>
      </c>
      <c r="H572" s="691">
        <f t="shared" si="285"/>
        <v>98.861999999999995</v>
      </c>
      <c r="I572" s="692">
        <f t="shared" si="265"/>
        <v>96.458811534147728</v>
      </c>
      <c r="J572" s="693">
        <f t="shared" si="266"/>
        <v>1.560429021850728</v>
      </c>
      <c r="K572" s="693">
        <f t="shared" si="267"/>
        <v>1.0014258568164729</v>
      </c>
      <c r="L572" s="694">
        <f t="shared" si="268"/>
        <v>5.3369741469870807E-2</v>
      </c>
      <c r="M572" s="693">
        <f t="shared" si="269"/>
        <v>1.0079286091423627</v>
      </c>
      <c r="N572" s="694">
        <f t="shared" si="270"/>
        <v>-0.12551155675102965</v>
      </c>
      <c r="O572" s="692">
        <f t="shared" si="271"/>
        <v>178896.46035983175</v>
      </c>
      <c r="P572" s="695">
        <f t="shared" si="272"/>
        <v>1.5707907369693741</v>
      </c>
      <c r="Q572" s="704">
        <f t="shared" si="294"/>
        <v>74.546899304272856</v>
      </c>
      <c r="R572" s="705">
        <f t="shared" si="295"/>
        <v>1.5573815502895354</v>
      </c>
      <c r="S572" s="692">
        <f t="shared" si="273"/>
        <v>1.1166664715598118</v>
      </c>
      <c r="T572" s="695">
        <f t="shared" si="274"/>
        <v>0.46119229301272696</v>
      </c>
      <c r="U572" s="696">
        <f t="shared" si="286"/>
        <v>0.69551406288593354</v>
      </c>
      <c r="V572" s="697">
        <f t="shared" si="287"/>
        <v>-1.0439723283729385</v>
      </c>
      <c r="W572" s="698">
        <f t="shared" si="275"/>
        <v>-14.457504084276238</v>
      </c>
      <c r="X572" s="699">
        <f t="shared" si="276"/>
        <v>-180.54728901136508</v>
      </c>
      <c r="Y572" s="702">
        <f t="shared" si="277"/>
        <v>-0.54728901136508057</v>
      </c>
      <c r="AA572" s="174">
        <f t="shared" si="278"/>
        <v>98862</v>
      </c>
      <c r="AB572" s="174">
        <f t="shared" si="279"/>
        <v>9773695044</v>
      </c>
      <c r="AD572" s="701">
        <f t="shared" si="280"/>
        <v>26.646536868786399</v>
      </c>
      <c r="AE572" s="702">
        <f t="shared" si="281"/>
        <v>-27.192661768120008</v>
      </c>
      <c r="AG572" s="701">
        <f t="shared" si="282"/>
        <v>-9.4083346210140029</v>
      </c>
      <c r="AH572" s="702">
        <f t="shared" si="283"/>
        <v>-33.724210418117281</v>
      </c>
      <c r="AJ572" s="174">
        <f t="shared" si="284"/>
        <v>0</v>
      </c>
      <c r="AK572" s="174">
        <f t="shared" si="296"/>
        <v>0</v>
      </c>
      <c r="AM572" s="174" t="str">
        <f t="shared" si="288"/>
        <v>1.20255876128209+0.979270109943046i</v>
      </c>
      <c r="AN572" s="174" t="str">
        <f t="shared" si="289"/>
        <v>1.774766471796i</v>
      </c>
      <c r="AO572" s="174" t="str">
        <f t="shared" si="290"/>
        <v>0.551774064647536-0.677587040544632i</v>
      </c>
      <c r="AP572" s="174" t="str">
        <f t="shared" si="291"/>
        <v>-0.0337597935470148-0.163211684990508i</v>
      </c>
      <c r="AQ572" s="174" t="str">
        <f t="shared" si="292"/>
        <v>1.03375979354701+0.163211684990508i</v>
      </c>
      <c r="AR572" s="174" t="str">
        <f t="shared" si="293"/>
        <v>0.786199196348338-0.124126413481335i</v>
      </c>
    </row>
    <row r="573" spans="7:44" x14ac:dyDescent="0.2">
      <c r="G573" s="703">
        <v>100000</v>
      </c>
      <c r="H573" s="691">
        <f t="shared" si="285"/>
        <v>100</v>
      </c>
      <c r="I573" s="692">
        <f t="shared" si="265"/>
        <v>97.569029786523984</v>
      </c>
      <c r="J573" s="693">
        <f t="shared" si="266"/>
        <v>1.5605469934711822</v>
      </c>
      <c r="K573" s="693">
        <f t="shared" si="267"/>
        <v>1.0014588477612774</v>
      </c>
      <c r="L573" s="694">
        <f t="shared" si="268"/>
        <v>5.3982894247293994E-2</v>
      </c>
      <c r="M573" s="693">
        <f t="shared" si="269"/>
        <v>1.008111453431014</v>
      </c>
      <c r="N573" s="694">
        <f t="shared" si="270"/>
        <v>-0.12694093554531646</v>
      </c>
      <c r="O573" s="692">
        <f t="shared" si="271"/>
        <v>180955.73664276314</v>
      </c>
      <c r="P573" s="695">
        <f t="shared" si="272"/>
        <v>1.5707908005815885</v>
      </c>
      <c r="Q573" s="704">
        <f t="shared" si="294"/>
        <v>75.404854764369105</v>
      </c>
      <c r="R573" s="705">
        <f t="shared" si="295"/>
        <v>1.5575341924434534</v>
      </c>
      <c r="S573" s="692">
        <f t="shared" si="273"/>
        <v>1.119223781060102</v>
      </c>
      <c r="T573" s="695">
        <f t="shared" si="274"/>
        <v>0.46576921202112059</v>
      </c>
      <c r="U573" s="696">
        <f t="shared" si="286"/>
        <v>0.69118627047541359</v>
      </c>
      <c r="V573" s="697">
        <f t="shared" si="287"/>
        <v>-1.0530117521994857</v>
      </c>
      <c r="W573" s="698">
        <f t="shared" si="275"/>
        <v>-14.629147006348974</v>
      </c>
      <c r="X573" s="699">
        <f t="shared" si="276"/>
        <v>-181.37223146451853</v>
      </c>
      <c r="Y573" s="702">
        <f t="shared" si="277"/>
        <v>-1.3722314645185349</v>
      </c>
      <c r="AA573" s="174">
        <f t="shared" si="278"/>
        <v>100000</v>
      </c>
      <c r="AB573" s="174">
        <f t="shared" si="279"/>
        <v>10000000000</v>
      </c>
      <c r="AD573" s="701">
        <f t="shared" si="280"/>
        <v>26.62665012408587</v>
      </c>
      <c r="AE573" s="702">
        <f t="shared" si="281"/>
        <v>-27.446157804279956</v>
      </c>
      <c r="AG573" s="701">
        <f t="shared" si="282"/>
        <v>-9.4516582887875025</v>
      </c>
      <c r="AH573" s="702">
        <f t="shared" si="283"/>
        <v>-33.259815164944882</v>
      </c>
      <c r="AJ573" s="174">
        <f t="shared" si="284"/>
        <v>0</v>
      </c>
      <c r="AK573" s="174">
        <f t="shared" si="296"/>
        <v>0</v>
      </c>
      <c r="AM573" s="174" t="str">
        <f t="shared" si="288"/>
        <v>1.22252093195643+0.974927912638283i</v>
      </c>
      <c r="AN573" s="174" t="str">
        <f t="shared" si="289"/>
        <v>1.7951958i</v>
      </c>
      <c r="AO573" s="174" t="str">
        <f t="shared" si="290"/>
        <v>0.543076088211817-0.680995873517769i</v>
      </c>
      <c r="AP573" s="174" t="str">
        <f t="shared" si="291"/>
        <v>-0.0370868219927392-0.162487985439714i</v>
      </c>
      <c r="AQ573" s="174" t="str">
        <f t="shared" si="292"/>
        <v>1.03708682199274+0.162487985439714i</v>
      </c>
      <c r="AR573" s="174" t="str">
        <f t="shared" si="293"/>
        <v>0.783966793506756-0.122829817356831i</v>
      </c>
    </row>
    <row r="574" spans="7:44" x14ac:dyDescent="0.2">
      <c r="G574" s="703">
        <v>101165</v>
      </c>
      <c r="H574" s="691">
        <f t="shared" si="285"/>
        <v>101.16500000000001</v>
      </c>
      <c r="I574" s="692">
        <f t="shared" si="265"/>
        <v>98.705590268333808</v>
      </c>
      <c r="J574" s="693">
        <f t="shared" si="266"/>
        <v>1.5606650150350194</v>
      </c>
      <c r="K574" s="693">
        <f t="shared" si="267"/>
        <v>1.0014930114277973</v>
      </c>
      <c r="L574" s="694">
        <f t="shared" si="268"/>
        <v>5.4610552497971768E-2</v>
      </c>
      <c r="M574" s="693">
        <f t="shared" si="269"/>
        <v>1.0083007686456338</v>
      </c>
      <c r="N574" s="694">
        <f t="shared" si="270"/>
        <v>-0.1284036874734493</v>
      </c>
      <c r="O574" s="692">
        <f t="shared" si="271"/>
        <v>183063.87097458728</v>
      </c>
      <c r="P574" s="695">
        <f t="shared" si="272"/>
        <v>1.5707908642205795</v>
      </c>
      <c r="Q574" s="704">
        <f t="shared" si="294"/>
        <v>76.28316771247809</v>
      </c>
      <c r="R574" s="705">
        <f t="shared" si="295"/>
        <v>1.5576868994676123</v>
      </c>
      <c r="S574" s="692">
        <f t="shared" si="273"/>
        <v>1.1218659392329877</v>
      </c>
      <c r="T574" s="695">
        <f t="shared" si="274"/>
        <v>0.47043300712894853</v>
      </c>
      <c r="U574" s="696">
        <f t="shared" si="286"/>
        <v>0.68677729384236097</v>
      </c>
      <c r="V574" s="697">
        <f t="shared" si="287"/>
        <v>-1.0622094075866539</v>
      </c>
      <c r="W574" s="698">
        <f t="shared" si="275"/>
        <v>-14.803896636475038</v>
      </c>
      <c r="X574" s="699">
        <f t="shared" si="276"/>
        <v>-182.2122977357462</v>
      </c>
      <c r="Y574" s="702">
        <f t="shared" si="277"/>
        <v>-2.2122977357462048</v>
      </c>
      <c r="AA574" s="174">
        <f t="shared" si="278"/>
        <v>101165</v>
      </c>
      <c r="AB574" s="174">
        <f t="shared" si="279"/>
        <v>10234357225</v>
      </c>
      <c r="AD574" s="701">
        <f t="shared" si="280"/>
        <v>26.606151967583639</v>
      </c>
      <c r="AE574" s="702">
        <f t="shared" si="281"/>
        <v>-27.704627759026884</v>
      </c>
      <c r="AG574" s="701">
        <f t="shared" si="282"/>
        <v>-9.4947427732962275</v>
      </c>
      <c r="AH574" s="702">
        <f t="shared" si="283"/>
        <v>-32.787437810020258</v>
      </c>
      <c r="AJ574" s="174">
        <f t="shared" si="284"/>
        <v>0</v>
      </c>
      <c r="AK574" s="174">
        <f t="shared" si="296"/>
        <v>0</v>
      </c>
      <c r="AM574" s="174" t="str">
        <f t="shared" si="288"/>
        <v>1.24286045506259+0.970061234854167i</v>
      </c>
      <c r="AN574" s="174" t="str">
        <f t="shared" si="289"/>
        <v>1.81610983107i</v>
      </c>
      <c r="AO574" s="174" t="str">
        <f t="shared" si="290"/>
        <v>0.534142384044381-0.684353134265196i</v>
      </c>
      <c r="AP574" s="174" t="str">
        <f t="shared" si="291"/>
        <v>-0.0404767425104317-0.161676872475694i</v>
      </c>
      <c r="AQ574" s="174" t="str">
        <f t="shared" si="292"/>
        <v>1.04047674251043+0.161676872475694i</v>
      </c>
      <c r="AR574" s="174" t="str">
        <f t="shared" si="293"/>
        <v>0.781719750846962-0.121469321999909i</v>
      </c>
    </row>
    <row r="575" spans="7:44" x14ac:dyDescent="0.2">
      <c r="G575" s="703">
        <v>102330</v>
      </c>
      <c r="H575" s="691">
        <f t="shared" si="285"/>
        <v>102.33</v>
      </c>
      <c r="I575" s="692">
        <f t="shared" si="265"/>
        <v>99.842152093720557</v>
      </c>
      <c r="J575" s="693">
        <f t="shared" si="266"/>
        <v>1.5607803495829513</v>
      </c>
      <c r="K575" s="693">
        <f t="shared" si="267"/>
        <v>1.0015275696103687</v>
      </c>
      <c r="L575" s="694">
        <f t="shared" si="268"/>
        <v>5.5238167680597736E-2</v>
      </c>
      <c r="M575" s="693">
        <f t="shared" si="269"/>
        <v>1.0084922404514676</v>
      </c>
      <c r="N575" s="694">
        <f t="shared" si="270"/>
        <v>-0.12986588709456073</v>
      </c>
      <c r="O575" s="692">
        <f t="shared" si="271"/>
        <v>185172.0053064122</v>
      </c>
      <c r="P575" s="695">
        <f t="shared" si="272"/>
        <v>1.570790926410544</v>
      </c>
      <c r="Q575" s="704">
        <f t="shared" si="294"/>
        <v>77.161482398970207</v>
      </c>
      <c r="R575" s="705">
        <f t="shared" si="295"/>
        <v>1.557836130024338</v>
      </c>
      <c r="S575" s="692">
        <f t="shared" si="273"/>
        <v>1.124532384119562</v>
      </c>
      <c r="T575" s="695">
        <f t="shared" si="274"/>
        <v>0.47507478560518329</v>
      </c>
      <c r="U575" s="696">
        <f t="shared" si="286"/>
        <v>0.68239044868371279</v>
      </c>
      <c r="V575" s="697">
        <f t="shared" si="287"/>
        <v>-1.071351134169275</v>
      </c>
      <c r="W575" s="698">
        <f t="shared" si="275"/>
        <v>-14.97768808947006</v>
      </c>
      <c r="X575" s="699">
        <f t="shared" si="276"/>
        <v>-183.04791403441951</v>
      </c>
      <c r="Y575" s="702">
        <f t="shared" si="277"/>
        <v>-3.0479140344195059</v>
      </c>
      <c r="AA575" s="174">
        <f t="shared" si="278"/>
        <v>102330</v>
      </c>
      <c r="AB575" s="174">
        <f t="shared" si="279"/>
        <v>10471428900</v>
      </c>
      <c r="AD575" s="701">
        <f t="shared" si="280"/>
        <v>26.585514990620922</v>
      </c>
      <c r="AE575" s="702">
        <f t="shared" si="281"/>
        <v>-27.962035357591656</v>
      </c>
      <c r="AG575" s="701">
        <f t="shared" si="282"/>
        <v>-9.5365777020961087</v>
      </c>
      <c r="AH575" s="702">
        <f t="shared" si="283"/>
        <v>-32.318081807638258</v>
      </c>
      <c r="AJ575" s="174">
        <f t="shared" si="284"/>
        <v>0</v>
      </c>
      <c r="AK575" s="174">
        <f t="shared" si="296"/>
        <v>0</v>
      </c>
      <c r="AM575" s="174" t="str">
        <f t="shared" si="288"/>
        <v>1.26309375568008+0.964770270956849i</v>
      </c>
      <c r="AN575" s="174" t="str">
        <f t="shared" si="289"/>
        <v>1.83702386214i</v>
      </c>
      <c r="AO575" s="174" t="str">
        <f t="shared" si="290"/>
        <v>0.525181131742601-0.687576128819942i</v>
      </c>
      <c r="AP575" s="174" t="str">
        <f t="shared" si="291"/>
        <v>-0.0438489592800127-0.160795045159475i</v>
      </c>
      <c r="AQ575" s="174" t="str">
        <f t="shared" si="292"/>
        <v>1.04384895928001+0.160795045159475i</v>
      </c>
      <c r="AR575" s="174" t="str">
        <f t="shared" si="293"/>
        <v>0.779511544657564-0.120076370159912i</v>
      </c>
    </row>
    <row r="576" spans="7:44" x14ac:dyDescent="0.2">
      <c r="G576" s="703">
        <v>103520</v>
      </c>
      <c r="H576" s="691">
        <f t="shared" si="285"/>
        <v>103.52</v>
      </c>
      <c r="I576" s="692">
        <f t="shared" si="265"/>
        <v>101.00310499782182</v>
      </c>
      <c r="J576" s="693">
        <f t="shared" si="266"/>
        <v>1.5608954793109977</v>
      </c>
      <c r="K576" s="693">
        <f t="shared" si="267"/>
        <v>1.0015632766482776</v>
      </c>
      <c r="L576" s="694">
        <f t="shared" si="268"/>
        <v>5.5879206026457774E-2</v>
      </c>
      <c r="M576" s="693">
        <f t="shared" si="269"/>
        <v>1.0086900463232082</v>
      </c>
      <c r="N576" s="694">
        <f t="shared" si="270"/>
        <v>-0.13135888800530005</v>
      </c>
      <c r="O576" s="692">
        <f t="shared" si="271"/>
        <v>187325.37857239714</v>
      </c>
      <c r="P576" s="695">
        <f t="shared" si="272"/>
        <v>1.5707909884899236</v>
      </c>
      <c r="Q576" s="704">
        <f t="shared" si="294"/>
        <v>78.05864677383147</v>
      </c>
      <c r="R576" s="705">
        <f t="shared" si="295"/>
        <v>1.5579850957979271</v>
      </c>
      <c r="S576" s="692">
        <f t="shared" si="273"/>
        <v>1.1272809437099676</v>
      </c>
      <c r="T576" s="695">
        <f t="shared" si="274"/>
        <v>0.47979339790793341</v>
      </c>
      <c r="U576" s="696">
        <f t="shared" si="286"/>
        <v>0.67793268255486228</v>
      </c>
      <c r="V576" s="697">
        <f t="shared" si="287"/>
        <v>-1.0806323076157769</v>
      </c>
      <c r="W576" s="698">
        <f t="shared" si="275"/>
        <v>-15.154238771158317</v>
      </c>
      <c r="X576" s="699">
        <f t="shared" si="276"/>
        <v>-183.89692142646135</v>
      </c>
      <c r="Y576" s="702">
        <f t="shared" si="277"/>
        <v>-3.896921426461347</v>
      </c>
      <c r="AA576" s="174">
        <f t="shared" si="278"/>
        <v>103520</v>
      </c>
      <c r="AB576" s="174">
        <f t="shared" si="279"/>
        <v>10716390400</v>
      </c>
      <c r="AD576" s="701">
        <f t="shared" si="280"/>
        <v>26.564294341545338</v>
      </c>
      <c r="AE576" s="702">
        <f t="shared" si="281"/>
        <v>-28.223860374764811</v>
      </c>
      <c r="AG576" s="701">
        <f t="shared" si="282"/>
        <v>-9.5780530119934841</v>
      </c>
      <c r="AH576" s="702">
        <f t="shared" si="283"/>
        <v>-31.841720046464758</v>
      </c>
      <c r="AJ576" s="174">
        <f t="shared" si="284"/>
        <v>0</v>
      </c>
      <c r="AK576" s="174">
        <f t="shared" si="296"/>
        <v>0</v>
      </c>
      <c r="AM576" s="174" t="str">
        <f t="shared" si="288"/>
        <v>1.28364237954082+0.958930133288353i</v>
      </c>
      <c r="AN576" s="174" t="str">
        <f t="shared" si="289"/>
        <v>1.85838669216i</v>
      </c>
      <c r="AO576" s="174" t="str">
        <f t="shared" si="290"/>
        <v>0.516001399134961-0.690729429432603i</v>
      </c>
      <c r="AP576" s="174" t="str">
        <f t="shared" si="291"/>
        <v>-0.0472737299234708-0.159821688881392i</v>
      </c>
      <c r="AQ576" s="174" t="str">
        <f t="shared" si="292"/>
        <v>1.04727372992347+0.159821688881392i</v>
      </c>
      <c r="AR576" s="174" t="str">
        <f t="shared" si="293"/>
        <v>0.777296088317989-0.118621111220806i</v>
      </c>
    </row>
    <row r="577" spans="7:44" x14ac:dyDescent="0.2">
      <c r="G577" s="703">
        <v>104710</v>
      </c>
      <c r="H577" s="691">
        <f t="shared" si="285"/>
        <v>104.71</v>
      </c>
      <c r="I577" s="692">
        <f t="shared" si="265"/>
        <v>102.16405921027773</v>
      </c>
      <c r="J577" s="693">
        <f t="shared" si="266"/>
        <v>1.5610079924580458</v>
      </c>
      <c r="K577" s="693">
        <f t="shared" si="267"/>
        <v>1.0015993952293012</v>
      </c>
      <c r="L577" s="694">
        <f t="shared" si="268"/>
        <v>5.6520198402858886E-2</v>
      </c>
      <c r="M577" s="693">
        <f t="shared" si="269"/>
        <v>1.0088900997326442</v>
      </c>
      <c r="N577" s="694">
        <f t="shared" si="270"/>
        <v>-0.1328513001455574</v>
      </c>
      <c r="O577" s="692">
        <f t="shared" si="271"/>
        <v>189478.75183838283</v>
      </c>
      <c r="P577" s="695">
        <f t="shared" si="272"/>
        <v>1.5707910491582735</v>
      </c>
      <c r="Q577" s="704">
        <f t="shared" si="294"/>
        <v>78.955812841511531</v>
      </c>
      <c r="R577" s="705">
        <f t="shared" si="295"/>
        <v>1.5581306762118479</v>
      </c>
      <c r="S577" s="692">
        <f t="shared" si="273"/>
        <v>1.1300544801314039</v>
      </c>
      <c r="T577" s="695">
        <f t="shared" si="274"/>
        <v>0.48448895218772148</v>
      </c>
      <c r="U577" s="696">
        <f t="shared" si="286"/>
        <v>0.67349872231689156</v>
      </c>
      <c r="V577" s="697">
        <f t="shared" si="287"/>
        <v>-1.0898571845823568</v>
      </c>
      <c r="W577" s="698">
        <f t="shared" si="275"/>
        <v>-15.32982767922049</v>
      </c>
      <c r="X577" s="699">
        <f t="shared" si="276"/>
        <v>-184.74139500711672</v>
      </c>
      <c r="Y577" s="702">
        <f t="shared" si="277"/>
        <v>-4.7413950071167221</v>
      </c>
      <c r="AA577" s="174">
        <f t="shared" si="278"/>
        <v>104710</v>
      </c>
      <c r="AB577" s="174">
        <f t="shared" si="279"/>
        <v>10964184100</v>
      </c>
      <c r="AD577" s="701">
        <f t="shared" si="280"/>
        <v>26.542933914244195</v>
      </c>
      <c r="AE577" s="702">
        <f t="shared" si="281"/>
        <v>-28.484558150512125</v>
      </c>
      <c r="AG577" s="701">
        <f t="shared" si="282"/>
        <v>-9.6182896842473298</v>
      </c>
      <c r="AH577" s="702">
        <f t="shared" si="283"/>
        <v>-31.368402816740019</v>
      </c>
      <c r="AJ577" s="174">
        <f t="shared" si="284"/>
        <v>0</v>
      </c>
      <c r="AK577" s="174">
        <f t="shared" si="296"/>
        <v>0</v>
      </c>
      <c r="AM577" s="174" t="str">
        <f t="shared" si="288"/>
        <v>1.30406156230804+0.952652384832366i</v>
      </c>
      <c r="AN577" s="174" t="str">
        <f t="shared" si="289"/>
        <v>1.87974952218i</v>
      </c>
      <c r="AO577" s="174" t="str">
        <f t="shared" si="290"/>
        <v>0.50679751402599-0.693742196458006i</v>
      </c>
      <c r="AP577" s="174" t="str">
        <f t="shared" si="291"/>
        <v>-0.0506769270513397-0.158775397472061i</v>
      </c>
      <c r="AQ577" s="174" t="str">
        <f t="shared" si="292"/>
        <v>1.05067692705134+0.158775397472061i</v>
      </c>
      <c r="AR577" s="174" t="str">
        <f t="shared" si="293"/>
        <v>0.775121213083176-0.117134178478342i</v>
      </c>
    </row>
    <row r="578" spans="7:44" x14ac:dyDescent="0.2">
      <c r="G578" s="703">
        <v>105930</v>
      </c>
      <c r="H578" s="691">
        <f t="shared" si="285"/>
        <v>105.93</v>
      </c>
      <c r="I578" s="692">
        <f t="shared" si="265"/>
        <v>103.35428248807962</v>
      </c>
      <c r="J578" s="693">
        <f t="shared" si="266"/>
        <v>1.5611207180150994</v>
      </c>
      <c r="K578" s="693">
        <f t="shared" si="267"/>
        <v>1.0016368515526251</v>
      </c>
      <c r="L578" s="694">
        <f t="shared" si="268"/>
        <v>5.7177301982352297E-2</v>
      </c>
      <c r="M578" s="693">
        <f t="shared" si="269"/>
        <v>1.0090975283487136</v>
      </c>
      <c r="N578" s="694">
        <f t="shared" si="270"/>
        <v>-0.1343807183084588</v>
      </c>
      <c r="O578" s="692">
        <f t="shared" si="271"/>
        <v>191686.41182536044</v>
      </c>
      <c r="P578" s="695">
        <f t="shared" si="272"/>
        <v>1.5707911099410232</v>
      </c>
      <c r="Q578" s="704">
        <f t="shared" si="294"/>
        <v>79.875598238806546</v>
      </c>
      <c r="R578" s="705">
        <f t="shared" si="295"/>
        <v>1.5582765316792524</v>
      </c>
      <c r="S578" s="692">
        <f t="shared" si="273"/>
        <v>1.1329236748638403</v>
      </c>
      <c r="T578" s="695">
        <f t="shared" si="274"/>
        <v>0.48927890585378575</v>
      </c>
      <c r="U578" s="696">
        <f t="shared" si="286"/>
        <v>0.6689780222002496</v>
      </c>
      <c r="V578" s="697">
        <f t="shared" si="287"/>
        <v>-1.0992572677498267</v>
      </c>
      <c r="W578" s="698">
        <f t="shared" si="275"/>
        <v>-15.508863839160444</v>
      </c>
      <c r="X578" s="699">
        <f t="shared" si="276"/>
        <v>-185.60250945239068</v>
      </c>
      <c r="Y578" s="702">
        <f t="shared" si="277"/>
        <v>-5.6025094523906773</v>
      </c>
      <c r="AA578" s="174">
        <f t="shared" si="278"/>
        <v>105930</v>
      </c>
      <c r="AB578" s="174">
        <f t="shared" si="279"/>
        <v>11221164900</v>
      </c>
      <c r="AD578" s="701">
        <f t="shared" si="280"/>
        <v>26.520892539884656</v>
      </c>
      <c r="AE578" s="702">
        <f t="shared" si="281"/>
        <v>-28.750648859838716</v>
      </c>
      <c r="AG578" s="701">
        <f t="shared" si="282"/>
        <v>-9.6582874316809058</v>
      </c>
      <c r="AH578" s="702">
        <f t="shared" si="283"/>
        <v>-30.88625636632052</v>
      </c>
      <c r="AJ578" s="174">
        <f t="shared" si="284"/>
        <v>0</v>
      </c>
      <c r="AK578" s="174">
        <f t="shared" si="296"/>
        <v>0</v>
      </c>
      <c r="AM578" s="174" t="str">
        <f t="shared" si="288"/>
        <v>1.32485138275726+0.945765076073704i</v>
      </c>
      <c r="AN578" s="174" t="str">
        <f t="shared" si="289"/>
        <v>1.90165091094i</v>
      </c>
      <c r="AO578" s="174" t="str">
        <f t="shared" si="290"/>
        <v>0.497338954606661-0.696684851638925i</v>
      </c>
      <c r="AP578" s="174" t="str">
        <f t="shared" si="291"/>
        <v>-0.0541418971262092-0.157627512678951i</v>
      </c>
      <c r="AQ578" s="174" t="str">
        <f t="shared" si="292"/>
        <v>1.05414189712621+0.157627512678951i</v>
      </c>
      <c r="AR578" s="174" t="str">
        <f t="shared" si="293"/>
        <v>0.772933634870621-0.115577994445248i</v>
      </c>
    </row>
    <row r="579" spans="7:44" x14ac:dyDescent="0.2">
      <c r="G579" s="703">
        <v>107150</v>
      </c>
      <c r="H579" s="691">
        <f t="shared" si="285"/>
        <v>107.15</v>
      </c>
      <c r="I579" s="692">
        <f t="shared" si="265"/>
        <v>104.54450704930557</v>
      </c>
      <c r="J579" s="693">
        <f t="shared" si="266"/>
        <v>1.5612308768441885</v>
      </c>
      <c r="K579" s="693">
        <f t="shared" si="267"/>
        <v>1.0016747403353774</v>
      </c>
      <c r="L579" s="694">
        <f t="shared" si="268"/>
        <v>5.7834356135076689E-2</v>
      </c>
      <c r="M579" s="693">
        <f t="shared" si="269"/>
        <v>1.0093073163914907</v>
      </c>
      <c r="N579" s="694">
        <f t="shared" si="270"/>
        <v>-0.13590950425635209</v>
      </c>
      <c r="O579" s="692">
        <f t="shared" si="271"/>
        <v>193894.07181233872</v>
      </c>
      <c r="P579" s="695">
        <f t="shared" si="272"/>
        <v>1.5707911693396395</v>
      </c>
      <c r="Q579" s="704">
        <f t="shared" si="294"/>
        <v>80.795385296671284</v>
      </c>
      <c r="R579" s="705">
        <f t="shared" si="295"/>
        <v>1.5584190662676103</v>
      </c>
      <c r="S579" s="692">
        <f t="shared" si="273"/>
        <v>1.1358187313365644</v>
      </c>
      <c r="T579" s="695">
        <f t="shared" si="274"/>
        <v>0.49404455044218698</v>
      </c>
      <c r="U579" s="696">
        <f t="shared" si="286"/>
        <v>0.66448297479467955</v>
      </c>
      <c r="V579" s="697">
        <f t="shared" si="287"/>
        <v>-1.1086003951479111</v>
      </c>
      <c r="W579" s="698">
        <f t="shared" si="275"/>
        <v>-15.686927300962237</v>
      </c>
      <c r="X579" s="699">
        <f t="shared" si="276"/>
        <v>-186.45897750396327</v>
      </c>
      <c r="Y579" s="702">
        <f t="shared" si="277"/>
        <v>-6.4589775039632684</v>
      </c>
      <c r="AA579" s="174">
        <f t="shared" si="278"/>
        <v>107150</v>
      </c>
      <c r="AB579" s="174">
        <f t="shared" si="279"/>
        <v>11481122500</v>
      </c>
      <c r="AD579" s="701">
        <f t="shared" si="280"/>
        <v>26.498709644049327</v>
      </c>
      <c r="AE579" s="702">
        <f t="shared" si="281"/>
        <v>-29.015536954658625</v>
      </c>
      <c r="AG579" s="701">
        <f t="shared" si="282"/>
        <v>-9.6970483108760792</v>
      </c>
      <c r="AH579" s="702">
        <f t="shared" si="283"/>
        <v>-30.407192787123272</v>
      </c>
      <c r="AJ579" s="174">
        <f t="shared" si="284"/>
        <v>0</v>
      </c>
      <c r="AK579" s="174">
        <f t="shared" si="296"/>
        <v>0</v>
      </c>
      <c r="AM579" s="174" t="str">
        <f t="shared" si="288"/>
        <v>1.3454853877027+0.938424129529882i</v>
      </c>
      <c r="AN579" s="174" t="str">
        <f t="shared" si="289"/>
        <v>1.9235522997i</v>
      </c>
      <c r="AO579" s="174" t="str">
        <f t="shared" si="290"/>
        <v>0.487859950403345-0.699479493181726i</v>
      </c>
      <c r="AP579" s="174" t="str">
        <f t="shared" si="291"/>
        <v>-0.0575808979504497-0.156404021588314i</v>
      </c>
      <c r="AQ579" s="174" t="str">
        <f t="shared" si="292"/>
        <v>1.05758089795045+0.156404021588314i</v>
      </c>
      <c r="AR579" s="174" t="str">
        <f t="shared" si="293"/>
        <v>0.770788682342358-0.113990759427229i</v>
      </c>
    </row>
    <row r="580" spans="7:44" x14ac:dyDescent="0.2">
      <c r="G580" s="703">
        <v>108400</v>
      </c>
      <c r="H580" s="691">
        <f t="shared" si="285"/>
        <v>108.4</v>
      </c>
      <c r="I580" s="692">
        <f t="shared" si="265"/>
        <v>105.7640007134533</v>
      </c>
      <c r="J580" s="693">
        <f t="shared" si="266"/>
        <v>1.5613411729296995</v>
      </c>
      <c r="K580" s="693">
        <f t="shared" si="267"/>
        <v>1.001714009299741</v>
      </c>
      <c r="L580" s="694">
        <f t="shared" si="268"/>
        <v>5.8507515504951937E-2</v>
      </c>
      <c r="M580" s="693">
        <f t="shared" si="269"/>
        <v>1.0095247087864774</v>
      </c>
      <c r="N580" s="694">
        <f t="shared" si="270"/>
        <v>-0.13747522051776501</v>
      </c>
      <c r="O580" s="692">
        <f t="shared" si="271"/>
        <v>196156.01852030901</v>
      </c>
      <c r="P580" s="695">
        <f t="shared" si="272"/>
        <v>1.5707912288121402</v>
      </c>
      <c r="Q580" s="704">
        <f t="shared" si="294"/>
        <v>81.737791732775975</v>
      </c>
      <c r="R580" s="705">
        <f t="shared" si="295"/>
        <v>1.5585617786550789</v>
      </c>
      <c r="S580" s="692">
        <f t="shared" si="273"/>
        <v>1.1388115949405944</v>
      </c>
      <c r="T580" s="695">
        <f t="shared" si="274"/>
        <v>0.49890213835170699</v>
      </c>
      <c r="U580" s="696">
        <f t="shared" si="286"/>
        <v>0.65990428258588307</v>
      </c>
      <c r="V580" s="697">
        <f t="shared" si="287"/>
        <v>-1.1181153691070229</v>
      </c>
      <c r="W580" s="698">
        <f t="shared" si="275"/>
        <v>-15.868379739250273</v>
      </c>
      <c r="X580" s="699">
        <f t="shared" si="276"/>
        <v>-187.33175047391794</v>
      </c>
      <c r="Y580" s="702">
        <f t="shared" si="277"/>
        <v>-7.3317504739179356</v>
      </c>
      <c r="AA580" s="174">
        <f t="shared" si="278"/>
        <v>108400</v>
      </c>
      <c r="AB580" s="174">
        <f t="shared" si="279"/>
        <v>11750560000</v>
      </c>
      <c r="AD580" s="701">
        <f t="shared" si="280"/>
        <v>26.4758373140921</v>
      </c>
      <c r="AE580" s="702">
        <f t="shared" si="281"/>
        <v>-29.285682830833686</v>
      </c>
      <c r="AG580" s="701">
        <f t="shared" si="282"/>
        <v>-9.735511970064028</v>
      </c>
      <c r="AH580" s="702">
        <f t="shared" si="283"/>
        <v>-29.919484179589013</v>
      </c>
      <c r="AJ580" s="174">
        <f t="shared" si="284"/>
        <v>0</v>
      </c>
      <c r="AK580" s="174">
        <f t="shared" si="296"/>
        <v>0</v>
      </c>
      <c r="AM580" s="174" t="str">
        <f t="shared" si="288"/>
        <v>1.36645482748547+0.93043584379182i</v>
      </c>
      <c r="AN580" s="174" t="str">
        <f t="shared" si="289"/>
        <v>1.9459922472i</v>
      </c>
      <c r="AO580" s="174" t="str">
        <f t="shared" si="290"/>
        <v>0.47812926548427-0.70218924533312i</v>
      </c>
      <c r="AP580" s="174" t="str">
        <f t="shared" si="291"/>
        <v>-0.0610758045809113-0.15507264063197i</v>
      </c>
      <c r="AQ580" s="174" t="str">
        <f t="shared" si="292"/>
        <v>1.06107580458091+0.15507264063197i</v>
      </c>
      <c r="AR580" s="174" t="str">
        <f t="shared" si="293"/>
        <v>0.768635148605281-0.112333427698736i</v>
      </c>
    </row>
    <row r="581" spans="7:44" x14ac:dyDescent="0.2">
      <c r="G581" s="703">
        <v>109650</v>
      </c>
      <c r="H581" s="691">
        <f t="shared" si="285"/>
        <v>109.65</v>
      </c>
      <c r="I581" s="692">
        <f t="shared" si="265"/>
        <v>106.98349563491143</v>
      </c>
      <c r="J581" s="693">
        <f t="shared" si="266"/>
        <v>1.561448954506846</v>
      </c>
      <c r="K581" s="693">
        <f t="shared" si="267"/>
        <v>1.0017537321486265</v>
      </c>
      <c r="L581" s="694">
        <f t="shared" si="268"/>
        <v>5.9180621793829769E-2</v>
      </c>
      <c r="M581" s="693">
        <f t="shared" si="269"/>
        <v>1.009744574929222</v>
      </c>
      <c r="N581" s="694">
        <f t="shared" si="270"/>
        <v>-0.13904025876279727</v>
      </c>
      <c r="O581" s="692">
        <f t="shared" si="271"/>
        <v>198417.96522827994</v>
      </c>
      <c r="P581" s="695">
        <f t="shared" si="272"/>
        <v>1.5707912869286786</v>
      </c>
      <c r="Q581" s="704">
        <f t="shared" si="294"/>
        <v>82.680199795669907</v>
      </c>
      <c r="R581" s="705">
        <f t="shared" si="295"/>
        <v>1.5587012377076561</v>
      </c>
      <c r="S581" s="692">
        <f t="shared" si="273"/>
        <v>1.1418311888901558</v>
      </c>
      <c r="T581" s="695">
        <f t="shared" si="274"/>
        <v>0.50373414781380799</v>
      </c>
      <c r="U581" s="696">
        <f t="shared" si="286"/>
        <v>0.65535306047886022</v>
      </c>
      <c r="V581" s="697">
        <f t="shared" si="287"/>
        <v>-1.1275729309707632</v>
      </c>
      <c r="W581" s="698">
        <f t="shared" si="275"/>
        <v>-16.048849531836819</v>
      </c>
      <c r="X581" s="699">
        <f t="shared" si="276"/>
        <v>-188.1997748838167</v>
      </c>
      <c r="Y581" s="702">
        <f t="shared" si="277"/>
        <v>-8.1997748838167013</v>
      </c>
      <c r="AA581" s="174">
        <f t="shared" si="278"/>
        <v>109650</v>
      </c>
      <c r="AB581" s="174">
        <f t="shared" si="279"/>
        <v>12023122500</v>
      </c>
      <c r="AD581" s="701">
        <f t="shared" si="280"/>
        <v>26.452822154146599</v>
      </c>
      <c r="AE581" s="702">
        <f t="shared" si="281"/>
        <v>-29.554549494591388</v>
      </c>
      <c r="AG581" s="701">
        <f t="shared" si="282"/>
        <v>-9.7727420065654531</v>
      </c>
      <c r="AH581" s="702">
        <f t="shared" si="283"/>
        <v>-29.434885165939331</v>
      </c>
      <c r="AJ581" s="174">
        <f t="shared" si="284"/>
        <v>0</v>
      </c>
      <c r="AK581" s="174">
        <f t="shared" si="296"/>
        <v>0</v>
      </c>
      <c r="AM581" s="174" t="str">
        <f t="shared" si="288"/>
        <v>1.38723974622724+0.921979055587416i</v>
      </c>
      <c r="AN581" s="174" t="str">
        <f t="shared" si="289"/>
        <v>1.9684321947i</v>
      </c>
      <c r="AO581" s="174" t="str">
        <f t="shared" si="290"/>
        <v>0.468382430479365-0.704743475524522i</v>
      </c>
      <c r="AP581" s="174" t="str">
        <f t="shared" si="291"/>
        <v>-0.0645399577045398-0.153663175931236i</v>
      </c>
      <c r="AQ581" s="174" t="str">
        <f t="shared" si="292"/>
        <v>1.06453995770454+0.153663175931236i</v>
      </c>
      <c r="AR581" s="174" t="str">
        <f t="shared" si="293"/>
        <v>0.766526246045935-0.110645783232082i</v>
      </c>
    </row>
    <row r="582" spans="7:44" x14ac:dyDescent="0.2">
      <c r="G582" s="703">
        <v>110925</v>
      </c>
      <c r="H582" s="691">
        <f t="shared" si="285"/>
        <v>110.925</v>
      </c>
      <c r="I582" s="692">
        <f t="shared" si="265"/>
        <v>108.2273817060027</v>
      </c>
      <c r="J582" s="693">
        <f t="shared" si="266"/>
        <v>1.561556389416892</v>
      </c>
      <c r="K582" s="693">
        <f t="shared" si="267"/>
        <v>1.0017947169903278</v>
      </c>
      <c r="L582" s="694">
        <f t="shared" si="268"/>
        <v>5.986713489848916E-2</v>
      </c>
      <c r="M582" s="693">
        <f t="shared" si="269"/>
        <v>1.0099713851742103</v>
      </c>
      <c r="N582" s="694">
        <f t="shared" si="270"/>
        <v>-0.14063589179137242</v>
      </c>
      <c r="O582" s="692">
        <f t="shared" si="271"/>
        <v>200725.15087041099</v>
      </c>
      <c r="P582" s="695">
        <f t="shared" si="272"/>
        <v>1.5707913448581754</v>
      </c>
      <c r="Q582" s="704">
        <f t="shared" si="294"/>
        <v>83.641457638713419</v>
      </c>
      <c r="R582" s="705">
        <f t="shared" si="295"/>
        <v>1.5588402483947326</v>
      </c>
      <c r="S582" s="692">
        <f t="shared" si="273"/>
        <v>1.1449384929802744</v>
      </c>
      <c r="T582" s="695">
        <f t="shared" si="274"/>
        <v>0.50863642338984416</v>
      </c>
      <c r="U582" s="696">
        <f t="shared" si="286"/>
        <v>0.65073934528096811</v>
      </c>
      <c r="V582" s="697">
        <f t="shared" si="287"/>
        <v>-1.1371617437994244</v>
      </c>
      <c r="W582" s="698">
        <f t="shared" si="275"/>
        <v>-16.231935651115556</v>
      </c>
      <c r="X582" s="699">
        <f t="shared" si="276"/>
        <v>-189.08033598603166</v>
      </c>
      <c r="Y582" s="702">
        <f t="shared" si="277"/>
        <v>-9.0803359860316561</v>
      </c>
      <c r="AA582" s="174">
        <f t="shared" si="278"/>
        <v>110925</v>
      </c>
      <c r="AB582" s="174">
        <f t="shared" si="279"/>
        <v>12304355625</v>
      </c>
      <c r="AD582" s="701">
        <f t="shared" si="280"/>
        <v>26.429202530318634</v>
      </c>
      <c r="AE582" s="702">
        <f t="shared" si="281"/>
        <v>-29.82746778885916</v>
      </c>
      <c r="AG582" s="701">
        <f t="shared" si="282"/>
        <v>-9.8094778666024141</v>
      </c>
      <c r="AH582" s="702">
        <f t="shared" si="283"/>
        <v>-28.943730961384553</v>
      </c>
      <c r="AJ582" s="174">
        <f t="shared" si="284"/>
        <v>0</v>
      </c>
      <c r="AK582" s="174">
        <f t="shared" si="296"/>
        <v>0</v>
      </c>
      <c r="AM582" s="174" t="str">
        <f t="shared" si="288"/>
        <v>1.40823941649121+0.912874897684735i</v>
      </c>
      <c r="AN582" s="174" t="str">
        <f t="shared" si="289"/>
        <v>1.99132094115i</v>
      </c>
      <c r="AO582" s="174" t="str">
        <f t="shared" si="290"/>
        <v>0.458426805453843-0.707188573870942i</v>
      </c>
      <c r="AP582" s="174" t="str">
        <f t="shared" si="291"/>
        <v>-0.0680399027485353-0.152145816280789i</v>
      </c>
      <c r="AQ582" s="174" t="str">
        <f t="shared" si="292"/>
        <v>1.06803990274854+0.152145816280789i</v>
      </c>
      <c r="AR582" s="174" t="str">
        <f t="shared" si="293"/>
        <v>0.76442105269114-0.108894306986671i</v>
      </c>
    </row>
    <row r="583" spans="7:44" x14ac:dyDescent="0.2">
      <c r="G583" s="703">
        <v>112200</v>
      </c>
      <c r="H583" s="691">
        <f t="shared" si="285"/>
        <v>112.2</v>
      </c>
      <c r="I583" s="692">
        <f t="shared" si="265"/>
        <v>109.47126899789428</v>
      </c>
      <c r="J583" s="693">
        <f t="shared" si="266"/>
        <v>1.5616613828305446</v>
      </c>
      <c r="K583" s="693">
        <f t="shared" si="267"/>
        <v>1.0018361739393622</v>
      </c>
      <c r="L583" s="694">
        <f t="shared" si="268"/>
        <v>6.0553591509502111E-2</v>
      </c>
      <c r="M583" s="693">
        <f t="shared" si="269"/>
        <v>1.0102007656930596</v>
      </c>
      <c r="N583" s="694">
        <f t="shared" si="270"/>
        <v>-0.14223080425657822</v>
      </c>
      <c r="O583" s="692">
        <f t="shared" si="271"/>
        <v>203032.33651254265</v>
      </c>
      <c r="P583" s="695">
        <f t="shared" si="272"/>
        <v>1.5707914014710926</v>
      </c>
      <c r="Q583" s="704">
        <f t="shared" si="294"/>
        <v>84.60271706131347</v>
      </c>
      <c r="R583" s="705">
        <f t="shared" si="295"/>
        <v>1.5589761001945186</v>
      </c>
      <c r="S583" s="692">
        <f t="shared" si="273"/>
        <v>1.1480731632543026</v>
      </c>
      <c r="T583" s="695">
        <f t="shared" si="274"/>
        <v>0.51351204550633944</v>
      </c>
      <c r="U583" s="696">
        <f t="shared" si="286"/>
        <v>0.64615464574153991</v>
      </c>
      <c r="V583" s="697">
        <f t="shared" si="287"/>
        <v>-1.1466933466199216</v>
      </c>
      <c r="W583" s="698">
        <f t="shared" si="275"/>
        <v>-16.414037842782335</v>
      </c>
      <c r="X583" s="699">
        <f t="shared" si="276"/>
        <v>-189.95609504513004</v>
      </c>
      <c r="Y583" s="702">
        <f t="shared" si="277"/>
        <v>-9.9560950451300414</v>
      </c>
      <c r="AA583" s="174">
        <f t="shared" si="278"/>
        <v>112200</v>
      </c>
      <c r="AB583" s="174">
        <f t="shared" si="279"/>
        <v>12588840000</v>
      </c>
      <c r="AD583" s="701">
        <f t="shared" si="280"/>
        <v>26.405440330230981</v>
      </c>
      <c r="AE583" s="702">
        <f t="shared" si="281"/>
        <v>-30.099039867859521</v>
      </c>
      <c r="AG583" s="701">
        <f t="shared" si="282"/>
        <v>-9.8449940641359532</v>
      </c>
      <c r="AH583" s="702">
        <f t="shared" si="283"/>
        <v>-28.455676713015553</v>
      </c>
      <c r="AJ583" s="174">
        <f t="shared" si="284"/>
        <v>0</v>
      </c>
      <c r="AK583" s="174">
        <f t="shared" si="296"/>
        <v>0</v>
      </c>
      <c r="AM583" s="174" t="str">
        <f t="shared" si="288"/>
        <v>1.42902522161996+0.903292510327603i</v>
      </c>
      <c r="AN583" s="174" t="str">
        <f t="shared" si="289"/>
        <v>2.0142096876i</v>
      </c>
      <c r="AO583" s="174" t="str">
        <f t="shared" si="290"/>
        <v>0.448460016793935-0.709471923612229i</v>
      </c>
      <c r="AP583" s="174" t="str">
        <f t="shared" si="291"/>
        <v>-0.071504203603327-0.150548751721267i</v>
      </c>
      <c r="AQ583" s="174" t="str">
        <f t="shared" si="292"/>
        <v>1.07150420360333+0.150548751721267i</v>
      </c>
      <c r="AR583" s="174" t="str">
        <f t="shared" si="293"/>
        <v>0.762362088867181-0.107113588964566i</v>
      </c>
    </row>
    <row r="584" spans="7:44" x14ac:dyDescent="0.2">
      <c r="G584" s="703">
        <v>113510</v>
      </c>
      <c r="H584" s="691">
        <f t="shared" si="285"/>
        <v>113.51</v>
      </c>
      <c r="I584" s="692">
        <f t="shared" si="265"/>
        <v>110.74930344373844</v>
      </c>
      <c r="J584" s="693">
        <f t="shared" si="266"/>
        <v>1.5617668019333055</v>
      </c>
      <c r="K584" s="693">
        <f t="shared" si="267"/>
        <v>1.0018792605856128</v>
      </c>
      <c r="L584" s="694">
        <f t="shared" si="268"/>
        <v>6.125883251376283E-2</v>
      </c>
      <c r="M584" s="693">
        <f t="shared" si="269"/>
        <v>1.0104391181691246</v>
      </c>
      <c r="N584" s="694">
        <f t="shared" si="270"/>
        <v>-0.14386874011775727</v>
      </c>
      <c r="O584" s="692">
        <f t="shared" si="271"/>
        <v>205402.85666249826</v>
      </c>
      <c r="P584" s="695">
        <f t="shared" si="272"/>
        <v>1.5707914583134341</v>
      </c>
      <c r="Q584" s="704">
        <f t="shared" si="294"/>
        <v>85.590365586729035</v>
      </c>
      <c r="R584" s="705">
        <f t="shared" si="295"/>
        <v>1.5591125029735631</v>
      </c>
      <c r="S584" s="692">
        <f t="shared" si="273"/>
        <v>1.151322151678378</v>
      </c>
      <c r="T584" s="695">
        <f t="shared" si="274"/>
        <v>0.51849373346613004</v>
      </c>
      <c r="U584" s="696">
        <f t="shared" si="286"/>
        <v>0.6414744921514971</v>
      </c>
      <c r="V584" s="697">
        <f t="shared" si="287"/>
        <v>-1.156428347308923</v>
      </c>
      <c r="W584" s="698">
        <f t="shared" si="275"/>
        <v>-16.600133577834029</v>
      </c>
      <c r="X584" s="699">
        <f t="shared" si="276"/>
        <v>-190.85096669595285</v>
      </c>
      <c r="Y584" s="702">
        <f t="shared" si="277"/>
        <v>-10.850966695952849</v>
      </c>
      <c r="AA584" s="174">
        <f t="shared" si="278"/>
        <v>113510</v>
      </c>
      <c r="AB584" s="174">
        <f t="shared" si="279"/>
        <v>12884520100</v>
      </c>
      <c r="AD584" s="701">
        <f t="shared" si="280"/>
        <v>26.380880497390716</v>
      </c>
      <c r="AE584" s="702">
        <f t="shared" si="281"/>
        <v>-30.376657516397032</v>
      </c>
      <c r="AG584" s="701">
        <f t="shared" si="282"/>
        <v>-9.8802467831127601</v>
      </c>
      <c r="AH584" s="702">
        <f t="shared" si="283"/>
        <v>-27.957381807952679</v>
      </c>
      <c r="AJ584" s="174">
        <f t="shared" si="284"/>
        <v>0</v>
      </c>
      <c r="AK584" s="174">
        <f t="shared" si="296"/>
        <v>0</v>
      </c>
      <c r="AM584" s="174" t="str">
        <f t="shared" si="288"/>
        <v>1.45014742103817+0.892954253773777i</v>
      </c>
      <c r="AN584" s="174" t="str">
        <f t="shared" si="289"/>
        <v>2.03772675258i</v>
      </c>
      <c r="AO584" s="174" t="str">
        <f t="shared" si="290"/>
        <v>0.438210988123502-0.711649596395647i</v>
      </c>
      <c r="AP584" s="174" t="str">
        <f t="shared" si="291"/>
        <v>-0.0750245701730287-0.148825708962296i</v>
      </c>
      <c r="AQ584" s="174" t="str">
        <f t="shared" si="292"/>
        <v>1.07502457017303+0.148825708962296i</v>
      </c>
      <c r="AR584" s="174" t="str">
        <f t="shared" si="293"/>
        <v>0.76029461814353-0.105254697152844i</v>
      </c>
    </row>
    <row r="585" spans="7:44" x14ac:dyDescent="0.2">
      <c r="G585" s="703">
        <v>114820</v>
      </c>
      <c r="H585" s="691">
        <f t="shared" si="285"/>
        <v>114.82</v>
      </c>
      <c r="I585" s="692">
        <f t="shared" si="265"/>
        <v>112.0273390922783</v>
      </c>
      <c r="J585" s="693">
        <f t="shared" si="266"/>
        <v>1.5618698157426882</v>
      </c>
      <c r="K585" s="693">
        <f t="shared" si="267"/>
        <v>1.0019228454884137</v>
      </c>
      <c r="L585" s="694">
        <f t="shared" si="268"/>
        <v>6.1964012510990207E-2</v>
      </c>
      <c r="M585" s="693">
        <f t="shared" si="269"/>
        <v>1.0106801802026382</v>
      </c>
      <c r="N585" s="694">
        <f t="shared" si="270"/>
        <v>-0.14550589902601421</v>
      </c>
      <c r="O585" s="692">
        <f t="shared" si="271"/>
        <v>207773.37681245446</v>
      </c>
      <c r="P585" s="695">
        <f t="shared" si="272"/>
        <v>1.5707915138587287</v>
      </c>
      <c r="Q585" s="704">
        <f t="shared" si="294"/>
        <v>86.578015668282248</v>
      </c>
      <c r="R585" s="705">
        <f t="shared" si="295"/>
        <v>1.5592457936898168</v>
      </c>
      <c r="S585" s="692">
        <f t="shared" si="273"/>
        <v>1.1545995514955212</v>
      </c>
      <c r="T585" s="695">
        <f t="shared" si="274"/>
        <v>0.52344726214215631</v>
      </c>
      <c r="U585" s="696">
        <f t="shared" si="286"/>
        <v>0.63682529979639657</v>
      </c>
      <c r="V585" s="697">
        <f t="shared" si="287"/>
        <v>-1.1661056647450265</v>
      </c>
      <c r="W585" s="698">
        <f t="shared" si="275"/>
        <v>-16.785229690949638</v>
      </c>
      <c r="X585" s="699">
        <f t="shared" si="276"/>
        <v>-191.74091933162796</v>
      </c>
      <c r="Y585" s="702">
        <f t="shared" si="277"/>
        <v>-11.740919331627964</v>
      </c>
      <c r="AA585" s="174">
        <f t="shared" si="278"/>
        <v>114820</v>
      </c>
      <c r="AB585" s="174">
        <f t="shared" si="279"/>
        <v>13183632400</v>
      </c>
      <c r="AD585" s="701">
        <f t="shared" si="280"/>
        <v>26.356176570978391</v>
      </c>
      <c r="AE585" s="702">
        <f t="shared" si="281"/>
        <v>-30.652839990567301</v>
      </c>
      <c r="AG585" s="701">
        <f t="shared" si="282"/>
        <v>-9.9142756549949684</v>
      </c>
      <c r="AH585" s="702">
        <f t="shared" si="283"/>
        <v>-27.462213075996157</v>
      </c>
      <c r="AJ585" s="174">
        <f t="shared" si="284"/>
        <v>0</v>
      </c>
      <c r="AK585" s="174">
        <f t="shared" si="296"/>
        <v>0</v>
      </c>
      <c r="AM585" s="174" t="str">
        <f t="shared" si="288"/>
        <v>1.47102067684301+0.882122169535688i</v>
      </c>
      <c r="AN585" s="174" t="str">
        <f t="shared" si="289"/>
        <v>2.06124381756i</v>
      </c>
      <c r="AO585" s="174" t="str">
        <f t="shared" si="290"/>
        <v>0.427956247592243-0.713656804843365i</v>
      </c>
      <c r="AP585" s="174" t="str">
        <f t="shared" si="291"/>
        <v>-0.0785034461405023-0.147020361589281i</v>
      </c>
      <c r="AQ585" s="174" t="str">
        <f t="shared" si="292"/>
        <v>1.0785034461405+0.147020361589281i</v>
      </c>
      <c r="AR585" s="174" t="str">
        <f t="shared" si="293"/>
        <v>0.758275654081908-0.103367273647958i</v>
      </c>
    </row>
    <row r="586" spans="7:44" x14ac:dyDescent="0.2">
      <c r="G586" s="703">
        <v>116155</v>
      </c>
      <c r="H586" s="691">
        <f t="shared" si="285"/>
        <v>116.155</v>
      </c>
      <c r="I586" s="692">
        <f t="shared" si="265"/>
        <v>113.32976592932658</v>
      </c>
      <c r="J586" s="693">
        <f t="shared" si="266"/>
        <v>1.561972405128335</v>
      </c>
      <c r="K586" s="693">
        <f t="shared" si="267"/>
        <v>1.0019677747071962</v>
      </c>
      <c r="L586" s="694">
        <f t="shared" si="268"/>
        <v>6.2682586659381201E-2</v>
      </c>
      <c r="M586" s="693">
        <f t="shared" si="269"/>
        <v>1.0109286282641992</v>
      </c>
      <c r="N586" s="694">
        <f t="shared" si="270"/>
        <v>-0.14717349358194567</v>
      </c>
      <c r="O586" s="692">
        <f t="shared" si="271"/>
        <v>210189.13589657081</v>
      </c>
      <c r="P586" s="695">
        <f t="shared" si="272"/>
        <v>1.5707915691750713</v>
      </c>
      <c r="Q586" s="704">
        <f t="shared" si="294"/>
        <v>87.584515580296852</v>
      </c>
      <c r="R586" s="705">
        <f t="shared" si="295"/>
        <v>1.5593785354037495</v>
      </c>
      <c r="S586" s="692">
        <f t="shared" si="273"/>
        <v>1.1579684772035561</v>
      </c>
      <c r="T586" s="695">
        <f t="shared" si="274"/>
        <v>0.52846635028389877</v>
      </c>
      <c r="U586" s="696">
        <f t="shared" si="286"/>
        <v>0.63211935718190315</v>
      </c>
      <c r="V586" s="697">
        <f t="shared" si="287"/>
        <v>-1.1759097341238933</v>
      </c>
      <c r="W586" s="698">
        <f t="shared" si="275"/>
        <v>-16.972849366667454</v>
      </c>
      <c r="X586" s="699">
        <f t="shared" si="276"/>
        <v>-192.64287412991064</v>
      </c>
      <c r="Y586" s="702">
        <f t="shared" si="277"/>
        <v>-12.642874129910638</v>
      </c>
      <c r="AA586" s="174">
        <f t="shared" si="278"/>
        <v>116155</v>
      </c>
      <c r="AB586" s="174">
        <f t="shared" si="279"/>
        <v>13491984025</v>
      </c>
      <c r="AD586" s="701">
        <f t="shared" si="280"/>
        <v>26.330856279188275</v>
      </c>
      <c r="AE586" s="702">
        <f t="shared" si="281"/>
        <v>-30.932810187832494</v>
      </c>
      <c r="AG586" s="701">
        <f t="shared" si="282"/>
        <v>-9.9477262814616836</v>
      </c>
      <c r="AH586" s="702">
        <f t="shared" si="283"/>
        <v>-26.960734080804873</v>
      </c>
      <c r="AJ586" s="174">
        <f t="shared" si="284"/>
        <v>0</v>
      </c>
      <c r="AK586" s="174">
        <f t="shared" si="296"/>
        <v>0</v>
      </c>
      <c r="AM586" s="174" t="str">
        <f t="shared" si="288"/>
        <v>1.49202421117237+0.87058151578138i</v>
      </c>
      <c r="AN586" s="174" t="str">
        <f t="shared" si="289"/>
        <v>2.08520968149i</v>
      </c>
      <c r="AO586" s="174" t="str">
        <f t="shared" si="290"/>
        <v>0.41750310460831-0.715527183868739i</v>
      </c>
      <c r="AP586" s="174" t="str">
        <f t="shared" si="291"/>
        <v>-0.0820040351953952-0.145096919296897i</v>
      </c>
      <c r="AQ586" s="174" t="str">
        <f t="shared" si="292"/>
        <v>1.0820040351954+0.145096919296897i</v>
      </c>
      <c r="AR586" s="174" t="str">
        <f t="shared" si="293"/>
        <v>0.756267883783662-0.10141564775253i</v>
      </c>
    </row>
    <row r="587" spans="7:44" x14ac:dyDescent="0.2">
      <c r="G587" s="703">
        <v>117490</v>
      </c>
      <c r="H587" s="691">
        <f t="shared" si="285"/>
        <v>117.49</v>
      </c>
      <c r="I587" s="692">
        <f t="shared" si="265"/>
        <v>114.63219393201977</v>
      </c>
      <c r="J587" s="693">
        <f t="shared" si="266"/>
        <v>1.5620726633149578</v>
      </c>
      <c r="K587" s="693">
        <f t="shared" si="267"/>
        <v>1.0020132212442914</v>
      </c>
      <c r="L587" s="694">
        <f t="shared" si="268"/>
        <v>6.3401095996558535E-2</v>
      </c>
      <c r="M587" s="693">
        <f t="shared" si="269"/>
        <v>1.0111798862024548</v>
      </c>
      <c r="N587" s="694">
        <f t="shared" si="270"/>
        <v>-0.14884026404338305</v>
      </c>
      <c r="O587" s="692">
        <f t="shared" si="271"/>
        <v>212604.89498068779</v>
      </c>
      <c r="P587" s="695">
        <f t="shared" si="272"/>
        <v>1.5707916232343313</v>
      </c>
      <c r="Q587" s="704">
        <f t="shared" si="294"/>
        <v>88.591017000515578</v>
      </c>
      <c r="R587" s="705">
        <f t="shared" si="295"/>
        <v>1.5595082609061341</v>
      </c>
      <c r="S587" s="692">
        <f t="shared" si="273"/>
        <v>1.1613664039146232</v>
      </c>
      <c r="T587" s="695">
        <f t="shared" si="274"/>
        <v>0.53345619381228915</v>
      </c>
      <c r="U587" s="696">
        <f t="shared" si="286"/>
        <v>0.62744578165025267</v>
      </c>
      <c r="V587" s="697">
        <f t="shared" si="287"/>
        <v>-1.1856567585485702</v>
      </c>
      <c r="W587" s="698">
        <f t="shared" si="275"/>
        <v>-17.159470065403536</v>
      </c>
      <c r="X587" s="699">
        <f t="shared" si="276"/>
        <v>-193.53988057272508</v>
      </c>
      <c r="Y587" s="702">
        <f t="shared" si="277"/>
        <v>-13.539880572725082</v>
      </c>
      <c r="AA587" s="174">
        <f t="shared" si="278"/>
        <v>117490</v>
      </c>
      <c r="AB587" s="174">
        <f t="shared" si="279"/>
        <v>13803900100</v>
      </c>
      <c r="AD587" s="701">
        <f t="shared" si="280"/>
        <v>26.305393054210072</v>
      </c>
      <c r="AE587" s="702">
        <f t="shared" si="281"/>
        <v>-31.211277536343722</v>
      </c>
      <c r="AG587" s="701">
        <f t="shared" si="282"/>
        <v>-9.9799683182090959</v>
      </c>
      <c r="AH587" s="702">
        <f t="shared" si="283"/>
        <v>-26.462346449142014</v>
      </c>
      <c r="AJ587" s="174">
        <f t="shared" si="284"/>
        <v>0</v>
      </c>
      <c r="AK587" s="174">
        <f t="shared" si="296"/>
        <v>0</v>
      </c>
      <c r="AM587" s="174" t="str">
        <f t="shared" si="288"/>
        <v>1.51274515870585+0.858540856467364i</v>
      </c>
      <c r="AN587" s="174" t="str">
        <f t="shared" si="289"/>
        <v>2.10917554542i</v>
      </c>
      <c r="AO587" s="174" t="str">
        <f t="shared" si="290"/>
        <v>0.407050450746812-0.717221078155738i</v>
      </c>
      <c r="AP587" s="174" t="str">
        <f t="shared" si="291"/>
        <v>-0.0854575264509747-0.143090142744561i</v>
      </c>
      <c r="AQ587" s="174" t="str">
        <f t="shared" si="292"/>
        <v>1.08545752645097+0.143090142744561i</v>
      </c>
      <c r="AR587" s="174" t="str">
        <f t="shared" si="293"/>
        <v>0.754310108804889-0.0994367246182914i</v>
      </c>
    </row>
    <row r="588" spans="7:44" x14ac:dyDescent="0.2">
      <c r="G588" s="703">
        <v>118860</v>
      </c>
      <c r="H588" s="691">
        <f t="shared" si="285"/>
        <v>118.86</v>
      </c>
      <c r="I588" s="692">
        <f t="shared" si="265"/>
        <v>115.96876915791513</v>
      </c>
      <c r="J588" s="693">
        <f t="shared" si="266"/>
        <v>1.5621732086882154</v>
      </c>
      <c r="K588" s="693">
        <f t="shared" si="267"/>
        <v>1.0020603970298885</v>
      </c>
      <c r="L588" s="694">
        <f t="shared" si="268"/>
        <v>6.413837450620466E-2</v>
      </c>
      <c r="M588" s="693">
        <f t="shared" si="269"/>
        <v>1.0114406505743085</v>
      </c>
      <c r="N588" s="694">
        <f t="shared" si="270"/>
        <v>-0.1505498667563113</v>
      </c>
      <c r="O588" s="692">
        <f t="shared" si="271"/>
        <v>215083.98857262867</v>
      </c>
      <c r="P588" s="695">
        <f t="shared" si="272"/>
        <v>1.5707916774483477</v>
      </c>
      <c r="Q588" s="704">
        <f t="shared" si="294"/>
        <v>89.623907613161705</v>
      </c>
      <c r="R588" s="705">
        <f t="shared" si="295"/>
        <v>1.5596383581570892</v>
      </c>
      <c r="S588" s="692">
        <f t="shared" si="273"/>
        <v>1.1648833001321548</v>
      </c>
      <c r="T588" s="695">
        <f t="shared" si="274"/>
        <v>0.538546461476762</v>
      </c>
      <c r="U588" s="696">
        <f t="shared" si="286"/>
        <v>0.62268339010518692</v>
      </c>
      <c r="V588" s="697">
        <f t="shared" si="287"/>
        <v>-1.1956015203378814</v>
      </c>
      <c r="W588" s="698">
        <f t="shared" si="275"/>
        <v>-17.349964711392044</v>
      </c>
      <c r="X588" s="699">
        <f t="shared" si="276"/>
        <v>-194.4553442878599</v>
      </c>
      <c r="Y588" s="702">
        <f t="shared" si="277"/>
        <v>-14.455344287859901</v>
      </c>
      <c r="AA588" s="174">
        <f t="shared" si="278"/>
        <v>118860</v>
      </c>
      <c r="AB588" s="174">
        <f t="shared" si="279"/>
        <v>14127699600</v>
      </c>
      <c r="AD588" s="701">
        <f t="shared" si="280"/>
        <v>26.279117158594254</v>
      </c>
      <c r="AE588" s="702">
        <f t="shared" si="281"/>
        <v>-31.495477473263026</v>
      </c>
      <c r="AG588" s="701">
        <f t="shared" si="282"/>
        <v>-10.011830162062623</v>
      </c>
      <c r="AH588" s="702">
        <f t="shared" si="283"/>
        <v>-25.954024468474394</v>
      </c>
      <c r="AJ588" s="174">
        <f t="shared" si="284"/>
        <v>0</v>
      </c>
      <c r="AK588" s="174">
        <f t="shared" si="296"/>
        <v>0</v>
      </c>
      <c r="AM588" s="174" t="str">
        <f t="shared" si="288"/>
        <v>1.53370307533806+0.845671938386687i</v>
      </c>
      <c r="AN588" s="174" t="str">
        <f t="shared" si="289"/>
        <v>2.13376972788i</v>
      </c>
      <c r="AO588" s="174" t="str">
        <f t="shared" si="290"/>
        <v>0.396327648357305-0.718776283728547i</v>
      </c>
      <c r="AP588" s="174" t="str">
        <f t="shared" si="291"/>
        <v>-0.0889505125563433-0.140945323064448i</v>
      </c>
      <c r="AQ588" s="174" t="str">
        <f t="shared" si="292"/>
        <v>1.08895051255634+0.140945323064448i</v>
      </c>
      <c r="AR588" s="174" t="str">
        <f t="shared" si="293"/>
        <v>0.752352761601836-0.0973787163141761i</v>
      </c>
    </row>
    <row r="589" spans="7:44" x14ac:dyDescent="0.2">
      <c r="G589" s="703">
        <v>120230</v>
      </c>
      <c r="H589" s="691">
        <f t="shared" si="285"/>
        <v>120.23</v>
      </c>
      <c r="I589" s="692">
        <f t="shared" ref="I589:I613" si="297">SQRT(1+(G589/pole1)^2)</f>
        <v>117.30534552946598</v>
      </c>
      <c r="J589" s="693">
        <f t="shared" ref="J589:J613" si="298">ATAN(G589/pole1)</f>
        <v>1.5622714628357424</v>
      </c>
      <c r="K589" s="693">
        <f t="shared" ref="K589:K613" si="299">SQRT(1+(G589/Zero1)^2)</f>
        <v>1.0021081174636182</v>
      </c>
      <c r="L589" s="694">
        <f t="shared" ref="L589:L613" si="300">ATAN(G589/Zero1)</f>
        <v>6.4875583198079026E-2</v>
      </c>
      <c r="M589" s="693">
        <f t="shared" ref="M589:M613" si="301">SQRT(1+(G589/z_RHP)^2)</f>
        <v>1.0117043695967267</v>
      </c>
      <c r="N589" s="694">
        <f t="shared" ref="N589:N613" si="302">-ATAN(G589/z_RHP)</f>
        <v>-0.15225858318354824</v>
      </c>
      <c r="O589" s="692">
        <f t="shared" ref="O589:O613" si="303">SQRT(1+(G589/Pole2)^2)</f>
        <v>217563.08216457019</v>
      </c>
      <c r="P589" s="695">
        <f t="shared" ref="P589:P613" si="304">ATAN(G589/Pole2)</f>
        <v>1.5707917304268453</v>
      </c>
      <c r="Q589" s="704">
        <f t="shared" si="294"/>
        <v>90.656799708153301</v>
      </c>
      <c r="R589" s="705">
        <f t="shared" si="295"/>
        <v>1.5597654909017558</v>
      </c>
      <c r="S589" s="692">
        <f t="shared" ref="S589:S613" si="305">SQRT(1+(G589/pole4)^2)</f>
        <v>1.1684301972841684</v>
      </c>
      <c r="T589" s="695">
        <f t="shared" ref="T589:T613" si="306">ATAN(G589/pole4)</f>
        <v>0.54360595545290602</v>
      </c>
      <c r="U589" s="696">
        <f t="shared" si="286"/>
        <v>0.61795517608721706</v>
      </c>
      <c r="V589" s="697">
        <f t="shared" si="287"/>
        <v>-1.2054892627576179</v>
      </c>
      <c r="W589" s="698">
        <f t="shared" ref="W589:W613" si="307">20*LOG10(((K589*Q589*M589*U589)/(I589*O589*S589))*Adc)</f>
        <v>-17.539447210953099</v>
      </c>
      <c r="X589" s="699">
        <f t="shared" ref="X589:X613" si="308">((L589+R589+N589+V589)-(J589+P589+T589))*radconv</f>
        <v>-195.36576955647908</v>
      </c>
      <c r="Y589" s="702">
        <f t="shared" ref="Y589:Y613" si="309">IF(X589&gt;0,X589,X589+180)</f>
        <v>-15.36576955647908</v>
      </c>
      <c r="AA589" s="174">
        <f t="shared" ref="AA589:AA613" si="310">IF(W589&lt;0,G589,1000000000)</f>
        <v>120230</v>
      </c>
      <c r="AB589" s="174">
        <f t="shared" ref="AB589:AB613" si="311">G589^2</f>
        <v>14455252900</v>
      </c>
      <c r="AD589" s="701">
        <f t="shared" ref="AD589:AD613" si="312">20*LOG10((Q589/(O589*S589))*Aea)</f>
        <v>26.252697841674735</v>
      </c>
      <c r="AE589" s="702">
        <f t="shared" ref="AE589:AE613" si="313">(R589-(P589+T589))*radconv</f>
        <v>-31.778083990627884</v>
      </c>
      <c r="AG589" s="701">
        <f t="shared" ref="AG589:AG613" si="314">20*LOG10((K589*M589/(I589*U589))*Acs*Am)</f>
        <v>-10.042481068956553</v>
      </c>
      <c r="AH589" s="702">
        <f t="shared" ref="AH589:AH613" si="315">(L589+N589-(J589+V589))*radconv</f>
        <v>-25.448791399307243</v>
      </c>
      <c r="AJ589" s="174">
        <f t="shared" ref="AJ589:AJ613" si="316">SUM((W590&lt;0)*(W589&gt;0))*G589</f>
        <v>0</v>
      </c>
      <c r="AK589" s="174">
        <f t="shared" si="296"/>
        <v>0</v>
      </c>
      <c r="AM589" s="174" t="str">
        <f t="shared" si="288"/>
        <v>1.55433818522915+0.832291521281365i</v>
      </c>
      <c r="AN589" s="174" t="str">
        <f t="shared" si="289"/>
        <v>2.15836391034i</v>
      </c>
      <c r="AO589" s="174" t="str">
        <f t="shared" si="290"/>
        <v>0.385612230307472-0.720146485855715i</v>
      </c>
      <c r="AP589" s="174" t="str">
        <f t="shared" si="291"/>
        <v>-0.0923896975381923-0.138715253546894i</v>
      </c>
      <c r="AQ589" s="174" t="str">
        <f t="shared" si="292"/>
        <v>1.09238969753819+0.138715253546894i</v>
      </c>
      <c r="AR589" s="174" t="str">
        <f t="shared" si="293"/>
        <v>0.7504475982006-0.0952943158404463i</v>
      </c>
    </row>
    <row r="590" spans="7:44" x14ac:dyDescent="0.2">
      <c r="G590" s="703">
        <v>126030</v>
      </c>
      <c r="H590" s="691">
        <f t="shared" ref="H590:H613" si="317">G590/1000</f>
        <v>126.03</v>
      </c>
      <c r="I590" s="692">
        <f t="shared" si="297"/>
        <v>122.96385586878986</v>
      </c>
      <c r="J590" s="693">
        <f t="shared" si="298"/>
        <v>1.5626637660833753</v>
      </c>
      <c r="K590" s="693">
        <f t="shared" si="299"/>
        <v>1.0023161775856375</v>
      </c>
      <c r="L590" s="694">
        <f t="shared" si="300"/>
        <v>6.7995821023008537E-2</v>
      </c>
      <c r="M590" s="693">
        <f t="shared" si="301"/>
        <v>1.0128535234058713</v>
      </c>
      <c r="N590" s="694">
        <f t="shared" si="302"/>
        <v>-0.15948253346192012</v>
      </c>
      <c r="O590" s="692">
        <f t="shared" si="303"/>
        <v>228058.51488958442</v>
      </c>
      <c r="P590" s="695">
        <f t="shared" si="304"/>
        <v>1.5707919419553282</v>
      </c>
      <c r="Q590" s="704">
        <f t="shared" si="294"/>
        <v>95.029642864888558</v>
      </c>
      <c r="R590" s="705">
        <f t="shared" si="295"/>
        <v>1.5602731002892163</v>
      </c>
      <c r="S590" s="692">
        <f t="shared" si="305"/>
        <v>1.1837723696917835</v>
      </c>
      <c r="T590" s="695">
        <f t="shared" si="306"/>
        <v>0.56468539404126017</v>
      </c>
      <c r="U590" s="696">
        <f t="shared" ref="U590:U613" si="318">IMABS(IMPRODUCT(AO590, AR590))</f>
        <v>0.59831593422928742</v>
      </c>
      <c r="V590" s="697">
        <f t="shared" ref="V590:V613" si="319">IMARGUMENT(IMPRODUCT(AO590, AR590))</f>
        <v>-1.2467533320082018</v>
      </c>
      <c r="W590" s="698">
        <f t="shared" si="307"/>
        <v>-18.330861217630762</v>
      </c>
      <c r="X590" s="699">
        <f t="shared" si="308"/>
        <v>-199.16632040847651</v>
      </c>
      <c r="Y590" s="702">
        <f t="shared" si="309"/>
        <v>-19.166320408476508</v>
      </c>
      <c r="AA590" s="174">
        <f t="shared" si="310"/>
        <v>126030</v>
      </c>
      <c r="AB590" s="174">
        <f t="shared" si="311"/>
        <v>15883560900</v>
      </c>
      <c r="AD590" s="701">
        <f t="shared" si="312"/>
        <v>26.1393417947017</v>
      </c>
      <c r="AE590" s="702">
        <f t="shared" si="313"/>
        <v>-32.95677510173924</v>
      </c>
      <c r="AG590" s="701">
        <f t="shared" si="314"/>
        <v>-10.159482817998677</v>
      </c>
      <c r="AH590" s="702">
        <f t="shared" si="315"/>
        <v>-23.342137107602191</v>
      </c>
      <c r="AJ590" s="174">
        <f t="shared" si="316"/>
        <v>0</v>
      </c>
      <c r="AK590" s="174">
        <f t="shared" si="296"/>
        <v>0</v>
      </c>
      <c r="AM590" s="174" t="str">
        <f t="shared" ref="AM590:AM613" si="320">IMSUB(1,IMEXP(COMPLEX(0,-2*Pi*G590*Tsw)))</f>
        <v>1.63783886193821+0.770169842438257i</v>
      </c>
      <c r="AN590" s="174" t="str">
        <f t="shared" ref="AN590:AN613" si="321">COMPLEX(0, 2*Pi*G590*Tsw)</f>
        <v>2.26248526674i</v>
      </c>
      <c r="AO590" s="174" t="str">
        <f t="shared" ref="AO590:AO613" si="322">IMDIV(AM590, AN590)</f>
        <v>0.340408776914596-0.723911393375905i</v>
      </c>
      <c r="AP590" s="174" t="str">
        <f t="shared" ref="AP590:AP613" si="323">IMDIV(IMEXP(COMPLEX(0,-2*Pi*G590*Tsw)),6)</f>
        <v>-0.106306476989702-0.128361640406376i</v>
      </c>
      <c r="AQ590" s="174" t="str">
        <f t="shared" ref="AQ590:AQ613" si="324">IMSUB(1, AP590)</f>
        <v>1.1063064769897+0.128361640406376i</v>
      </c>
      <c r="AR590" s="174" t="str">
        <f t="shared" ref="AR590:AR613" si="325">IMDIV(0.833, AQ590)</f>
        <v>0.742954031933888-0.0862028744015504i</v>
      </c>
    </row>
    <row r="591" spans="7:44" x14ac:dyDescent="0.2">
      <c r="G591" s="703">
        <v>131830</v>
      </c>
      <c r="H591" s="691">
        <f t="shared" si="317"/>
        <v>131.83000000000001</v>
      </c>
      <c r="I591" s="692">
        <f t="shared" si="297"/>
        <v>128.62238346738891</v>
      </c>
      <c r="J591" s="693">
        <f t="shared" si="298"/>
        <v>1.5630215519257518</v>
      </c>
      <c r="K591" s="693">
        <f t="shared" si="299"/>
        <v>1.0025339920359522</v>
      </c>
      <c r="L591" s="694">
        <f t="shared" si="300"/>
        <v>7.1114733372423466E-2</v>
      </c>
      <c r="M591" s="693">
        <f t="shared" si="301"/>
        <v>1.0140554120367125</v>
      </c>
      <c r="N591" s="694">
        <f t="shared" si="302"/>
        <v>-0.16668973504204265</v>
      </c>
      <c r="O591" s="692">
        <f t="shared" si="303"/>
        <v>238553.94761460795</v>
      </c>
      <c r="P591" s="695">
        <f t="shared" si="304"/>
        <v>1.5707921348709732</v>
      </c>
      <c r="Q591" s="704">
        <f t="shared" si="294"/>
        <v>99.402508353307482</v>
      </c>
      <c r="R591" s="705">
        <f t="shared" si="295"/>
        <v>1.5607360487902036</v>
      </c>
      <c r="S591" s="692">
        <f t="shared" si="305"/>
        <v>1.1996269543659417</v>
      </c>
      <c r="T591" s="695">
        <f t="shared" si="306"/>
        <v>0.58521657571251939</v>
      </c>
      <c r="U591" s="696">
        <f t="shared" si="318"/>
        <v>0.57928267163513414</v>
      </c>
      <c r="V591" s="697">
        <f t="shared" si="319"/>
        <v>-1.2871378217439975</v>
      </c>
      <c r="W591" s="698">
        <f t="shared" si="307"/>
        <v>-19.105856946467668</v>
      </c>
      <c r="X591" s="699">
        <f t="shared" si="308"/>
        <v>-202.88475868565527</v>
      </c>
      <c r="Y591" s="702">
        <f t="shared" si="309"/>
        <v>-22.884758685655271</v>
      </c>
      <c r="AA591" s="174">
        <f t="shared" si="310"/>
        <v>131830</v>
      </c>
      <c r="AB591" s="174">
        <f t="shared" si="311"/>
        <v>17379148900</v>
      </c>
      <c r="AD591" s="701">
        <f t="shared" si="312"/>
        <v>26.023740080693585</v>
      </c>
      <c r="AE591" s="702">
        <f t="shared" si="313"/>
        <v>-34.106611219246382</v>
      </c>
      <c r="AG591" s="701">
        <f t="shared" si="314"/>
        <v>-10.257275568497921</v>
      </c>
      <c r="AH591" s="702">
        <f t="shared" si="315"/>
        <v>-21.283017622684856</v>
      </c>
      <c r="AJ591" s="174">
        <f t="shared" si="316"/>
        <v>0</v>
      </c>
      <c r="AK591" s="174">
        <f t="shared" si="296"/>
        <v>0</v>
      </c>
      <c r="AM591" s="174" t="str">
        <f t="shared" si="320"/>
        <v>1.71443080870507+0.699706095137826i</v>
      </c>
      <c r="AN591" s="174" t="str">
        <f t="shared" si="321"/>
        <v>2.36660662314i</v>
      </c>
      <c r="AO591" s="174" t="str">
        <f t="shared" si="322"/>
        <v>0.295657963725911-0.72442576300677i</v>
      </c>
      <c r="AP591" s="174" t="str">
        <f t="shared" si="323"/>
        <v>-0.119071801450845-0.116617682522971i</v>
      </c>
      <c r="AQ591" s="174" t="str">
        <f t="shared" si="324"/>
        <v>1.11907180145084+0.116617682522971i</v>
      </c>
      <c r="AR591" s="174" t="str">
        <f t="shared" si="325"/>
        <v>0.736370223961474-0.0767366212659238i</v>
      </c>
    </row>
    <row r="592" spans="7:44" x14ac:dyDescent="0.2">
      <c r="G592" s="703">
        <v>144540</v>
      </c>
      <c r="H592" s="691">
        <f t="shared" si="317"/>
        <v>144.54</v>
      </c>
      <c r="I592" s="692">
        <f t="shared" si="297"/>
        <v>141.02241397565334</v>
      </c>
      <c r="J592" s="693">
        <f t="shared" si="298"/>
        <v>1.5637051960125863</v>
      </c>
      <c r="K592" s="693">
        <f t="shared" si="299"/>
        <v>1.0030453832148101</v>
      </c>
      <c r="L592" s="694">
        <f t="shared" si="300"/>
        <v>7.7944526605462736E-2</v>
      </c>
      <c r="M592" s="693">
        <f t="shared" si="301"/>
        <v>1.0168726815412474</v>
      </c>
      <c r="N592" s="694">
        <f t="shared" si="302"/>
        <v>-0.18242153601684929</v>
      </c>
      <c r="O592" s="692">
        <f t="shared" si="303"/>
        <v>261553.42174136767</v>
      </c>
      <c r="P592" s="695">
        <f t="shared" si="304"/>
        <v>1.5707925034841812</v>
      </c>
      <c r="Q592" s="704">
        <f t="shared" si="294"/>
        <v>108.98518026772811</v>
      </c>
      <c r="R592" s="705">
        <f t="shared" si="295"/>
        <v>1.5616206385968294</v>
      </c>
      <c r="S592" s="692">
        <f t="shared" si="305"/>
        <v>1.2360648943408037</v>
      </c>
      <c r="T592" s="695">
        <f t="shared" si="306"/>
        <v>0.62831509755329862</v>
      </c>
      <c r="U592" s="696">
        <f t="shared" si="318"/>
        <v>0.53961738638245449</v>
      </c>
      <c r="V592" s="697">
        <f t="shared" si="319"/>
        <v>-1.3731047697589907</v>
      </c>
      <c r="W592" s="698">
        <f t="shared" si="307"/>
        <v>-20.752828490426602</v>
      </c>
      <c r="X592" s="699">
        <f t="shared" si="308"/>
        <v>-210.77822064940545</v>
      </c>
      <c r="Y592" s="702">
        <f t="shared" si="309"/>
        <v>-30.778220649405455</v>
      </c>
      <c r="AA592" s="174">
        <f t="shared" si="310"/>
        <v>144540</v>
      </c>
      <c r="AB592" s="174">
        <f t="shared" si="311"/>
        <v>20891811600</v>
      </c>
      <c r="AD592" s="701">
        <f t="shared" si="312"/>
        <v>25.763765043160276</v>
      </c>
      <c r="AE592" s="702">
        <f t="shared" si="313"/>
        <v>-36.525312484200356</v>
      </c>
      <c r="AG592" s="701">
        <f t="shared" si="314"/>
        <v>-10.412087942539934</v>
      </c>
      <c r="AH592" s="702">
        <f t="shared" si="315"/>
        <v>-16.906691712465264</v>
      </c>
      <c r="AJ592" s="174">
        <f t="shared" si="316"/>
        <v>0</v>
      </c>
      <c r="AK592" s="174">
        <f t="shared" si="296"/>
        <v>0</v>
      </c>
      <c r="AM592" s="174" t="str">
        <f t="shared" si="320"/>
        <v>1.85418409900145+0.519970696302279i</v>
      </c>
      <c r="AN592" s="174" t="str">
        <f t="shared" si="321"/>
        <v>2.59477600932i</v>
      </c>
      <c r="AO592" s="174" t="str">
        <f t="shared" si="322"/>
        <v>0.200391361117349-0.714583490960889i</v>
      </c>
      <c r="AP592" s="174" t="str">
        <f t="shared" si="323"/>
        <v>-0.142364016500242-0.0866617827170465i</v>
      </c>
      <c r="AQ592" s="174" t="str">
        <f t="shared" si="324"/>
        <v>1.14236401650024+0.0866617827170465i</v>
      </c>
      <c r="AR592" s="174" t="str">
        <f t="shared" si="325"/>
        <v>0.725017152632985-0.0550011012602639i</v>
      </c>
    </row>
    <row r="593" spans="7:44" x14ac:dyDescent="0.2">
      <c r="G593" s="703">
        <v>158490</v>
      </c>
      <c r="H593" s="691">
        <f t="shared" si="317"/>
        <v>158.49</v>
      </c>
      <c r="I593" s="692">
        <f t="shared" si="297"/>
        <v>154.63226666496618</v>
      </c>
      <c r="J593" s="693">
        <f t="shared" si="298"/>
        <v>1.5643293261361644</v>
      </c>
      <c r="K593" s="693">
        <f t="shared" si="299"/>
        <v>1.0036604648430107</v>
      </c>
      <c r="L593" s="694">
        <f t="shared" si="300"/>
        <v>8.5432239512665833E-2</v>
      </c>
      <c r="M593" s="693">
        <f t="shared" si="301"/>
        <v>1.0202527737672158</v>
      </c>
      <c r="N593" s="694">
        <f t="shared" si="302"/>
        <v>-0.19958339813732776</v>
      </c>
      <c r="O593" s="692">
        <f t="shared" si="303"/>
        <v>286796.74700247939</v>
      </c>
      <c r="P593" s="695">
        <f t="shared" si="304"/>
        <v>1.5707928400049993</v>
      </c>
      <c r="Q593" s="704">
        <f t="shared" si="294"/>
        <v>119.50282865826698</v>
      </c>
      <c r="R593" s="705">
        <f t="shared" si="295"/>
        <v>1.5624282263727236</v>
      </c>
      <c r="S593" s="692">
        <f t="shared" si="305"/>
        <v>1.278539549769834</v>
      </c>
      <c r="T593" s="695">
        <f t="shared" si="306"/>
        <v>0.67269958663127105</v>
      </c>
      <c r="U593" s="696">
        <f t="shared" si="318"/>
        <v>0.49906751532168475</v>
      </c>
      <c r="V593" s="697">
        <f t="shared" si="319"/>
        <v>-1.4645635726542459</v>
      </c>
      <c r="W593" s="698">
        <f t="shared" si="307"/>
        <v>-22.490971345565349</v>
      </c>
      <c r="X593" s="699">
        <f t="shared" si="308"/>
        <v>-219.10526381647583</v>
      </c>
      <c r="Y593" s="702">
        <f t="shared" si="309"/>
        <v>-39.105263816475826</v>
      </c>
      <c r="AA593" s="174">
        <f t="shared" si="310"/>
        <v>158490</v>
      </c>
      <c r="AB593" s="174">
        <f t="shared" si="311"/>
        <v>25119080100</v>
      </c>
      <c r="AD593" s="701">
        <f t="shared" si="312"/>
        <v>25.470245616071296</v>
      </c>
      <c r="AE593" s="702">
        <f t="shared" si="313"/>
        <v>-39.022104297143159</v>
      </c>
      <c r="AG593" s="701">
        <f t="shared" si="314"/>
        <v>-10.499646095059617</v>
      </c>
      <c r="AH593" s="702">
        <f t="shared" si="315"/>
        <v>-12.256536244183176</v>
      </c>
      <c r="AJ593" s="174">
        <f t="shared" si="316"/>
        <v>0</v>
      </c>
      <c r="AK593" s="174">
        <f t="shared" si="296"/>
        <v>0</v>
      </c>
      <c r="AM593" s="174" t="str">
        <f t="shared" si="320"/>
        <v>1.95639801554691+0.292066492186162i</v>
      </c>
      <c r="AN593" s="174" t="str">
        <f t="shared" si="321"/>
        <v>2.84520582342i</v>
      </c>
      <c r="AO593" s="174" t="str">
        <f t="shared" si="322"/>
        <v>0.10265214902277-0.687612122625026i</v>
      </c>
      <c r="AP593" s="174" t="str">
        <f t="shared" si="323"/>
        <v>-0.159399669257819-0.0486777486976937i</v>
      </c>
      <c r="AQ593" s="174" t="str">
        <f t="shared" si="324"/>
        <v>1.15939966925782+0.0486777486976937i</v>
      </c>
      <c r="AR593" s="174" t="str">
        <f t="shared" si="325"/>
        <v>0.717211003221387-0.030112322699195i</v>
      </c>
    </row>
    <row r="594" spans="7:44" x14ac:dyDescent="0.2">
      <c r="G594" s="703">
        <v>173780</v>
      </c>
      <c r="H594" s="691">
        <f t="shared" si="317"/>
        <v>173.78</v>
      </c>
      <c r="I594" s="692">
        <f t="shared" si="297"/>
        <v>169.54950325622232</v>
      </c>
      <c r="J594" s="693">
        <f t="shared" si="298"/>
        <v>1.5648983101178491</v>
      </c>
      <c r="K594" s="693">
        <f t="shared" si="299"/>
        <v>1.004399182782941</v>
      </c>
      <c r="L594" s="694">
        <f t="shared" si="300"/>
        <v>9.3628155514950767E-2</v>
      </c>
      <c r="M594" s="693">
        <f t="shared" si="301"/>
        <v>1.0243002725456674</v>
      </c>
      <c r="N594" s="694">
        <f t="shared" si="302"/>
        <v>-0.21825755063042618</v>
      </c>
      <c r="O594" s="692">
        <f t="shared" si="303"/>
        <v>314464.87913458201</v>
      </c>
      <c r="P594" s="695">
        <f t="shared" si="304"/>
        <v>1.5707931467895404</v>
      </c>
      <c r="Q594" s="704">
        <f t="shared" si="294"/>
        <v>131.03084892294083</v>
      </c>
      <c r="R594" s="705">
        <f t="shared" si="295"/>
        <v>1.5631644621168785</v>
      </c>
      <c r="S594" s="692">
        <f t="shared" si="305"/>
        <v>1.3277898657287026</v>
      </c>
      <c r="T594" s="695">
        <f t="shared" si="306"/>
        <v>0.71798749779166549</v>
      </c>
      <c r="U594" s="696">
        <f t="shared" si="318"/>
        <v>0.4577235997457561</v>
      </c>
      <c r="V594" s="697">
        <f t="shared" si="319"/>
        <v>-1.5629742478131081</v>
      </c>
      <c r="W594" s="698">
        <f t="shared" si="307"/>
        <v>-24.329593352614154</v>
      </c>
      <c r="X594" s="699">
        <f t="shared" si="308"/>
        <v>-227.92937982966595</v>
      </c>
      <c r="Y594" s="702">
        <f t="shared" si="309"/>
        <v>-47.929379829665947</v>
      </c>
      <c r="AA594" s="174">
        <f t="shared" si="310"/>
        <v>173780</v>
      </c>
      <c r="AB594" s="174">
        <f t="shared" si="311"/>
        <v>30199488400</v>
      </c>
      <c r="AD594" s="701">
        <f t="shared" si="312"/>
        <v>25.141890801048167</v>
      </c>
      <c r="AE594" s="702">
        <f t="shared" si="313"/>
        <v>-41.574744849106672</v>
      </c>
      <c r="AG594" s="701">
        <f t="shared" si="314"/>
        <v>-10.50767338855338</v>
      </c>
      <c r="AH594" s="702">
        <f t="shared" si="315"/>
        <v>-7.2509790012524205</v>
      </c>
      <c r="AJ594" s="174">
        <f t="shared" si="316"/>
        <v>0</v>
      </c>
      <c r="AK594" s="174">
        <f t="shared" si="296"/>
        <v>0</v>
      </c>
      <c r="AM594" s="174" t="str">
        <f t="shared" si="320"/>
        <v>1.99976017409326+0.0218996414813723i</v>
      </c>
      <c r="AN594" s="174" t="str">
        <f t="shared" si="321"/>
        <v>3.11969126124i</v>
      </c>
      <c r="AO594" s="174" t="str">
        <f t="shared" si="322"/>
        <v>0.00701981050287256-0.641012204937999i</v>
      </c>
      <c r="AP594" s="174" t="str">
        <f t="shared" si="323"/>
        <v>-0.16662669568221-0.00364994024689538i</v>
      </c>
      <c r="AQ594" s="174" t="str">
        <f t="shared" si="324"/>
        <v>1.16662669568221+0.00364994024689538i</v>
      </c>
      <c r="AR594" s="174" t="str">
        <f t="shared" si="325"/>
        <v>0.71401747405665-0.00223389463415455i</v>
      </c>
    </row>
    <row r="595" spans="7:44" x14ac:dyDescent="0.2">
      <c r="G595" s="703">
        <v>190550</v>
      </c>
      <c r="H595" s="691">
        <f t="shared" si="317"/>
        <v>190.55</v>
      </c>
      <c r="I595" s="692">
        <f t="shared" si="297"/>
        <v>185.91071060298734</v>
      </c>
      <c r="J595" s="693">
        <f t="shared" si="298"/>
        <v>1.565417374614247</v>
      </c>
      <c r="K595" s="693">
        <f t="shared" si="299"/>
        <v>1.0052868627473834</v>
      </c>
      <c r="L595" s="694">
        <f t="shared" si="300"/>
        <v>0.10260287439796426</v>
      </c>
      <c r="M595" s="693">
        <f t="shared" si="301"/>
        <v>1.0291468033188218</v>
      </c>
      <c r="N595" s="694">
        <f t="shared" si="302"/>
        <v>-0.23856248238200436</v>
      </c>
      <c r="O595" s="692">
        <f t="shared" si="303"/>
        <v>344811.1561689701</v>
      </c>
      <c r="P595" s="695">
        <f t="shared" si="304"/>
        <v>1.5707934266567134</v>
      </c>
      <c r="Q595" s="704">
        <f t="shared" si="294"/>
        <v>143.67479519347069</v>
      </c>
      <c r="R595" s="705">
        <f t="shared" si="295"/>
        <v>1.5638361075524909</v>
      </c>
      <c r="S595" s="692">
        <f t="shared" si="305"/>
        <v>1.3847012798415843</v>
      </c>
      <c r="T595" s="695">
        <f t="shared" si="306"/>
        <v>0.76385126667443681</v>
      </c>
      <c r="U595" s="696">
        <f t="shared" si="318"/>
        <v>0.41536669303972984</v>
      </c>
      <c r="V595" s="697">
        <f t="shared" si="319"/>
        <v>-1.6708114888810548</v>
      </c>
      <c r="W595" s="698">
        <f t="shared" si="307"/>
        <v>-26.289087346155782</v>
      </c>
      <c r="X595" s="699">
        <f t="shared" si="308"/>
        <v>-237.37624618724519</v>
      </c>
      <c r="Y595" s="702">
        <f t="shared" si="309"/>
        <v>-57.376246187245187</v>
      </c>
      <c r="AA595" s="174">
        <f t="shared" si="310"/>
        <v>190550</v>
      </c>
      <c r="AB595" s="174">
        <f t="shared" si="311"/>
        <v>36309302500</v>
      </c>
      <c r="AD595" s="701">
        <f t="shared" si="312"/>
        <v>24.777313356132204</v>
      </c>
      <c r="AE595" s="702">
        <f t="shared" si="313"/>
        <v>-44.16407882802968</v>
      </c>
      <c r="AG595" s="701">
        <f t="shared" si="314"/>
        <v>-10.415724501373496</v>
      </c>
      <c r="AH595" s="702">
        <f t="shared" si="315"/>
        <v>-1.7512737907321685</v>
      </c>
      <c r="AJ595" s="174">
        <f t="shared" si="316"/>
        <v>0</v>
      </c>
      <c r="AK595" s="174">
        <f t="shared" si="296"/>
        <v>0</v>
      </c>
      <c r="AM595" s="174" t="str">
        <f t="shared" si="320"/>
        <v>1.96128918240262-0.275541481079901i</v>
      </c>
      <c r="AN595" s="174" t="str">
        <f t="shared" si="321"/>
        <v>3.4207455969i</v>
      </c>
      <c r="AO595" s="174" t="str">
        <f t="shared" si="322"/>
        <v>-0.0805501237302202-0.573351372338244i</v>
      </c>
      <c r="AP595" s="174" t="str">
        <f t="shared" si="323"/>
        <v>-0.16021486373377+0.0459235801799835i</v>
      </c>
      <c r="AQ595" s="174" t="str">
        <f t="shared" si="324"/>
        <v>1.16021486373377-0.0459235801799835i</v>
      </c>
      <c r="AR595" s="174" t="str">
        <f t="shared" si="325"/>
        <v>0.716847353044793+0.0283742243987624i</v>
      </c>
    </row>
    <row r="596" spans="7:44" x14ac:dyDescent="0.2">
      <c r="G596" s="703">
        <v>208930</v>
      </c>
      <c r="H596" s="691">
        <f t="shared" si="317"/>
        <v>208.93</v>
      </c>
      <c r="I596" s="692">
        <f t="shared" si="297"/>
        <v>203.84271975946641</v>
      </c>
      <c r="J596" s="693">
        <f t="shared" si="298"/>
        <v>1.5658905640957144</v>
      </c>
      <c r="K596" s="693">
        <f t="shared" si="299"/>
        <v>1.0063525923798233</v>
      </c>
      <c r="L596" s="694">
        <f t="shared" si="300"/>
        <v>0.11242014191353542</v>
      </c>
      <c r="M596" s="693">
        <f t="shared" si="301"/>
        <v>1.0349410750364152</v>
      </c>
      <c r="N596" s="694">
        <f t="shared" si="302"/>
        <v>-0.26058824305108624</v>
      </c>
      <c r="O596" s="692">
        <f t="shared" si="303"/>
        <v>378070.82056327455</v>
      </c>
      <c r="P596" s="695">
        <f t="shared" si="304"/>
        <v>1.570793681787809</v>
      </c>
      <c r="Q596" s="704">
        <f t="shared" si="294"/>
        <v>157.53268254400976</v>
      </c>
      <c r="R596" s="705">
        <f t="shared" si="295"/>
        <v>1.5644483950519597</v>
      </c>
      <c r="S596" s="692">
        <f t="shared" si="305"/>
        <v>1.4501424614998926</v>
      </c>
      <c r="T596" s="695">
        <f t="shared" si="306"/>
        <v>0.80987712998153893</v>
      </c>
      <c r="U596" s="696">
        <f t="shared" si="318"/>
        <v>0.3714804021702624</v>
      </c>
      <c r="V596" s="697">
        <f t="shared" si="319"/>
        <v>-1.7916580344896627</v>
      </c>
      <c r="W596" s="698">
        <f t="shared" si="307"/>
        <v>-28.401976235778616</v>
      </c>
      <c r="X596" s="699">
        <f t="shared" si="308"/>
        <v>-247.62887096748736</v>
      </c>
      <c r="Y596" s="702">
        <f t="shared" si="309"/>
        <v>-67.628870967487359</v>
      </c>
      <c r="AA596" s="174">
        <f t="shared" si="310"/>
        <v>208930</v>
      </c>
      <c r="AB596" s="174">
        <f t="shared" si="311"/>
        <v>43651744900</v>
      </c>
      <c r="AD596" s="701">
        <f t="shared" si="312"/>
        <v>24.376186454266442</v>
      </c>
      <c r="AE596" s="702">
        <f t="shared" si="313"/>
        <v>-46.766099675312738</v>
      </c>
      <c r="AG596" s="701">
        <f t="shared" si="314"/>
        <v>-10.187656016145954</v>
      </c>
      <c r="AH596" s="702">
        <f t="shared" si="315"/>
        <v>4.4461163563492363</v>
      </c>
      <c r="AJ596" s="174">
        <f t="shared" si="316"/>
        <v>0</v>
      </c>
      <c r="AK596" s="174">
        <f t="shared" si="296"/>
        <v>0</v>
      </c>
      <c r="AM596" s="174" t="str">
        <f t="shared" si="320"/>
        <v>1.82015758447322-0.572137690273113i</v>
      </c>
      <c r="AN596" s="174" t="str">
        <f t="shared" si="321"/>
        <v>3.75070258494i</v>
      </c>
      <c r="AO596" s="174" t="str">
        <f t="shared" si="322"/>
        <v>-0.152541471182063-0.485284434916702i</v>
      </c>
      <c r="AP596" s="174" t="str">
        <f t="shared" si="323"/>
        <v>-0.136692930745537+0.0953562817121855i</v>
      </c>
      <c r="AQ596" s="174" t="str">
        <f t="shared" si="324"/>
        <v>1.13669293074554-0.0953562817121855i</v>
      </c>
      <c r="AR596" s="174" t="str">
        <f t="shared" si="325"/>
        <v>0.727706479596287+0.0610467279203132i</v>
      </c>
    </row>
    <row r="597" spans="7:44" x14ac:dyDescent="0.2">
      <c r="G597" s="703">
        <v>229090</v>
      </c>
      <c r="H597" s="691">
        <f t="shared" si="317"/>
        <v>229.09</v>
      </c>
      <c r="I597" s="692">
        <f t="shared" si="297"/>
        <v>223.51138717000279</v>
      </c>
      <c r="J597" s="693">
        <f t="shared" si="298"/>
        <v>1.5663222668873842</v>
      </c>
      <c r="K597" s="693">
        <f t="shared" si="299"/>
        <v>1.0076328129110212</v>
      </c>
      <c r="L597" s="694">
        <f t="shared" si="300"/>
        <v>0.12316312097871207</v>
      </c>
      <c r="M597" s="693">
        <f t="shared" si="301"/>
        <v>1.0418669493795216</v>
      </c>
      <c r="N597" s="694">
        <f t="shared" si="302"/>
        <v>-0.28445245576925043</v>
      </c>
      <c r="O597" s="692">
        <f t="shared" si="303"/>
        <v>414551.49706978211</v>
      </c>
      <c r="P597" s="695">
        <f t="shared" si="304"/>
        <v>1.5707939145493564</v>
      </c>
      <c r="Q597" s="704">
        <f t="shared" si="294"/>
        <v>172.7326851156333</v>
      </c>
      <c r="R597" s="705">
        <f t="shared" si="295"/>
        <v>1.565007002178082</v>
      </c>
      <c r="S597" s="692">
        <f t="shared" si="305"/>
        <v>1.5251314042804682</v>
      </c>
      <c r="T597" s="695">
        <f t="shared" si="306"/>
        <v>0.85571184365525799</v>
      </c>
      <c r="U597" s="696">
        <f t="shared" si="318"/>
        <v>0.32491482535545291</v>
      </c>
      <c r="V597" s="697">
        <f t="shared" si="319"/>
        <v>-1.9312163027035667</v>
      </c>
      <c r="W597" s="698">
        <f t="shared" si="307"/>
        <v>-30.734378735767706</v>
      </c>
      <c r="X597" s="699">
        <f t="shared" si="308"/>
        <v>-258.99563995779141</v>
      </c>
      <c r="Y597" s="702">
        <f t="shared" si="309"/>
        <v>-78.995639957791411</v>
      </c>
      <c r="AA597" s="174">
        <f t="shared" si="310"/>
        <v>229090</v>
      </c>
      <c r="AB597" s="174">
        <f t="shared" si="311"/>
        <v>52482228100</v>
      </c>
      <c r="AD597" s="701">
        <f t="shared" si="312"/>
        <v>23.938225118154275</v>
      </c>
      <c r="AE597" s="702">
        <f t="shared" si="313"/>
        <v>-49.360242832493199</v>
      </c>
      <c r="AG597" s="701">
        <f t="shared" si="314"/>
        <v>-9.7554420170335447</v>
      </c>
      <c r="AH597" s="702">
        <f t="shared" si="315"/>
        <v>11.665690071122347</v>
      </c>
      <c r="AJ597" s="174">
        <f t="shared" si="316"/>
        <v>0</v>
      </c>
      <c r="AK597" s="174">
        <f t="shared" si="296"/>
        <v>0</v>
      </c>
      <c r="AM597" s="174" t="str">
        <f t="shared" si="320"/>
        <v>1.56445669434059-0.825462682508477i</v>
      </c>
      <c r="AN597" s="174" t="str">
        <f t="shared" si="321"/>
        <v>4.11261405822i</v>
      </c>
      <c r="AO597" s="174" t="str">
        <f t="shared" si="322"/>
        <v>-0.200714842390474-0.380404451327901i</v>
      </c>
      <c r="AP597" s="174" t="str">
        <f t="shared" si="323"/>
        <v>-0.0940761157234322+0.137577113751413i</v>
      </c>
      <c r="AQ597" s="174" t="str">
        <f t="shared" si="324"/>
        <v>1.09407611572343-0.137577113751413i</v>
      </c>
      <c r="AR597" s="174" t="str">
        <f t="shared" si="325"/>
        <v>0.749521269714174+0.0942502733590769i</v>
      </c>
    </row>
    <row r="598" spans="7:44" x14ac:dyDescent="0.2">
      <c r="G598" s="703">
        <v>251190</v>
      </c>
      <c r="H598" s="691">
        <f t="shared" si="317"/>
        <v>251.19</v>
      </c>
      <c r="I598" s="692">
        <f t="shared" si="297"/>
        <v>245.0728133763661</v>
      </c>
      <c r="J598" s="693">
        <f t="shared" si="298"/>
        <v>1.5667158955091292</v>
      </c>
      <c r="K598" s="693">
        <f t="shared" si="299"/>
        <v>1.0091694810515393</v>
      </c>
      <c r="L598" s="694">
        <f t="shared" si="300"/>
        <v>0.13490707023353257</v>
      </c>
      <c r="M598" s="693">
        <f t="shared" si="301"/>
        <v>1.0501313609790308</v>
      </c>
      <c r="N598" s="694">
        <f t="shared" si="302"/>
        <v>-0.31023511728672454</v>
      </c>
      <c r="O598" s="692">
        <f t="shared" si="303"/>
        <v>454542.71486711601</v>
      </c>
      <c r="P598" s="695">
        <f t="shared" si="304"/>
        <v>1.5707941267816365</v>
      </c>
      <c r="Q598" s="704">
        <f t="shared" si="294"/>
        <v>189.39543785835235</v>
      </c>
      <c r="R598" s="705">
        <f t="shared" si="295"/>
        <v>1.5655163440366389</v>
      </c>
      <c r="S598" s="692">
        <f t="shared" si="305"/>
        <v>1.6106538614496082</v>
      </c>
      <c r="T598" s="695">
        <f t="shared" si="306"/>
        <v>0.90094957153660482</v>
      </c>
      <c r="U598" s="696">
        <f t="shared" si="318"/>
        <v>0.27367066053143863</v>
      </c>
      <c r="V598" s="697">
        <f t="shared" si="319"/>
        <v>-2.0980346832413588</v>
      </c>
      <c r="W598" s="698">
        <f t="shared" si="307"/>
        <v>-33.417174234869108</v>
      </c>
      <c r="X598" s="699">
        <f t="shared" si="308"/>
        <v>-271.94330124733091</v>
      </c>
      <c r="Y598" s="702">
        <f t="shared" si="309"/>
        <v>-91.943301247330908</v>
      </c>
      <c r="AA598" s="174">
        <f t="shared" si="310"/>
        <v>251190</v>
      </c>
      <c r="AB598" s="174">
        <f t="shared" si="311"/>
        <v>63096416100</v>
      </c>
      <c r="AD598" s="701">
        <f t="shared" si="312"/>
        <v>23.464301545813719</v>
      </c>
      <c r="AE598" s="702">
        <f t="shared" si="313"/>
        <v>-51.923002738973317</v>
      </c>
      <c r="AG598" s="701">
        <f t="shared" si="314"/>
        <v>-8.9826624409864877</v>
      </c>
      <c r="AH598" s="702">
        <f t="shared" si="315"/>
        <v>20.396767009951713</v>
      </c>
      <c r="AJ598" s="174">
        <f t="shared" si="316"/>
        <v>0</v>
      </c>
      <c r="AK598" s="174">
        <f t="shared" si="296"/>
        <v>0</v>
      </c>
      <c r="AM598" s="174" t="str">
        <f t="shared" si="320"/>
        <v>1.20164452976354-0.979458770758852i</v>
      </c>
      <c r="AN598" s="174" t="str">
        <f t="shared" si="321"/>
        <v>4.50935233002i</v>
      </c>
      <c r="AO598" s="174" t="str">
        <f t="shared" si="322"/>
        <v>-0.217206086168589-0.266478297063607i</v>
      </c>
      <c r="AP598" s="174" t="str">
        <f t="shared" si="323"/>
        <v>-0.0336074216272563+0.163243128459809i</v>
      </c>
      <c r="AQ598" s="174" t="str">
        <f t="shared" si="324"/>
        <v>1.03360742162726-0.163243128459809i</v>
      </c>
      <c r="AR598" s="174" t="str">
        <f t="shared" si="325"/>
        <v>0.786302086130781+0.124184878870531i</v>
      </c>
    </row>
    <row r="599" spans="7:44" x14ac:dyDescent="0.2">
      <c r="G599" s="703">
        <v>275420</v>
      </c>
      <c r="H599" s="691">
        <f t="shared" si="317"/>
        <v>275.42</v>
      </c>
      <c r="I599" s="692">
        <f t="shared" si="297"/>
        <v>268.71236808967302</v>
      </c>
      <c r="J599" s="693">
        <f t="shared" si="298"/>
        <v>1.5670748668735555</v>
      </c>
      <c r="K599" s="693">
        <f t="shared" si="299"/>
        <v>1.0110136827039395</v>
      </c>
      <c r="L599" s="694">
        <f t="shared" si="300"/>
        <v>0.14773990232525167</v>
      </c>
      <c r="M599" s="693">
        <f t="shared" si="301"/>
        <v>1.0599810702606767</v>
      </c>
      <c r="N599" s="694">
        <f t="shared" si="302"/>
        <v>-0.33802014304233391</v>
      </c>
      <c r="O599" s="692">
        <f t="shared" si="303"/>
        <v>498388.28985489125</v>
      </c>
      <c r="P599" s="695">
        <f t="shared" si="304"/>
        <v>1.5707943203272079</v>
      </c>
      <c r="Q599" s="704">
        <f t="shared" ref="Q599:Q613" si="326">SQRT(1+(G599/Zero2)^2)</f>
        <v>207.66419518638801</v>
      </c>
      <c r="R599" s="705">
        <f t="shared" ref="R599:R613" si="327">ATAN(G599/Zero2)</f>
        <v>1.5659808415643819</v>
      </c>
      <c r="S599" s="692">
        <f t="shared" si="305"/>
        <v>1.7078045420612105</v>
      </c>
      <c r="T599" s="695">
        <f t="shared" si="306"/>
        <v>0.94524153103225839</v>
      </c>
      <c r="U599" s="696">
        <f t="shared" si="318"/>
        <v>0.21439278493157607</v>
      </c>
      <c r="V599" s="697">
        <f t="shared" si="319"/>
        <v>-2.3050713146155775</v>
      </c>
      <c r="W599" s="698">
        <f t="shared" si="307"/>
        <v>-36.749177293466062</v>
      </c>
      <c r="X599" s="699">
        <f t="shared" si="308"/>
        <v>-287.19403126953262</v>
      </c>
      <c r="Y599" s="702">
        <f t="shared" si="309"/>
        <v>-107.19403126953262</v>
      </c>
      <c r="AA599" s="174">
        <f t="shared" si="310"/>
        <v>275420</v>
      </c>
      <c r="AB599" s="174">
        <f t="shared" si="311"/>
        <v>75856176400</v>
      </c>
      <c r="AD599" s="701">
        <f t="shared" si="312"/>
        <v>22.955562257354515</v>
      </c>
      <c r="AE599" s="702">
        <f t="shared" si="313"/>
        <v>-54.434142428718481</v>
      </c>
      <c r="AG599" s="701">
        <f t="shared" si="314"/>
        <v>-7.5652032243470533</v>
      </c>
      <c r="AH599" s="702">
        <f t="shared" si="315"/>
        <v>31.381827069301661</v>
      </c>
      <c r="AJ599" s="174">
        <f t="shared" si="316"/>
        <v>0</v>
      </c>
      <c r="AK599" s="174">
        <f t="shared" si="296"/>
        <v>0</v>
      </c>
      <c r="AM599" s="174" t="str">
        <f t="shared" si="320"/>
        <v>0.770134682916788-0.973222449392858i</v>
      </c>
      <c r="AN599" s="174" t="str">
        <f t="shared" si="321"/>
        <v>4.94432827236i</v>
      </c>
      <c r="AO599" s="174" t="str">
        <f t="shared" si="322"/>
        <v>-0.196836131377726-0.155761236004905i</v>
      </c>
      <c r="AP599" s="174" t="str">
        <f t="shared" si="323"/>
        <v>0.0383108861805353+0.162203741565476i</v>
      </c>
      <c r="AQ599" s="174" t="str">
        <f t="shared" si="324"/>
        <v>0.961689113819465-0.162203741565476i</v>
      </c>
      <c r="AR599" s="174" t="str">
        <f t="shared" si="325"/>
        <v>0.842224647954205+0.142054211879624i</v>
      </c>
    </row>
    <row r="600" spans="7:44" x14ac:dyDescent="0.2">
      <c r="G600" s="703">
        <v>302000</v>
      </c>
      <c r="H600" s="691">
        <f t="shared" si="317"/>
        <v>302</v>
      </c>
      <c r="I600" s="692">
        <f t="shared" si="297"/>
        <v>294.64469029052577</v>
      </c>
      <c r="J600" s="693">
        <f t="shared" si="298"/>
        <v>1.5674024020009214</v>
      </c>
      <c r="K600" s="693">
        <f t="shared" si="299"/>
        <v>1.0132274969693305</v>
      </c>
      <c r="L600" s="694">
        <f t="shared" si="300"/>
        <v>0.16176104876736661</v>
      </c>
      <c r="M600" s="693">
        <f t="shared" si="301"/>
        <v>1.071708674330293</v>
      </c>
      <c r="N600" s="694">
        <f t="shared" si="302"/>
        <v>-0.36788689094002214</v>
      </c>
      <c r="O600" s="692">
        <f t="shared" si="303"/>
        <v>546486.3246537149</v>
      </c>
      <c r="P600" s="695">
        <f t="shared" si="304"/>
        <v>1.5707944969229404</v>
      </c>
      <c r="Q600" s="704">
        <f t="shared" si="326"/>
        <v>227.7048311077599</v>
      </c>
      <c r="R600" s="705">
        <f t="shared" si="327"/>
        <v>1.5664046623335186</v>
      </c>
      <c r="S600" s="692">
        <f t="shared" si="305"/>
        <v>1.8177946358744521</v>
      </c>
      <c r="T600" s="695">
        <f t="shared" si="306"/>
        <v>0.98829181358574503</v>
      </c>
      <c r="U600" s="696">
        <f t="shared" si="318"/>
        <v>0.14253502666222698</v>
      </c>
      <c r="V600" s="697">
        <f t="shared" si="319"/>
        <v>-2.5697967582354977</v>
      </c>
      <c r="W600" s="698">
        <f t="shared" si="307"/>
        <v>-41.522746445858331</v>
      </c>
      <c r="X600" s="699">
        <f t="shared" si="308"/>
        <v>-305.73066088156384</v>
      </c>
      <c r="Y600" s="702">
        <f t="shared" si="309"/>
        <v>-125.73066088156384</v>
      </c>
      <c r="AA600" s="174">
        <f t="shared" si="310"/>
        <v>302000</v>
      </c>
      <c r="AB600" s="174">
        <f t="shared" si="311"/>
        <v>91204000000</v>
      </c>
      <c r="AD600" s="701">
        <f t="shared" si="312"/>
        <v>22.413412245024659</v>
      </c>
      <c r="AE600" s="702">
        <f t="shared" si="313"/>
        <v>-56.876468905518337</v>
      </c>
      <c r="AG600" s="701">
        <f t="shared" si="314"/>
        <v>-4.7050797871887813</v>
      </c>
      <c r="AH600" s="702">
        <f t="shared" si="315"/>
        <v>45.622825267033178</v>
      </c>
      <c r="AJ600" s="174">
        <f t="shared" si="316"/>
        <v>0</v>
      </c>
      <c r="AK600" s="174">
        <f t="shared" si="296"/>
        <v>0</v>
      </c>
      <c r="AM600" s="174" t="str">
        <f t="shared" si="320"/>
        <v>0.348847245958069-0.758946698328419i</v>
      </c>
      <c r="AN600" s="174" t="str">
        <f t="shared" si="321"/>
        <v>5.421491316i</v>
      </c>
      <c r="AO600" s="174" t="str">
        <f t="shared" si="322"/>
        <v>-0.139988548185737-0.0643452558760991i</v>
      </c>
      <c r="AP600" s="174" t="str">
        <f t="shared" si="323"/>
        <v>0.108525459006988+0.12649111638807i</v>
      </c>
      <c r="AQ600" s="174" t="str">
        <f t="shared" si="324"/>
        <v>0.891474540993012-0.12649111638807i</v>
      </c>
      <c r="AR600" s="174" t="str">
        <f t="shared" si="325"/>
        <v>0.915966066380888+0.129966213259494i</v>
      </c>
    </row>
    <row r="601" spans="7:44" x14ac:dyDescent="0.2">
      <c r="G601" s="703">
        <v>331130</v>
      </c>
      <c r="H601" s="691">
        <f t="shared" si="317"/>
        <v>331.13</v>
      </c>
      <c r="I601" s="692">
        <f t="shared" si="297"/>
        <v>323.06490655516643</v>
      </c>
      <c r="J601" s="693">
        <f t="shared" si="298"/>
        <v>1.5677009686282097</v>
      </c>
      <c r="K601" s="693">
        <f t="shared" si="299"/>
        <v>1.0158813976186101</v>
      </c>
      <c r="L601" s="694">
        <f t="shared" si="300"/>
        <v>0.17705380468204088</v>
      </c>
      <c r="M601" s="693">
        <f t="shared" si="301"/>
        <v>1.0856338526350446</v>
      </c>
      <c r="N601" s="694">
        <f t="shared" si="302"/>
        <v>-0.39984621177105723</v>
      </c>
      <c r="O601" s="692">
        <f t="shared" si="303"/>
        <v>599198.73073686648</v>
      </c>
      <c r="P601" s="695">
        <f t="shared" si="304"/>
        <v>1.5707946578995056</v>
      </c>
      <c r="Q601" s="704">
        <f t="shared" si="326"/>
        <v>249.66814047311712</v>
      </c>
      <c r="R601" s="705">
        <f t="shared" si="327"/>
        <v>1.566790999275395</v>
      </c>
      <c r="S601" s="692">
        <f t="shared" si="305"/>
        <v>1.9417424061600406</v>
      </c>
      <c r="T601" s="695">
        <f t="shared" si="306"/>
        <v>1.0297870789149044</v>
      </c>
      <c r="U601" s="696">
        <f t="shared" si="318"/>
        <v>5.5934142225855771E-2</v>
      </c>
      <c r="V601" s="697">
        <f t="shared" si="319"/>
        <v>-2.9065948761769835</v>
      </c>
      <c r="W601" s="698">
        <f t="shared" si="307"/>
        <v>-50.885558740230636</v>
      </c>
      <c r="X601" s="699">
        <f t="shared" si="308"/>
        <v>-328.3551793699225</v>
      </c>
      <c r="Y601" s="702">
        <f t="shared" si="309"/>
        <v>-148.3551793699225</v>
      </c>
      <c r="AA601" s="174">
        <f t="shared" si="310"/>
        <v>331130</v>
      </c>
      <c r="AB601" s="174">
        <f t="shared" si="311"/>
        <v>109647076900</v>
      </c>
      <c r="AD601" s="701">
        <f t="shared" si="312"/>
        <v>21.840462199252933</v>
      </c>
      <c r="AE601" s="702">
        <f t="shared" si="313"/>
        <v>-59.231846228384406</v>
      </c>
      <c r="AG601" s="701">
        <f t="shared" si="314"/>
        <v>2.7548427214042053</v>
      </c>
      <c r="AH601" s="702">
        <f t="shared" si="315"/>
        <v>63.947905557633739</v>
      </c>
      <c r="AJ601" s="174">
        <f t="shared" si="316"/>
        <v>0</v>
      </c>
      <c r="AK601" s="174">
        <f t="shared" si="296"/>
        <v>0</v>
      </c>
      <c r="AM601" s="174" t="str">
        <f t="shared" si="320"/>
        <v>0.056830360253364-0.33231164689219i</v>
      </c>
      <c r="AN601" s="174" t="str">
        <f t="shared" si="321"/>
        <v>5.94443185254i</v>
      </c>
      <c r="AO601" s="174" t="str">
        <f t="shared" si="322"/>
        <v>-0.0559030122870693-0.0095602677704314i</v>
      </c>
      <c r="AP601" s="174" t="str">
        <f t="shared" si="323"/>
        <v>0.157194939957773+0.0553852744820317i</v>
      </c>
      <c r="AQ601" s="174" t="str">
        <f t="shared" si="324"/>
        <v>0.842805060042227-0.0553852744820317i</v>
      </c>
      <c r="AR601" s="174" t="str">
        <f t="shared" si="325"/>
        <v>0.984116239032071+0.0646715956098853i</v>
      </c>
    </row>
    <row r="602" spans="7:44" x14ac:dyDescent="0.2">
      <c r="G602" s="703">
        <v>363080</v>
      </c>
      <c r="H602" s="691">
        <f t="shared" si="317"/>
        <v>363.08</v>
      </c>
      <c r="I602" s="692">
        <f t="shared" si="297"/>
        <v>354.23643803576289</v>
      </c>
      <c r="J602" s="693">
        <f t="shared" si="298"/>
        <v>1.5679733497636625</v>
      </c>
      <c r="K602" s="693">
        <f t="shared" si="299"/>
        <v>1.0190638772420506</v>
      </c>
      <c r="L602" s="694">
        <f t="shared" si="300"/>
        <v>0.19373107231945691</v>
      </c>
      <c r="M602" s="693">
        <f t="shared" si="301"/>
        <v>1.1021475489663428</v>
      </c>
      <c r="N602" s="694">
        <f t="shared" si="302"/>
        <v>-0.43393213747952752</v>
      </c>
      <c r="O602" s="692">
        <f t="shared" si="303"/>
        <v>657014.08859327307</v>
      </c>
      <c r="P602" s="695">
        <f t="shared" si="304"/>
        <v>1.5707948047575198</v>
      </c>
      <c r="Q602" s="704">
        <f t="shared" si="326"/>
        <v>273.75769668563953</v>
      </c>
      <c r="R602" s="705">
        <f t="shared" si="327"/>
        <v>1.5671434533377318</v>
      </c>
      <c r="S602" s="692">
        <f t="shared" si="305"/>
        <v>2.0810496976779835</v>
      </c>
      <c r="T602" s="695">
        <f t="shared" si="306"/>
        <v>1.0695410985713245</v>
      </c>
      <c r="U602" s="696">
        <f t="shared" si="318"/>
        <v>3.5693723929384504E-2</v>
      </c>
      <c r="V602" s="697">
        <f t="shared" si="319"/>
        <v>-0.16365076946145229</v>
      </c>
      <c r="W602" s="698">
        <f t="shared" si="307"/>
        <v>-56.030863351210471</v>
      </c>
      <c r="X602" s="699">
        <f t="shared" si="308"/>
        <v>-174.46665919202908</v>
      </c>
      <c r="Y602" s="702">
        <f t="shared" si="309"/>
        <v>5.5333408079709159</v>
      </c>
      <c r="AA602" s="174">
        <f t="shared" si="310"/>
        <v>363080</v>
      </c>
      <c r="AB602" s="174">
        <f t="shared" si="311"/>
        <v>131827086400</v>
      </c>
      <c r="AD602" s="701">
        <f t="shared" si="312"/>
        <v>21.238633749384725</v>
      </c>
      <c r="AE602" s="702">
        <f t="shared" si="313"/>
        <v>-61.489398060057276</v>
      </c>
      <c r="AG602" s="701">
        <f t="shared" si="314"/>
        <v>6.0147714432529744</v>
      </c>
      <c r="AH602" s="702">
        <f t="shared" si="315"/>
        <v>-94.224264302124126</v>
      </c>
      <c r="AJ602" s="174">
        <f t="shared" si="316"/>
        <v>0</v>
      </c>
      <c r="AK602" s="174">
        <f t="shared" ref="AK602:AK613" si="328">IF(AJ602&gt;0,Y602,0)</f>
        <v>0</v>
      </c>
      <c r="AM602" s="174" t="str">
        <f t="shared" si="320"/>
        <v>0.027441809113729+0.232659763044717i</v>
      </c>
      <c r="AN602" s="174" t="str">
        <f t="shared" si="321"/>
        <v>6.51799691064i</v>
      </c>
      <c r="AO602" s="174" t="str">
        <f t="shared" si="322"/>
        <v>0.0356949790302788-0.00421015988346556i</v>
      </c>
      <c r="AP602" s="174" t="str">
        <f t="shared" si="323"/>
        <v>0.162093031814379-0.0387766271741195i</v>
      </c>
      <c r="AQ602" s="174" t="str">
        <f t="shared" si="324"/>
        <v>0.837906968185621+0.0387766271741195i</v>
      </c>
      <c r="AR602" s="174" t="str">
        <f t="shared" si="325"/>
        <v>0.992019221463986-0.0459086282377683i</v>
      </c>
    </row>
    <row r="603" spans="7:44" x14ac:dyDescent="0.2">
      <c r="G603" s="703">
        <v>398110</v>
      </c>
      <c r="H603" s="691">
        <f t="shared" si="317"/>
        <v>398.11</v>
      </c>
      <c r="I603" s="692">
        <f t="shared" si="297"/>
        <v>388.41294978594232</v>
      </c>
      <c r="J603" s="693">
        <f t="shared" si="298"/>
        <v>1.5682217444971189</v>
      </c>
      <c r="K603" s="693">
        <f t="shared" si="299"/>
        <v>1.0228767011655706</v>
      </c>
      <c r="L603" s="694">
        <f t="shared" si="300"/>
        <v>0.21189114714666357</v>
      </c>
      <c r="M603" s="693">
        <f t="shared" si="301"/>
        <v>1.1216782993729675</v>
      </c>
      <c r="N603" s="694">
        <f t="shared" si="302"/>
        <v>-0.47010393038116616</v>
      </c>
      <c r="O603" s="692">
        <f t="shared" si="303"/>
        <v>720402.88313819806</v>
      </c>
      <c r="P603" s="695">
        <f t="shared" si="304"/>
        <v>1.5707949386827396</v>
      </c>
      <c r="Q603" s="704">
        <f t="shared" si="326"/>
        <v>300.16953370392656</v>
      </c>
      <c r="R603" s="705">
        <f t="shared" si="327"/>
        <v>1.5674648699430622</v>
      </c>
      <c r="S603" s="692">
        <f t="shared" si="305"/>
        <v>2.2370690046877826</v>
      </c>
      <c r="T603" s="695">
        <f t="shared" si="306"/>
        <v>1.1073724416061348</v>
      </c>
      <c r="U603" s="696">
        <f t="shared" si="318"/>
        <v>0.10832364412031077</v>
      </c>
      <c r="V603" s="697">
        <f t="shared" si="319"/>
        <v>-0.57297955949612334</v>
      </c>
      <c r="W603" s="698">
        <f t="shared" si="307"/>
        <v>-47.631183868854947</v>
      </c>
      <c r="X603" s="699">
        <f t="shared" si="308"/>
        <v>-201.11486686959242</v>
      </c>
      <c r="Y603" s="702">
        <f t="shared" si="309"/>
        <v>-21.114866869592419</v>
      </c>
      <c r="AA603" s="174">
        <f t="shared" si="310"/>
        <v>398110</v>
      </c>
      <c r="AB603" s="174">
        <f t="shared" si="311"/>
        <v>158491572100</v>
      </c>
      <c r="AD603" s="701">
        <f t="shared" si="312"/>
        <v>20.610685423701931</v>
      </c>
      <c r="AE603" s="702">
        <f t="shared" si="313"/>
        <v>-63.638566210118348</v>
      </c>
      <c r="AG603" s="701">
        <f t="shared" si="314"/>
        <v>-4.2428568048957578</v>
      </c>
      <c r="AH603" s="702">
        <f t="shared" si="315"/>
        <v>-71.817679571662367</v>
      </c>
      <c r="AJ603" s="174">
        <f t="shared" si="316"/>
        <v>0</v>
      </c>
      <c r="AK603" s="174">
        <f t="shared" si="328"/>
        <v>0</v>
      </c>
      <c r="AM603" s="174" t="str">
        <f t="shared" si="320"/>
        <v>0.350347207370477+0.760231049766229i</v>
      </c>
      <c r="AN603" s="174" t="str">
        <f t="shared" si="321"/>
        <v>7.14685399938i</v>
      </c>
      <c r="AO603" s="174" t="str">
        <f t="shared" si="322"/>
        <v>0.106372824998549-0.0490211787453431i</v>
      </c>
      <c r="AP603" s="174" t="str">
        <f t="shared" si="323"/>
        <v>0.108275465438254-0.126705174961038i</v>
      </c>
      <c r="AQ603" s="174" t="str">
        <f t="shared" si="324"/>
        <v>0.891724534561746+0.126705174961038i</v>
      </c>
      <c r="AR603" s="174" t="str">
        <f t="shared" si="325"/>
        <v>0.915658228185263-0.13010591445008i</v>
      </c>
    </row>
    <row r="604" spans="7:44" x14ac:dyDescent="0.2">
      <c r="G604" s="703">
        <v>436520</v>
      </c>
      <c r="H604" s="691">
        <f t="shared" si="317"/>
        <v>436.52</v>
      </c>
      <c r="I604" s="692">
        <f t="shared" si="297"/>
        <v>425.88713245498167</v>
      </c>
      <c r="J604" s="693">
        <f t="shared" si="298"/>
        <v>1.5684482846901262</v>
      </c>
      <c r="K604" s="693">
        <f t="shared" si="299"/>
        <v>1.0274420456532973</v>
      </c>
      <c r="L604" s="694">
        <f t="shared" si="300"/>
        <v>0.23164128994411792</v>
      </c>
      <c r="M604" s="693">
        <f t="shared" si="301"/>
        <v>1.1447186358035091</v>
      </c>
      <c r="N604" s="694">
        <f t="shared" si="302"/>
        <v>-0.5082918538964315</v>
      </c>
      <c r="O604" s="692">
        <f t="shared" si="303"/>
        <v>789907.98158156115</v>
      </c>
      <c r="P604" s="695">
        <f t="shared" si="304"/>
        <v>1.5707950608246528</v>
      </c>
      <c r="Q604" s="704">
        <f t="shared" si="326"/>
        <v>329.12984481950656</v>
      </c>
      <c r="R604" s="705">
        <f t="shared" si="327"/>
        <v>1.5677580075591737</v>
      </c>
      <c r="S604" s="692">
        <f t="shared" si="305"/>
        <v>2.4113201064139349</v>
      </c>
      <c r="T604" s="695">
        <f t="shared" si="306"/>
        <v>1.1431715888594747</v>
      </c>
      <c r="U604" s="696">
        <f t="shared" si="318"/>
        <v>0.14739503144591923</v>
      </c>
      <c r="V604" s="697">
        <f t="shared" si="319"/>
        <v>-0.94220203238785105</v>
      </c>
      <c r="W604" s="698">
        <f t="shared" si="307"/>
        <v>-46.192236762662937</v>
      </c>
      <c r="X604" s="699">
        <f t="shared" si="308"/>
        <v>-225.37349460883925</v>
      </c>
      <c r="Y604" s="702">
        <f t="shared" si="309"/>
        <v>-45.373494608839252</v>
      </c>
      <c r="AA604" s="174">
        <f t="shared" si="310"/>
        <v>436520</v>
      </c>
      <c r="AB604" s="174">
        <f t="shared" si="311"/>
        <v>190549710400</v>
      </c>
      <c r="AD604" s="701">
        <f t="shared" si="312"/>
        <v>19.959167576517196</v>
      </c>
      <c r="AE604" s="702">
        <f t="shared" si="313"/>
        <v>-65.672917710223075</v>
      </c>
      <c r="AG604" s="701">
        <f t="shared" si="314"/>
        <v>-7.502775147001306</v>
      </c>
      <c r="AH604" s="702">
        <f t="shared" si="315"/>
        <v>-51.732176966299548</v>
      </c>
      <c r="AJ604" s="174">
        <f t="shared" si="316"/>
        <v>0</v>
      </c>
      <c r="AK604" s="174">
        <f t="shared" si="328"/>
        <v>0</v>
      </c>
      <c r="AM604" s="174" t="str">
        <f t="shared" si="320"/>
        <v>0.982407979705906+0.999845248436963i</v>
      </c>
      <c r="AN604" s="174" t="str">
        <f t="shared" si="321"/>
        <v>7.83638870616i</v>
      </c>
      <c r="AO604" s="174" t="str">
        <f t="shared" si="322"/>
        <v>0.12759005275619-0.125364886370894i</v>
      </c>
      <c r="AP604" s="174" t="str">
        <f t="shared" si="323"/>
        <v>0.00293200338234902-0.166640874739494i</v>
      </c>
      <c r="AQ604" s="174" t="str">
        <f t="shared" si="324"/>
        <v>0.997067996617651+0.166640874739494i</v>
      </c>
      <c r="AR604" s="174" t="str">
        <f t="shared" si="325"/>
        <v>0.812747283324233-0.135835187464385i</v>
      </c>
    </row>
    <row r="605" spans="7:44" x14ac:dyDescent="0.2">
      <c r="G605" s="703">
        <v>478630</v>
      </c>
      <c r="H605" s="691">
        <f t="shared" si="317"/>
        <v>478.63</v>
      </c>
      <c r="I605" s="692">
        <f t="shared" si="297"/>
        <v>466.97118959156745</v>
      </c>
      <c r="J605" s="693">
        <f t="shared" si="298"/>
        <v>1.5686548654229766</v>
      </c>
      <c r="K605" s="693">
        <f t="shared" si="299"/>
        <v>1.0329033218148795</v>
      </c>
      <c r="L605" s="694">
        <f t="shared" si="300"/>
        <v>0.25308400791086233</v>
      </c>
      <c r="M605" s="693">
        <f t="shared" si="301"/>
        <v>1.171815887229062</v>
      </c>
      <c r="N605" s="694">
        <f t="shared" si="302"/>
        <v>-0.54836806102234403</v>
      </c>
      <c r="O605" s="692">
        <f t="shared" si="303"/>
        <v>866108.44228060928</v>
      </c>
      <c r="P605" s="695">
        <f t="shared" si="304"/>
        <v>1.5707951722050657</v>
      </c>
      <c r="Q605" s="704">
        <f t="shared" si="326"/>
        <v>360.87990312181756</v>
      </c>
      <c r="R605" s="705">
        <f t="shared" si="327"/>
        <v>1.5680253182929031</v>
      </c>
      <c r="S605" s="692">
        <f t="shared" si="305"/>
        <v>2.6054072360485003</v>
      </c>
      <c r="T605" s="695">
        <f t="shared" si="306"/>
        <v>1.1768697972916369</v>
      </c>
      <c r="U605" s="696">
        <f t="shared" si="318"/>
        <v>0.15848219378961312</v>
      </c>
      <c r="V605" s="697">
        <f t="shared" si="319"/>
        <v>-1.2649587212272133</v>
      </c>
      <c r="W605" s="698">
        <f t="shared" si="307"/>
        <v>-46.785357848342827</v>
      </c>
      <c r="X605" s="699">
        <f t="shared" si="308"/>
        <v>-246.86100292913048</v>
      </c>
      <c r="Y605" s="702">
        <f t="shared" si="309"/>
        <v>-66.861002929130478</v>
      </c>
      <c r="AA605" s="174">
        <f t="shared" si="310"/>
        <v>478630</v>
      </c>
      <c r="AB605" s="174">
        <f t="shared" si="311"/>
        <v>229086676900</v>
      </c>
      <c r="AD605" s="701">
        <f t="shared" si="312"/>
        <v>19.286745881814337</v>
      </c>
      <c r="AE605" s="702">
        <f t="shared" si="313"/>
        <v>-67.588373437493217</v>
      </c>
      <c r="AG605" s="701">
        <f t="shared" si="314"/>
        <v>-8.683379745980611</v>
      </c>
      <c r="AH605" s="702">
        <f t="shared" si="315"/>
        <v>-34.319037356833675</v>
      </c>
      <c r="AJ605" s="174">
        <f t="shared" si="316"/>
        <v>0</v>
      </c>
      <c r="AK605" s="174">
        <f t="shared" si="328"/>
        <v>0</v>
      </c>
      <c r="AM605" s="174" t="str">
        <f t="shared" si="320"/>
        <v>1.67307889266911+0.73957068914562i</v>
      </c>
      <c r="AN605" s="174" t="str">
        <f t="shared" si="321"/>
        <v>8.59234565754i</v>
      </c>
      <c r="AO605" s="174" t="str">
        <f t="shared" si="322"/>
        <v>0.0860732003369334-0.194717363494442i</v>
      </c>
      <c r="AP605" s="174" t="str">
        <f t="shared" si="323"/>
        <v>-0.112179815444852-0.12326178152427i</v>
      </c>
      <c r="AQ605" s="174" t="str">
        <f t="shared" si="324"/>
        <v>1.11217981544485+0.12326178152427i</v>
      </c>
      <c r="AR605" s="174" t="str">
        <f t="shared" si="325"/>
        <v>0.73989146866196-0.0820014347458764i</v>
      </c>
    </row>
    <row r="606" spans="7:44" x14ac:dyDescent="0.2">
      <c r="G606" s="703">
        <v>524810</v>
      </c>
      <c r="H606" s="691">
        <f t="shared" si="317"/>
        <v>524.80999999999995</v>
      </c>
      <c r="I606" s="692">
        <f t="shared" si="297"/>
        <v>512.02610673774643</v>
      </c>
      <c r="J606" s="693">
        <f t="shared" si="298"/>
        <v>1.5688433001375444</v>
      </c>
      <c r="K606" s="693">
        <f t="shared" si="299"/>
        <v>1.0394322500401483</v>
      </c>
      <c r="L606" s="694">
        <f t="shared" si="300"/>
        <v>0.27632825560837426</v>
      </c>
      <c r="M606" s="693">
        <f t="shared" si="301"/>
        <v>1.2035914850612761</v>
      </c>
      <c r="N606" s="694">
        <f t="shared" si="302"/>
        <v>-0.59016891634751933</v>
      </c>
      <c r="O606" s="692">
        <f t="shared" si="303"/>
        <v>949673.80146091059</v>
      </c>
      <c r="P606" s="695">
        <f t="shared" si="304"/>
        <v>1.5707952738017548</v>
      </c>
      <c r="Q606" s="704">
        <f t="shared" si="326"/>
        <v>395.69868086491283</v>
      </c>
      <c r="R606" s="705">
        <f t="shared" si="327"/>
        <v>1.5682691486343496</v>
      </c>
      <c r="S606" s="692">
        <f t="shared" si="305"/>
        <v>2.8211616680464737</v>
      </c>
      <c r="T606" s="695">
        <f t="shared" si="306"/>
        <v>1.2084556357529728</v>
      </c>
      <c r="U606" s="696">
        <f t="shared" si="318"/>
        <v>0.15157024757061491</v>
      </c>
      <c r="V606" s="697">
        <f t="shared" si="319"/>
        <v>-1.5695781537916538</v>
      </c>
      <c r="W606" s="698">
        <f t="shared" si="307"/>
        <v>-48.376656529163199</v>
      </c>
      <c r="X606" s="699">
        <f t="shared" si="308"/>
        <v>-267.18419321676527</v>
      </c>
      <c r="Y606" s="702">
        <f t="shared" si="309"/>
        <v>-87.184193216765266</v>
      </c>
      <c r="AA606" s="174">
        <f t="shared" si="310"/>
        <v>524810</v>
      </c>
      <c r="AB606" s="174">
        <f t="shared" si="311"/>
        <v>275425536100</v>
      </c>
      <c r="AD606" s="701">
        <f t="shared" si="312"/>
        <v>18.595693084520853</v>
      </c>
      <c r="AE606" s="702">
        <f t="shared" si="313"/>
        <v>-69.384144047341096</v>
      </c>
      <c r="AG606" s="701">
        <f t="shared" si="314"/>
        <v>-8.8089650568528359</v>
      </c>
      <c r="AH606" s="702">
        <f t="shared" si="315"/>
        <v>-17.939641307508918</v>
      </c>
      <c r="AJ606" s="174">
        <f t="shared" si="316"/>
        <v>0</v>
      </c>
      <c r="AK606" s="174">
        <f t="shared" si="328"/>
        <v>0</v>
      </c>
      <c r="AM606" s="174" t="str">
        <f t="shared" si="320"/>
        <v>1.99999418294494+0.00341087617561343i</v>
      </c>
      <c r="AN606" s="174" t="str">
        <f t="shared" si="321"/>
        <v>9.42136707798i</v>
      </c>
      <c r="AO606" s="174" t="str">
        <f t="shared" si="322"/>
        <v>0.000362036225463019-0.212282799979146i</v>
      </c>
      <c r="AP606" s="174" t="str">
        <f t="shared" si="323"/>
        <v>-0.16666569715749-0.000568479362602238i</v>
      </c>
      <c r="AQ606" s="174" t="str">
        <f t="shared" si="324"/>
        <v>1.16666569715749+0.000568479362602238i</v>
      </c>
      <c r="AR606" s="174" t="str">
        <f t="shared" si="325"/>
        <v>0.714000423814615-0.000347909865539715i</v>
      </c>
    </row>
    <row r="607" spans="7:44" x14ac:dyDescent="0.2">
      <c r="G607" s="703">
        <v>575440</v>
      </c>
      <c r="H607" s="691">
        <f t="shared" si="317"/>
        <v>575.44000000000005</v>
      </c>
      <c r="I607" s="692">
        <f t="shared" si="297"/>
        <v>561.42262595895932</v>
      </c>
      <c r="J607" s="693">
        <f t="shared" si="298"/>
        <v>1.5690151365069824</v>
      </c>
      <c r="K607" s="693">
        <f t="shared" si="299"/>
        <v>1.0472270396878471</v>
      </c>
      <c r="L607" s="694">
        <f t="shared" si="300"/>
        <v>0.3014641848463388</v>
      </c>
      <c r="M607" s="693">
        <f t="shared" si="301"/>
        <v>1.2407134042100689</v>
      </c>
      <c r="N607" s="694">
        <f t="shared" si="302"/>
        <v>-0.63345379611535968</v>
      </c>
      <c r="O607" s="692">
        <f t="shared" si="303"/>
        <v>1041291.6909216963</v>
      </c>
      <c r="P607" s="695">
        <f t="shared" si="304"/>
        <v>1.5707953664491945</v>
      </c>
      <c r="Q607" s="704">
        <f t="shared" si="326"/>
        <v>433.87269029715213</v>
      </c>
      <c r="R607" s="705">
        <f t="shared" si="327"/>
        <v>1.5684915011911329</v>
      </c>
      <c r="S607" s="692">
        <f t="shared" si="305"/>
        <v>3.0604611953515795</v>
      </c>
      <c r="T607" s="695">
        <f t="shared" si="306"/>
        <v>1.2379355243066417</v>
      </c>
      <c r="U607" s="696">
        <f t="shared" si="318"/>
        <v>0.13057668275032897</v>
      </c>
      <c r="V607" s="697">
        <f t="shared" si="319"/>
        <v>-1.905209907598856</v>
      </c>
      <c r="W607" s="698">
        <f t="shared" si="307"/>
        <v>-50.850021402275587</v>
      </c>
      <c r="X607" s="699">
        <f t="shared" si="308"/>
        <v>-289.1405186121508</v>
      </c>
      <c r="Y607" s="702">
        <f t="shared" si="309"/>
        <v>-109.1405186121508</v>
      </c>
      <c r="AA607" s="174">
        <f t="shared" si="310"/>
        <v>575440</v>
      </c>
      <c r="AB607" s="174">
        <f t="shared" si="311"/>
        <v>331131193600</v>
      </c>
      <c r="AD607" s="701">
        <f t="shared" si="312"/>
        <v>17.888510358934901</v>
      </c>
      <c r="AE607" s="702">
        <f t="shared" si="313"/>
        <v>-71.060482689137473</v>
      </c>
      <c r="AG607" s="701">
        <f t="shared" si="314"/>
        <v>-7.9852140583821383</v>
      </c>
      <c r="AH607" s="702">
        <f t="shared" si="315"/>
        <v>0.24093791030275166</v>
      </c>
      <c r="AJ607" s="174">
        <f t="shared" si="316"/>
        <v>0</v>
      </c>
      <c r="AK607" s="174">
        <f t="shared" si="328"/>
        <v>0</v>
      </c>
      <c r="AM607" s="174" t="str">
        <f t="shared" si="320"/>
        <v>1.61729484645299-0.786731893685886i</v>
      </c>
      <c r="AN607" s="174" t="str">
        <f t="shared" si="321"/>
        <v>10.33027471152i</v>
      </c>
      <c r="AO607" s="174" t="str">
        <f t="shared" si="322"/>
        <v>-0.0761578869542111-0.156558745204465i</v>
      </c>
      <c r="AP607" s="174" t="str">
        <f t="shared" si="323"/>
        <v>-0.102882474408832+0.131121982280981i</v>
      </c>
      <c r="AQ607" s="174" t="str">
        <f t="shared" si="324"/>
        <v>1.10288247440883-0.131121982280981i</v>
      </c>
      <c r="AR607" s="174" t="str">
        <f t="shared" si="325"/>
        <v>0.744766339564223+0.0885454625001241i</v>
      </c>
    </row>
    <row r="608" spans="7:44" x14ac:dyDescent="0.2">
      <c r="G608" s="703">
        <v>630960</v>
      </c>
      <c r="H608" s="691">
        <f t="shared" si="317"/>
        <v>630.96</v>
      </c>
      <c r="I608" s="692">
        <f t="shared" si="297"/>
        <v>615.59002769063773</v>
      </c>
      <c r="J608" s="693">
        <f t="shared" si="298"/>
        <v>1.5691718683163172</v>
      </c>
      <c r="K608" s="693">
        <f t="shared" si="299"/>
        <v>1.0565231923537273</v>
      </c>
      <c r="L608" s="694">
        <f t="shared" si="300"/>
        <v>0.32858240146212464</v>
      </c>
      <c r="M608" s="693">
        <f t="shared" si="301"/>
        <v>1.2839277185225626</v>
      </c>
      <c r="N608" s="694">
        <f t="shared" si="302"/>
        <v>-0.67795010389096266</v>
      </c>
      <c r="O608" s="692">
        <f t="shared" si="303"/>
        <v>1141758.3159041819</v>
      </c>
      <c r="P608" s="695">
        <f t="shared" si="304"/>
        <v>1.5707954509527975</v>
      </c>
      <c r="Q608" s="704">
        <f t="shared" si="326"/>
        <v>475.73368263591789</v>
      </c>
      <c r="R608" s="705">
        <f t="shared" si="327"/>
        <v>1.5686943088531085</v>
      </c>
      <c r="S608" s="692">
        <f t="shared" si="305"/>
        <v>3.3254676315725868</v>
      </c>
      <c r="T608" s="695">
        <f t="shared" si="306"/>
        <v>1.2653597357859363</v>
      </c>
      <c r="U608" s="696">
        <f t="shared" si="318"/>
        <v>8.9093869878330206E-2</v>
      </c>
      <c r="V608" s="697">
        <f t="shared" si="319"/>
        <v>-2.3567737955723129</v>
      </c>
      <c r="W608" s="698">
        <f t="shared" si="307"/>
        <v>-55.317585923064421</v>
      </c>
      <c r="X608" s="699">
        <f t="shared" si="308"/>
        <v>-317.57757134953721</v>
      </c>
      <c r="Y608" s="702">
        <f t="shared" si="309"/>
        <v>-137.57757134953721</v>
      </c>
      <c r="AA608" s="174">
        <f t="shared" si="310"/>
        <v>630960</v>
      </c>
      <c r="AB608" s="174">
        <f t="shared" si="311"/>
        <v>398110521600</v>
      </c>
      <c r="AD608" s="701">
        <f t="shared" si="312"/>
        <v>17.167189523716445</v>
      </c>
      <c r="AE608" s="702">
        <f t="shared" si="313"/>
        <v>-72.62015908377316</v>
      </c>
      <c r="AG608" s="701">
        <f t="shared" si="314"/>
        <v>-5.0907454247024901</v>
      </c>
      <c r="AH608" s="702">
        <f t="shared" si="315"/>
        <v>25.108971549474557</v>
      </c>
      <c r="AJ608" s="174">
        <f t="shared" si="316"/>
        <v>0</v>
      </c>
      <c r="AK608" s="174">
        <f t="shared" si="328"/>
        <v>0</v>
      </c>
      <c r="AM608" s="174" t="str">
        <f t="shared" si="320"/>
        <v>0.674639324513921-0.945589990877252i</v>
      </c>
      <c r="AN608" s="174" t="str">
        <f t="shared" si="321"/>
        <v>11.32696741968i</v>
      </c>
      <c r="AO608" s="174" t="str">
        <f t="shared" si="322"/>
        <v>-0.0834813022622754-0.0595604542255301i</v>
      </c>
      <c r="AP608" s="174" t="str">
        <f t="shared" si="323"/>
        <v>0.0542267792476798+0.157598331812875i</v>
      </c>
      <c r="AQ608" s="174" t="str">
        <f t="shared" si="324"/>
        <v>0.94577322075232-0.157598331812875i</v>
      </c>
      <c r="AR608" s="174" t="str">
        <f t="shared" si="325"/>
        <v>0.856965449579503+0.142799904154157i</v>
      </c>
    </row>
    <row r="609" spans="7:44" x14ac:dyDescent="0.2">
      <c r="G609" s="703">
        <v>691830</v>
      </c>
      <c r="H609" s="691">
        <f t="shared" si="317"/>
        <v>691.83</v>
      </c>
      <c r="I609" s="692">
        <f t="shared" si="297"/>
        <v>674.9771052466449</v>
      </c>
      <c r="J609" s="693">
        <f t="shared" si="298"/>
        <v>1.5693147945206165</v>
      </c>
      <c r="K609" s="693">
        <f t="shared" si="299"/>
        <v>1.0675912885062351</v>
      </c>
      <c r="L609" s="694">
        <f t="shared" si="300"/>
        <v>0.35774721027680784</v>
      </c>
      <c r="M609" s="693">
        <f t="shared" si="301"/>
        <v>1.3340255363877422</v>
      </c>
      <c r="N609" s="694">
        <f t="shared" si="302"/>
        <v>-0.72332240963965744</v>
      </c>
      <c r="O609" s="692">
        <f t="shared" si="303"/>
        <v>1251906.0727969112</v>
      </c>
      <c r="P609" s="695">
        <f t="shared" si="304"/>
        <v>1.570795528012926</v>
      </c>
      <c r="Q609" s="704">
        <f t="shared" si="326"/>
        <v>521.62848886936422</v>
      </c>
      <c r="R609" s="705">
        <f t="shared" si="327"/>
        <v>1.5688792524136703</v>
      </c>
      <c r="S609" s="692">
        <f t="shared" si="305"/>
        <v>3.6184421472975625</v>
      </c>
      <c r="T609" s="695">
        <f t="shared" si="306"/>
        <v>1.2907896917243231</v>
      </c>
      <c r="U609" s="696">
        <f t="shared" si="318"/>
        <v>1.1763686315563101E-2</v>
      </c>
      <c r="V609" s="697">
        <f t="shared" si="319"/>
        <v>-3.039101342887597</v>
      </c>
      <c r="W609" s="698">
        <f t="shared" si="307"/>
        <v>-74.01401331444643</v>
      </c>
      <c r="X609" s="699">
        <f t="shared" si="308"/>
        <v>-359.05530742091446</v>
      </c>
      <c r="Y609" s="702">
        <f t="shared" si="309"/>
        <v>-179.05530742091446</v>
      </c>
      <c r="AA609" s="174">
        <f t="shared" si="310"/>
        <v>691830</v>
      </c>
      <c r="AB609" s="174">
        <f t="shared" si="311"/>
        <v>478628748900</v>
      </c>
      <c r="AD609" s="701">
        <f t="shared" si="312"/>
        <v>16.433808127488739</v>
      </c>
      <c r="AE609" s="702">
        <f t="shared" si="313"/>
        <v>-74.066596163650985</v>
      </c>
      <c r="AG609" s="701">
        <f t="shared" si="314"/>
        <v>12.11838410135857</v>
      </c>
      <c r="AH609" s="702">
        <f t="shared" si="315"/>
        <v>63.266650060676568</v>
      </c>
      <c r="AJ609" s="174">
        <f t="shared" si="316"/>
        <v>0</v>
      </c>
      <c r="AK609" s="174">
        <f t="shared" si="328"/>
        <v>0</v>
      </c>
      <c r="AM609" s="174" t="str">
        <f t="shared" si="320"/>
        <v>0.010736412470181-0.146142240258017i</v>
      </c>
      <c r="AN609" s="174" t="str">
        <f t="shared" si="321"/>
        <v>12.41970310314i</v>
      </c>
      <c r="AO609" s="174" t="str">
        <f t="shared" si="322"/>
        <v>-0.0117669672973961-0.000864466113321709i</v>
      </c>
      <c r="AP609" s="174" t="str">
        <f t="shared" si="323"/>
        <v>0.164877264588303+0.0243570400430028i</v>
      </c>
      <c r="AQ609" s="174" t="str">
        <f t="shared" si="324"/>
        <v>0.835122735411697-0.0243570400430028i</v>
      </c>
      <c r="AR609" s="174" t="str">
        <f t="shared" si="325"/>
        <v>0.996610413753454+0.0290669607301491i</v>
      </c>
    </row>
    <row r="610" spans="7:44" x14ac:dyDescent="0.2">
      <c r="G610" s="703">
        <v>758580</v>
      </c>
      <c r="H610" s="691">
        <f t="shared" si="317"/>
        <v>758.58</v>
      </c>
      <c r="I610" s="692">
        <f t="shared" si="297"/>
        <v>740.10094670175943</v>
      </c>
      <c r="J610" s="693">
        <f t="shared" si="298"/>
        <v>1.5694451593511416</v>
      </c>
      <c r="K610" s="693">
        <f t="shared" si="299"/>
        <v>1.0807494595570437</v>
      </c>
      <c r="L610" s="694">
        <f t="shared" si="300"/>
        <v>0.38901306465415253</v>
      </c>
      <c r="M610" s="693">
        <f t="shared" si="301"/>
        <v>1.3918775052204144</v>
      </c>
      <c r="N610" s="694">
        <f t="shared" si="302"/>
        <v>-0.76921914995668761</v>
      </c>
      <c r="O610" s="692">
        <f t="shared" si="303"/>
        <v>1372694.0270040764</v>
      </c>
      <c r="P610" s="695">
        <f t="shared" si="304"/>
        <v>1.5707955983004322</v>
      </c>
      <c r="Q610" s="704">
        <f t="shared" si="326"/>
        <v>571.95671877756934</v>
      </c>
      <c r="R610" s="705">
        <f t="shared" si="327"/>
        <v>1.5690479418618331</v>
      </c>
      <c r="S610" s="692">
        <f t="shared" si="305"/>
        <v>3.9419875875265622</v>
      </c>
      <c r="T610" s="695">
        <f t="shared" si="306"/>
        <v>1.3143144027376852</v>
      </c>
      <c r="U610" s="696">
        <f t="shared" si="318"/>
        <v>6.6121225181614771E-2</v>
      </c>
      <c r="V610" s="697">
        <f t="shared" si="319"/>
        <v>-0.6822735445461815</v>
      </c>
      <c r="W610" s="698">
        <f t="shared" si="307"/>
        <v>-60.086840022431538</v>
      </c>
      <c r="X610" s="699">
        <f t="shared" si="308"/>
        <v>-226.20298424358282</v>
      </c>
      <c r="Y610" s="702">
        <f t="shared" si="309"/>
        <v>-46.202984243582819</v>
      </c>
      <c r="AA610" s="174">
        <f t="shared" si="310"/>
        <v>758580</v>
      </c>
      <c r="AB610" s="174">
        <f t="shared" si="311"/>
        <v>575443616400</v>
      </c>
      <c r="AD610" s="701">
        <f t="shared" si="312"/>
        <v>15.689933061058882</v>
      </c>
      <c r="AE610" s="702">
        <f t="shared" si="313"/>
        <v>-75.404801654260027</v>
      </c>
      <c r="AG610" s="701">
        <f t="shared" si="314"/>
        <v>-3.2024658138801003</v>
      </c>
      <c r="AH610" s="702">
        <f t="shared" si="315"/>
        <v>-72.615393348131605</v>
      </c>
      <c r="AJ610" s="174">
        <f t="shared" si="316"/>
        <v>0</v>
      </c>
      <c r="AK610" s="174">
        <f t="shared" si="328"/>
        <v>0</v>
      </c>
      <c r="AM610" s="174" t="str">
        <f t="shared" si="320"/>
        <v>0.503839766160561+0.868230972930817i</v>
      </c>
      <c r="AN610" s="174" t="str">
        <f t="shared" si="321"/>
        <v>13.61799629964i</v>
      </c>
      <c r="AO610" s="174" t="str">
        <f t="shared" si="322"/>
        <v>0.0637561469269726-0.0369980836442055i</v>
      </c>
      <c r="AP610" s="174" t="str">
        <f t="shared" si="323"/>
        <v>0.0826933723065732-0.144705162155136i</v>
      </c>
      <c r="AQ610" s="174" t="str">
        <f t="shared" si="324"/>
        <v>0.917306627693427+0.144705162155136i</v>
      </c>
      <c r="AR610" s="174" t="str">
        <f t="shared" si="325"/>
        <v>0.886044023515205-0.139773484927014i</v>
      </c>
    </row>
    <row r="611" spans="7:44" x14ac:dyDescent="0.2">
      <c r="G611" s="703">
        <v>831760</v>
      </c>
      <c r="H611" s="691">
        <f t="shared" si="317"/>
        <v>831.76</v>
      </c>
      <c r="I611" s="692">
        <f t="shared" si="297"/>
        <v>811.49815299640113</v>
      </c>
      <c r="J611" s="693">
        <f t="shared" si="298"/>
        <v>1.5695640377879567</v>
      </c>
      <c r="K611" s="693">
        <f t="shared" si="299"/>
        <v>1.0963578881621867</v>
      </c>
      <c r="L611" s="694">
        <f t="shared" si="300"/>
        <v>0.42239211681891625</v>
      </c>
      <c r="M611" s="693">
        <f t="shared" si="301"/>
        <v>1.4583870099598319</v>
      </c>
      <c r="N611" s="694">
        <f t="shared" si="302"/>
        <v>-0.81524641837650269</v>
      </c>
      <c r="O611" s="692">
        <f t="shared" si="303"/>
        <v>1505117.4350771962</v>
      </c>
      <c r="P611" s="695">
        <f t="shared" si="304"/>
        <v>1.5707956623949124</v>
      </c>
      <c r="Q611" s="704">
        <f t="shared" si="326"/>
        <v>627.13306189483421</v>
      </c>
      <c r="R611" s="705">
        <f t="shared" si="327"/>
        <v>1.569201768184403</v>
      </c>
      <c r="S611" s="692">
        <f t="shared" si="305"/>
        <v>4.2988105710072873</v>
      </c>
      <c r="T611" s="695">
        <f t="shared" si="306"/>
        <v>1.3360230524641559</v>
      </c>
      <c r="U611" s="696">
        <f t="shared" si="318"/>
        <v>9.1800617605007712E-2</v>
      </c>
      <c r="V611" s="697">
        <f t="shared" si="319"/>
        <v>-1.2866552143838692</v>
      </c>
      <c r="W611" s="698">
        <f t="shared" si="307"/>
        <v>-58.25935887402543</v>
      </c>
      <c r="X611" s="699">
        <f t="shared" si="308"/>
        <v>-262.79800790619174</v>
      </c>
      <c r="Y611" s="702">
        <f t="shared" si="309"/>
        <v>-82.798007906191742</v>
      </c>
      <c r="AA611" s="174">
        <f t="shared" si="310"/>
        <v>831760</v>
      </c>
      <c r="AB611" s="174">
        <f t="shared" si="311"/>
        <v>691824697600</v>
      </c>
      <c r="AD611" s="701">
        <f t="shared" si="312"/>
        <v>14.937269713483872</v>
      </c>
      <c r="AE611" s="702">
        <f t="shared" si="313"/>
        <v>-76.639805737207752</v>
      </c>
      <c r="AG611" s="701">
        <f t="shared" si="314"/>
        <v>-6.322509751793465</v>
      </c>
      <c r="AH611" s="702">
        <f t="shared" si="315"/>
        <v>-38.718375055117761</v>
      </c>
      <c r="AJ611" s="174">
        <f t="shared" si="316"/>
        <v>0</v>
      </c>
      <c r="AK611" s="174">
        <f t="shared" si="328"/>
        <v>0</v>
      </c>
      <c r="AM611" s="174" t="str">
        <f t="shared" si="320"/>
        <v>1.71355095817426+0.70060333291285i</v>
      </c>
      <c r="AN611" s="174" t="str">
        <f t="shared" si="321"/>
        <v>14.93172058608i</v>
      </c>
      <c r="AO611" s="174" t="str">
        <f t="shared" si="322"/>
        <v>0.0469204690024794-0.114759109527653i</v>
      </c>
      <c r="AP611" s="174" t="str">
        <f t="shared" si="323"/>
        <v>-0.11892515969571-0.116767222152142i</v>
      </c>
      <c r="AQ611" s="174" t="str">
        <f t="shared" si="324"/>
        <v>1.11892515969571+0.116767222152142i</v>
      </c>
      <c r="AR611" s="174" t="str">
        <f t="shared" si="325"/>
        <v>0.73644434736496-0.0768528260950349i</v>
      </c>
    </row>
    <row r="612" spans="7:44" x14ac:dyDescent="0.2">
      <c r="G612" s="703">
        <v>912010</v>
      </c>
      <c r="H612" s="691">
        <f t="shared" si="317"/>
        <v>912.01</v>
      </c>
      <c r="I612" s="692">
        <f t="shared" si="297"/>
        <v>889.79313260304946</v>
      </c>
      <c r="J612" s="693">
        <f t="shared" si="298"/>
        <v>1.5696724698287459</v>
      </c>
      <c r="K612" s="693">
        <f t="shared" si="299"/>
        <v>1.1148362727670111</v>
      </c>
      <c r="L612" s="694">
        <f t="shared" si="300"/>
        <v>0.45787762860713049</v>
      </c>
      <c r="M612" s="693">
        <f t="shared" si="301"/>
        <v>1.5345464382672744</v>
      </c>
      <c r="N612" s="694">
        <f t="shared" si="302"/>
        <v>-0.86102761948905082</v>
      </c>
      <c r="O612" s="692">
        <f t="shared" si="303"/>
        <v>1650334.4137307669</v>
      </c>
      <c r="P612" s="695">
        <f t="shared" si="304"/>
        <v>1.5707957208570991</v>
      </c>
      <c r="Q612" s="704">
        <f t="shared" si="326"/>
        <v>687.64006617933285</v>
      </c>
      <c r="R612" s="705">
        <f t="shared" si="327"/>
        <v>1.5693420771057678</v>
      </c>
      <c r="S612" s="692">
        <f t="shared" si="305"/>
        <v>4.692063562206183</v>
      </c>
      <c r="T612" s="695">
        <f t="shared" si="306"/>
        <v>1.3560231288602995</v>
      </c>
      <c r="U612" s="696">
        <f t="shared" si="318"/>
        <v>8.4686849707892212E-2</v>
      </c>
      <c r="V612" s="697">
        <f t="shared" si="319"/>
        <v>-1.8124013537994426</v>
      </c>
      <c r="W612" s="698">
        <f t="shared" si="307"/>
        <v>-59.932975223029679</v>
      </c>
      <c r="X612" s="699">
        <f t="shared" si="308"/>
        <v>-294.65503927821862</v>
      </c>
      <c r="Y612" s="702">
        <f t="shared" si="309"/>
        <v>-114.65503927821862</v>
      </c>
      <c r="AA612" s="174">
        <f t="shared" si="310"/>
        <v>912010</v>
      </c>
      <c r="AB612" s="174">
        <f t="shared" si="311"/>
        <v>831762240100</v>
      </c>
      <c r="AD612" s="701">
        <f t="shared" si="312"/>
        <v>14.176956283645154</v>
      </c>
      <c r="AE612" s="702">
        <f t="shared" si="313"/>
        <v>-77.777689946560542</v>
      </c>
      <c r="AG612" s="701">
        <f t="shared" si="314"/>
        <v>-5.8346276593113</v>
      </c>
      <c r="AH612" s="702">
        <f t="shared" si="315"/>
        <v>-9.1914523813328408</v>
      </c>
      <c r="AJ612" s="174">
        <f t="shared" si="316"/>
        <v>0</v>
      </c>
      <c r="AK612" s="174">
        <f t="shared" si="328"/>
        <v>0</v>
      </c>
      <c r="AM612" s="174" t="str">
        <f t="shared" si="320"/>
        <v>1.78728567805562-0.616588404957887i</v>
      </c>
      <c r="AN612" s="174" t="str">
        <f t="shared" si="321"/>
        <v>16.37236521558i</v>
      </c>
      <c r="AO612" s="174" t="str">
        <f t="shared" si="322"/>
        <v>-0.0376603133902205-0.109164781906699i</v>
      </c>
      <c r="AP612" s="174" t="str">
        <f t="shared" si="323"/>
        <v>-0.131214279675936+0.102764734159648i</v>
      </c>
      <c r="AQ612" s="174" t="str">
        <f t="shared" si="324"/>
        <v>1.13121427967594-0.102764734159648i</v>
      </c>
      <c r="AR612" s="174" t="str">
        <f t="shared" si="325"/>
        <v>0.730349454852632+0.0663483204906814i</v>
      </c>
    </row>
    <row r="613" spans="7:44" x14ac:dyDescent="0.2">
      <c r="G613" s="703">
        <v>1000000</v>
      </c>
      <c r="H613" s="691">
        <f t="shared" si="317"/>
        <v>1000</v>
      </c>
      <c r="I613" s="692">
        <f t="shared" si="297"/>
        <v>975.63956323447667</v>
      </c>
      <c r="J613" s="693">
        <f t="shared" si="298"/>
        <v>1.5697713579305976</v>
      </c>
      <c r="K613" s="693">
        <f t="shared" si="299"/>
        <v>1.1366540264893932</v>
      </c>
      <c r="L613" s="694">
        <f t="shared" si="300"/>
        <v>0.49540725187427148</v>
      </c>
      <c r="M613" s="693">
        <f t="shared" si="301"/>
        <v>1.6213791209581894</v>
      </c>
      <c r="N613" s="694">
        <f t="shared" si="302"/>
        <v>-0.90617780266387282</v>
      </c>
      <c r="O613" s="692">
        <f t="shared" si="303"/>
        <v>1809557.3664002765</v>
      </c>
      <c r="P613" s="695">
        <f t="shared" si="304"/>
        <v>1.5707957741735659</v>
      </c>
      <c r="Q613" s="704">
        <f t="shared" si="326"/>
        <v>753.9828991453054</v>
      </c>
      <c r="R613" s="705">
        <f t="shared" si="327"/>
        <v>1.569470036378618</v>
      </c>
      <c r="S613" s="692">
        <f t="shared" si="305"/>
        <v>5.125054849369624</v>
      </c>
      <c r="T613" s="695">
        <f t="shared" si="306"/>
        <v>1.3744166661445592</v>
      </c>
      <c r="U613" s="696">
        <f t="shared" si="318"/>
        <v>4.4467574512693585E-2</v>
      </c>
      <c r="V613" s="697">
        <f t="shared" si="319"/>
        <v>-2.5483897001268332</v>
      </c>
      <c r="W613" s="698">
        <f t="shared" si="307"/>
        <v>-66.448692288296471</v>
      </c>
      <c r="X613" s="699">
        <f t="shared" si="308"/>
        <v>-338.31290071982346</v>
      </c>
      <c r="Y613" s="702">
        <f t="shared" si="309"/>
        <v>-158.31290071982346</v>
      </c>
      <c r="AA613" s="174">
        <f t="shared" si="310"/>
        <v>1000000</v>
      </c>
      <c r="AB613" s="174">
        <f t="shared" si="311"/>
        <v>1000000000000</v>
      </c>
      <c r="AD613" s="701">
        <f t="shared" si="312"/>
        <v>13.410262120479651</v>
      </c>
      <c r="AE613" s="702">
        <f t="shared" si="313"/>
        <v>-78.82423353298563</v>
      </c>
      <c r="AG613" s="701">
        <f t="shared" si="314"/>
        <v>-0.39274911162607751</v>
      </c>
      <c r="AH613" s="702">
        <f t="shared" si="315"/>
        <v>32.535281890602256</v>
      </c>
      <c r="AJ613" s="174">
        <f t="shared" si="316"/>
        <v>0</v>
      </c>
      <c r="AK613" s="174">
        <f t="shared" si="328"/>
        <v>0</v>
      </c>
      <c r="AM613" s="174" t="str">
        <f t="shared" si="320"/>
        <v>0.376510214179056-0.78183149525774i</v>
      </c>
      <c r="AN613" s="174" t="str">
        <f t="shared" si="321"/>
        <v>17.951958i</v>
      </c>
      <c r="AO613" s="174" t="str">
        <f t="shared" si="322"/>
        <v>-0.0435513215470836-0.0209732116228801i</v>
      </c>
      <c r="AP613" s="174" t="str">
        <f t="shared" si="323"/>
        <v>0.103914964303491+0.130305249209623i</v>
      </c>
      <c r="AQ613" s="174" t="str">
        <f t="shared" si="324"/>
        <v>0.896085035696509-0.130305249209623i</v>
      </c>
      <c r="AR613" s="174" t="str">
        <f t="shared" si="325"/>
        <v>0.910349158778887+0.132379483282242i</v>
      </c>
    </row>
    <row r="614" spans="7:44" x14ac:dyDescent="0.2">
      <c r="G614" s="707"/>
      <c r="H614" s="707"/>
      <c r="I614" s="708"/>
      <c r="J614" s="708"/>
      <c r="K614" s="708"/>
      <c r="L614" s="708"/>
      <c r="M614" s="693"/>
      <c r="N614" s="694"/>
      <c r="O614" s="708"/>
      <c r="P614" s="708"/>
      <c r="Q614" s="708"/>
      <c r="R614" s="708"/>
      <c r="S614" s="708"/>
      <c r="T614" s="708"/>
      <c r="U614" s="708"/>
      <c r="V614" s="709"/>
      <c r="W614" s="710"/>
      <c r="X614" s="699"/>
      <c r="Y614" s="711"/>
      <c r="AG614" s="701"/>
      <c r="AH614" s="702"/>
    </row>
    <row r="615" spans="7:44" x14ac:dyDescent="0.2">
      <c r="G615" s="707"/>
      <c r="H615" s="707"/>
      <c r="I615" s="708"/>
      <c r="J615" s="708"/>
      <c r="K615" s="708"/>
      <c r="L615" s="708"/>
      <c r="M615" s="693"/>
      <c r="N615" s="694"/>
      <c r="O615" s="708"/>
      <c r="P615" s="708"/>
      <c r="Q615" s="708"/>
      <c r="R615" s="708"/>
      <c r="S615" s="708"/>
      <c r="T615" s="708"/>
      <c r="U615" s="708"/>
      <c r="V615" s="709"/>
      <c r="W615" s="711"/>
      <c r="X615" s="699"/>
      <c r="Y615" s="711"/>
      <c r="AG615" s="701"/>
      <c r="AH615" s="702"/>
    </row>
    <row r="616" spans="7:44" x14ac:dyDescent="0.2">
      <c r="G616" s="174" t="s">
        <v>739</v>
      </c>
      <c r="M616" s="693"/>
      <c r="N616" s="694"/>
      <c r="W616" s="698"/>
      <c r="X616" s="699"/>
      <c r="Y616" s="712"/>
      <c r="AG616" s="701"/>
      <c r="AH616" s="702"/>
    </row>
    <row r="617" spans="7:44" x14ac:dyDescent="0.2">
      <c r="G617" s="713">
        <f>W4*1000</f>
        <v>28184</v>
      </c>
      <c r="H617" s="713"/>
      <c r="I617" s="714">
        <f t="shared" ref="I617:I626" si="329">SQRT(1+(G617/pole1)^2)</f>
        <v>27.515588528168493</v>
      </c>
      <c r="J617" s="704">
        <f t="shared" ref="J617:J626" si="330">ATAN(G617/pole1)</f>
        <v>1.534445286512615</v>
      </c>
      <c r="K617" s="704">
        <f t="shared" ref="K617:K626" si="331">SQRT(1+(G617/Zero1)^2)</f>
        <v>1.00011595960393</v>
      </c>
      <c r="L617" s="705">
        <f t="shared" ref="L617:L626" si="332">ATAN(G617/Zero1)</f>
        <v>1.5228158097016173E-2</v>
      </c>
      <c r="M617" s="693">
        <v>1</v>
      </c>
      <c r="N617" s="694">
        <v>0</v>
      </c>
      <c r="O617" s="714">
        <f t="shared" ref="O617:O626" si="333">SQRT(1+(G617/Pole2)^2)</f>
        <v>51000.564824421417</v>
      </c>
      <c r="P617" s="715">
        <f t="shared" ref="P617:P626" si="334">ATAN(G617/Pole2)</f>
        <v>1.5707767191689124</v>
      </c>
      <c r="Q617" s="704">
        <f t="shared" ref="Q617:Q626" si="335">SQRT(1+(G617/Zero2)^2)</f>
        <v>21.273751478780248</v>
      </c>
      <c r="R617" s="705">
        <f t="shared" ref="R617:R626" si="336">ATAN(G617/Zero2)</f>
        <v>1.5237727149617037</v>
      </c>
      <c r="S617" s="714">
        <f t="shared" ref="S617:S626" si="337">SQRT(1+(G617/pole4)^2)</f>
        <v>1.0099850934429324</v>
      </c>
      <c r="T617" s="715">
        <f t="shared" ref="T617:T626" si="338">ATAN(G617/pole4)</f>
        <v>0.14073173205134462</v>
      </c>
      <c r="U617" s="714" t="e">
        <v>#DIV/0!</v>
      </c>
      <c r="V617" s="716" t="e">
        <v>#DIV/0!</v>
      </c>
      <c r="W617" s="698" t="e">
        <f>20*LOG10(((K617*Q617*M617)/(I617*O617*U617*S617))*Adc)</f>
        <v>#DIV/0!</v>
      </c>
      <c r="X617" s="699" t="e">
        <f>((L617+R617+N617)-(J617+P617+V617+T617))*radconv</f>
        <v>#DIV/0!</v>
      </c>
      <c r="Y617" s="702" t="e">
        <f t="shared" ref="Y617:Y626" si="339">IF(X617&gt;0,X617,X617+180)</f>
        <v>#DIV/0!</v>
      </c>
      <c r="Z617" s="174" t="s">
        <v>740</v>
      </c>
      <c r="AD617" s="701">
        <f>20*LOG10((Q617/(O617*S617))*Aea)</f>
        <v>27.527532300585804</v>
      </c>
      <c r="AE617" s="702">
        <f>(R617-(P617+T617))*radconv</f>
        <v>-10.756465363687292</v>
      </c>
      <c r="AG617" s="701" t="e">
        <f>20*LOG10((K617*M617/(I617*U617))*Acs*Am)</f>
        <v>#DIV/0!</v>
      </c>
      <c r="AH617" s="702" t="e">
        <f>(L617+N617-(J617+V617))*radconv</f>
        <v>#DIV/0!</v>
      </c>
    </row>
    <row r="618" spans="7:44" x14ac:dyDescent="0.2">
      <c r="G618" s="713">
        <f>G617</f>
        <v>28184</v>
      </c>
      <c r="H618" s="713"/>
      <c r="I618" s="714"/>
      <c r="J618" s="704"/>
      <c r="K618" s="704"/>
      <c r="L618" s="705"/>
      <c r="M618" s="693"/>
      <c r="N618" s="694"/>
      <c r="O618" s="714"/>
      <c r="P618" s="715"/>
      <c r="Q618" s="704"/>
      <c r="R618" s="705"/>
      <c r="S618" s="692"/>
      <c r="T618" s="695"/>
      <c r="U618" s="714"/>
      <c r="V618" s="697"/>
      <c r="W618" s="698"/>
      <c r="X618" s="699">
        <v>-135</v>
      </c>
      <c r="Y618" s="702"/>
      <c r="AD618" s="701"/>
      <c r="AE618" s="702"/>
      <c r="AG618" s="701"/>
      <c r="AH618" s="702"/>
    </row>
    <row r="619" spans="7:44" x14ac:dyDescent="0.2">
      <c r="G619" s="174">
        <f>G618</f>
        <v>28184</v>
      </c>
      <c r="H619" s="713"/>
      <c r="I619" s="714"/>
      <c r="J619" s="704"/>
      <c r="K619" s="704"/>
      <c r="L619" s="705"/>
      <c r="M619" s="693"/>
      <c r="N619" s="694"/>
      <c r="O619" s="714"/>
      <c r="P619" s="715"/>
      <c r="Q619" s="704"/>
      <c r="R619" s="705"/>
      <c r="S619" s="692"/>
      <c r="T619" s="695"/>
      <c r="U619" s="714"/>
      <c r="V619" s="697"/>
      <c r="W619" s="698"/>
      <c r="X619" s="699"/>
      <c r="Y619" s="702"/>
      <c r="AD619" s="701"/>
      <c r="AE619" s="702"/>
      <c r="AG619" s="701"/>
      <c r="AH619" s="702"/>
    </row>
    <row r="620" spans="7:44" x14ac:dyDescent="0.2">
      <c r="G620" s="713">
        <v>1000000</v>
      </c>
      <c r="H620" s="713"/>
      <c r="I620" s="714"/>
      <c r="J620" s="704"/>
      <c r="K620" s="704"/>
      <c r="L620" s="705"/>
      <c r="M620" s="693"/>
      <c r="N620" s="694"/>
      <c r="O620" s="714"/>
      <c r="P620" s="715"/>
      <c r="Q620" s="704"/>
      <c r="R620" s="705"/>
      <c r="S620" s="692"/>
      <c r="T620" s="695"/>
      <c r="U620" s="714"/>
      <c r="V620" s="697"/>
      <c r="W620" s="698"/>
      <c r="X620" s="699" t="e">
        <f>X617</f>
        <v>#DIV/0!</v>
      </c>
      <c r="Y620" s="702"/>
      <c r="AD620" s="701"/>
      <c r="AE620" s="702"/>
      <c r="AG620" s="701"/>
      <c r="AH620" s="702"/>
    </row>
    <row r="621" spans="7:44" x14ac:dyDescent="0.2">
      <c r="G621" s="713"/>
      <c r="H621" s="713"/>
      <c r="I621" s="714"/>
      <c r="J621" s="704"/>
      <c r="K621" s="704"/>
      <c r="L621" s="705"/>
      <c r="M621" s="693"/>
      <c r="N621" s="694"/>
      <c r="O621" s="714"/>
      <c r="P621" s="715"/>
      <c r="Q621" s="704"/>
      <c r="R621" s="705"/>
      <c r="S621" s="692"/>
      <c r="T621" s="695"/>
      <c r="U621" s="714"/>
      <c r="V621" s="697"/>
      <c r="W621" s="698"/>
      <c r="X621" s="699"/>
      <c r="Y621" s="702"/>
      <c r="AD621" s="701"/>
      <c r="AE621" s="702"/>
      <c r="AG621" s="701"/>
      <c r="AH621" s="702"/>
    </row>
    <row r="622" spans="7:44" x14ac:dyDescent="0.2">
      <c r="G622" s="717">
        <f>pole1</f>
        <v>1024.9692232299162</v>
      </c>
      <c r="H622" s="718"/>
      <c r="I622" s="714">
        <f t="shared" si="329"/>
        <v>1.4142135623730951</v>
      </c>
      <c r="J622" s="704">
        <f t="shared" si="330"/>
        <v>0.78539816339744828</v>
      </c>
      <c r="K622" s="704">
        <f t="shared" si="331"/>
        <v>1.0000001533727694</v>
      </c>
      <c r="L622" s="705">
        <f t="shared" si="332"/>
        <v>5.5384609721621434E-4</v>
      </c>
      <c r="M622" s="693">
        <v>1</v>
      </c>
      <c r="N622" s="694">
        <v>0</v>
      </c>
      <c r="O622" s="714">
        <f t="shared" si="333"/>
        <v>1854.7408778084368</v>
      </c>
      <c r="P622" s="715">
        <f t="shared" si="334"/>
        <v>1.5702571678965225</v>
      </c>
      <c r="Q622" s="704">
        <f t="shared" si="335"/>
        <v>1.2638168822156144</v>
      </c>
      <c r="R622" s="705">
        <f t="shared" si="336"/>
        <v>0.65793951649465987</v>
      </c>
      <c r="S622" s="692">
        <f t="shared" si="337"/>
        <v>1.0000132717588586</v>
      </c>
      <c r="T622" s="695">
        <f t="shared" si="338"/>
        <v>5.1520116609297352E-3</v>
      </c>
      <c r="U622" s="714" t="e">
        <f t="shared" ref="U622:U626" si="340">SQRT((1-(G622^2/(pole3^2)))^2+(G622/(Q*pole3))^2)</f>
        <v>#DIV/0!</v>
      </c>
      <c r="V622" s="697" t="e">
        <f t="shared" ref="V622:V626" si="341">ATAN((G622/(Q*pole3))/(1-G622^2/pole3^2))</f>
        <v>#NAME?</v>
      </c>
      <c r="W622" s="698" t="e">
        <f t="shared" ref="W622:W628" si="342">20*LOG10(((K622*Q622*M622)/(I622*O622*U622*S622))*Adc)</f>
        <v>#DIV/0!</v>
      </c>
      <c r="X622" s="699" t="e">
        <f t="shared" ref="X622:X628" si="343">((L622+R622+N622)-(J622+P622+V622+T622))*radconv</f>
        <v>#NAME?</v>
      </c>
      <c r="Y622" s="702" t="e">
        <f t="shared" si="339"/>
        <v>#NAME?</v>
      </c>
      <c r="Z622" s="174" t="s">
        <v>728</v>
      </c>
      <c r="AD622" s="701">
        <f>20*LOG10((Q622/(O622*S622))*Aea)</f>
        <v>31.876352565410784</v>
      </c>
      <c r="AE622" s="702">
        <f>(R622-(P622+T622))*radconv</f>
        <v>-52.567139584854395</v>
      </c>
      <c r="AG622" s="701" t="e">
        <f t="shared" ref="AG622:AG628" si="344">20*LOG10((K622*M622/(I622*U622))*Acs*Am)</f>
        <v>#DIV/0!</v>
      </c>
      <c r="AH622" s="702" t="e">
        <f t="shared" ref="AH622:AH628" si="345">(L622+N622-(J622+V622))*radconv</f>
        <v>#NAME?</v>
      </c>
    </row>
    <row r="623" spans="7:44" x14ac:dyDescent="0.2">
      <c r="G623" s="717">
        <f>Zero1</f>
        <v>1850638.8752762375</v>
      </c>
      <c r="H623" s="718"/>
      <c r="I623" s="714">
        <f t="shared" si="329"/>
        <v>1805.5558324786111</v>
      </c>
      <c r="J623" s="704">
        <f t="shared" si="330"/>
        <v>1.5702424806976805</v>
      </c>
      <c r="K623" s="704">
        <f t="shared" si="331"/>
        <v>1.4142135623730951</v>
      </c>
      <c r="L623" s="705">
        <f t="shared" si="332"/>
        <v>0.78539816339744828</v>
      </c>
      <c r="M623" s="693">
        <v>1</v>
      </c>
      <c r="N623" s="694">
        <v>0</v>
      </c>
      <c r="O623" s="714">
        <f t="shared" si="333"/>
        <v>3348837.2093024761</v>
      </c>
      <c r="P623" s="715">
        <f t="shared" si="334"/>
        <v>1.5707960281837856</v>
      </c>
      <c r="Q623" s="704">
        <f t="shared" si="335"/>
        <v>1395.34919554259</v>
      </c>
      <c r="R623" s="705">
        <f t="shared" si="336"/>
        <v>1.5700796602509259</v>
      </c>
      <c r="S623" s="692">
        <f t="shared" si="337"/>
        <v>9.3559211851256183</v>
      </c>
      <c r="T623" s="695">
        <f t="shared" si="338"/>
        <v>1.4637075779842479</v>
      </c>
      <c r="U623" s="714" t="e">
        <f t="shared" si="340"/>
        <v>#DIV/0!</v>
      </c>
      <c r="V623" s="697" t="e">
        <f t="shared" si="341"/>
        <v>#NAME?</v>
      </c>
      <c r="W623" s="698" t="e">
        <f t="shared" si="342"/>
        <v>#DIV/0!</v>
      </c>
      <c r="X623" s="699" t="e">
        <f t="shared" si="343"/>
        <v>#NAME?</v>
      </c>
      <c r="Y623" s="702" t="e">
        <f t="shared" si="339"/>
        <v>#NAME?</v>
      </c>
      <c r="Z623" s="174" t="s">
        <v>729</v>
      </c>
      <c r="AD623" s="701">
        <f>20*LOG10((Q623/(O623*S623))*Aea)</f>
        <v>8.1824959722514361</v>
      </c>
      <c r="AE623" s="702">
        <f>(R623-(P623+T623))*radconv</f>
        <v>-83.905311614820377</v>
      </c>
      <c r="AG623" s="701" t="e">
        <f t="shared" si="344"/>
        <v>#DIV/0!</v>
      </c>
      <c r="AH623" s="702" t="e">
        <f t="shared" si="345"/>
        <v>#NAME?</v>
      </c>
    </row>
    <row r="624" spans="7:44" x14ac:dyDescent="0.2">
      <c r="G624" s="717">
        <f>Pole2</f>
        <v>0.5526213308116541</v>
      </c>
      <c r="H624" s="718"/>
      <c r="I624" s="714">
        <f t="shared" si="329"/>
        <v>1.0000001453461764</v>
      </c>
      <c r="J624" s="704">
        <f t="shared" si="330"/>
        <v>5.3915889837416106E-4</v>
      </c>
      <c r="K624" s="704">
        <f t="shared" si="331"/>
        <v>1.0000000000000446</v>
      </c>
      <c r="L624" s="705">
        <f t="shared" si="332"/>
        <v>2.9861111111110214E-7</v>
      </c>
      <c r="M624" s="693">
        <v>1</v>
      </c>
      <c r="N624" s="694">
        <v>0</v>
      </c>
      <c r="O624" s="714">
        <f t="shared" si="333"/>
        <v>1.4142135623730951</v>
      </c>
      <c r="P624" s="715">
        <f t="shared" si="334"/>
        <v>0.78539816339744828</v>
      </c>
      <c r="Q624" s="704">
        <f t="shared" si="335"/>
        <v>1.0000000868055519</v>
      </c>
      <c r="R624" s="705">
        <f t="shared" si="336"/>
        <v>4.1666664255401488E-4</v>
      </c>
      <c r="S624" s="692">
        <f t="shared" si="337"/>
        <v>1.000000000003858</v>
      </c>
      <c r="T624" s="695">
        <f t="shared" si="338"/>
        <v>2.7777777777706336E-6</v>
      </c>
      <c r="U624" s="714" t="e">
        <f t="shared" si="340"/>
        <v>#DIV/0!</v>
      </c>
      <c r="V624" s="697" t="e">
        <f t="shared" si="341"/>
        <v>#NAME?</v>
      </c>
      <c r="W624" s="698" t="e">
        <f t="shared" si="342"/>
        <v>#DIV/0!</v>
      </c>
      <c r="X624" s="699" t="e">
        <f t="shared" si="343"/>
        <v>#NAME?</v>
      </c>
      <c r="Y624" s="702" t="e">
        <f t="shared" si="339"/>
        <v>#NAME?</v>
      </c>
      <c r="Z624" s="174" t="s">
        <v>730</v>
      </c>
      <c r="AC624" s="174">
        <f>Pole2</f>
        <v>0.5526213308116541</v>
      </c>
      <c r="AD624" s="701">
        <f>20*LOG10((Q624/(O624*S624))*Aea)</f>
        <v>92.198150465774319</v>
      </c>
      <c r="AE624" s="702">
        <f>(R624-(P624+T624))*radconv</f>
        <v>-44.976285966253755</v>
      </c>
      <c r="AG624" s="701" t="e">
        <f t="shared" si="344"/>
        <v>#DIV/0!</v>
      </c>
      <c r="AH624" s="702" t="e">
        <f t="shared" si="345"/>
        <v>#NAME?</v>
      </c>
    </row>
    <row r="625" spans="7:34" x14ac:dyDescent="0.2">
      <c r="G625" s="717">
        <f>Zero2</f>
        <v>1326.2911939479698</v>
      </c>
      <c r="H625" s="718"/>
      <c r="I625" s="714">
        <f t="shared" si="329"/>
        <v>1.6353556415706672</v>
      </c>
      <c r="J625" s="704">
        <f t="shared" si="330"/>
        <v>0.91285681030023669</v>
      </c>
      <c r="K625" s="704">
        <f t="shared" si="331"/>
        <v>1.0000002568055226</v>
      </c>
      <c r="L625" s="705">
        <f t="shared" si="332"/>
        <v>7.1666654397071659E-4</v>
      </c>
      <c r="M625" s="693">
        <v>1</v>
      </c>
      <c r="N625" s="694">
        <v>0</v>
      </c>
      <c r="O625" s="714">
        <f t="shared" si="333"/>
        <v>2400.0002083333243</v>
      </c>
      <c r="P625" s="715">
        <f t="shared" si="334"/>
        <v>1.5703796601523425</v>
      </c>
      <c r="Q625" s="704">
        <f t="shared" si="335"/>
        <v>1.4142135623730951</v>
      </c>
      <c r="R625" s="705">
        <f t="shared" si="336"/>
        <v>0.78539816339744828</v>
      </c>
      <c r="S625" s="692">
        <f t="shared" si="337"/>
        <v>1.0000222219753141</v>
      </c>
      <c r="T625" s="695">
        <f t="shared" si="338"/>
        <v>6.6665679038682285E-3</v>
      </c>
      <c r="U625" s="714" t="e">
        <f t="shared" si="340"/>
        <v>#DIV/0!</v>
      </c>
      <c r="V625" s="697" t="e">
        <f t="shared" si="341"/>
        <v>#NAME?</v>
      </c>
      <c r="W625" s="698" t="e">
        <f t="shared" si="342"/>
        <v>#DIV/0!</v>
      </c>
      <c r="X625" s="699" t="e">
        <f t="shared" si="343"/>
        <v>#NAME?</v>
      </c>
      <c r="Y625" s="702" t="e">
        <f t="shared" si="339"/>
        <v>#NAME?</v>
      </c>
      <c r="Z625" s="174" t="s">
        <v>741</v>
      </c>
      <c r="AC625" s="174">
        <f>Zero2</f>
        <v>1326.2911939479698</v>
      </c>
      <c r="AD625" s="701">
        <f>20*LOG10((Q625/(O625*S625))*Aea)</f>
        <v>30.614331021407992</v>
      </c>
      <c r="AE625" s="702">
        <f>(R625-(P625+T625))*radconv</f>
        <v>-45.358093016475969</v>
      </c>
      <c r="AG625" s="701" t="e">
        <f t="shared" si="344"/>
        <v>#DIV/0!</v>
      </c>
      <c r="AH625" s="702" t="e">
        <f t="shared" si="345"/>
        <v>#NAME?</v>
      </c>
    </row>
    <row r="626" spans="7:34" x14ac:dyDescent="0.2">
      <c r="G626" s="717">
        <f>pole3</f>
        <v>0</v>
      </c>
      <c r="H626" s="718"/>
      <c r="I626" s="714">
        <f t="shared" si="329"/>
        <v>1</v>
      </c>
      <c r="J626" s="704">
        <f t="shared" si="330"/>
        <v>0</v>
      </c>
      <c r="K626" s="704">
        <f t="shared" si="331"/>
        <v>1</v>
      </c>
      <c r="L626" s="705">
        <f t="shared" si="332"/>
        <v>0</v>
      </c>
      <c r="M626" s="693">
        <v>1</v>
      </c>
      <c r="N626" s="694">
        <v>0</v>
      </c>
      <c r="O626" s="714">
        <f t="shared" si="333"/>
        <v>1</v>
      </c>
      <c r="P626" s="715">
        <f t="shared" si="334"/>
        <v>0</v>
      </c>
      <c r="Q626" s="704">
        <f t="shared" si="335"/>
        <v>1</v>
      </c>
      <c r="R626" s="705">
        <f t="shared" si="336"/>
        <v>0</v>
      </c>
      <c r="S626" s="692">
        <f t="shared" si="337"/>
        <v>1</v>
      </c>
      <c r="T626" s="695">
        <f t="shared" si="338"/>
        <v>0</v>
      </c>
      <c r="U626" s="714" t="e">
        <f t="shared" si="340"/>
        <v>#DIV/0!</v>
      </c>
      <c r="V626" s="697" t="e">
        <f t="shared" si="341"/>
        <v>#NAME?</v>
      </c>
      <c r="W626" s="698" t="e">
        <f t="shared" si="342"/>
        <v>#DIV/0!</v>
      </c>
      <c r="X626" s="699" t="e">
        <f t="shared" si="343"/>
        <v>#NAME?</v>
      </c>
      <c r="Y626" s="702" t="e">
        <f t="shared" si="339"/>
        <v>#NAME?</v>
      </c>
      <c r="Z626" s="174" t="s">
        <v>706</v>
      </c>
      <c r="AD626" s="701">
        <f>20*LOG10((Q626/(O626*S626))*Aea)</f>
        <v>95.20844966846424</v>
      </c>
      <c r="AE626" s="702">
        <f>(R626-(P626+T626))*radconv</f>
        <v>0</v>
      </c>
      <c r="AG626" s="701" t="e">
        <f t="shared" si="344"/>
        <v>#DIV/0!</v>
      </c>
      <c r="AH626" s="702" t="e">
        <f t="shared" si="345"/>
        <v>#NAME?</v>
      </c>
    </row>
    <row r="627" spans="7:34" ht="13.5" thickBot="1" x14ac:dyDescent="0.25">
      <c r="G627" s="201">
        <v>195034.73926858415</v>
      </c>
      <c r="I627" s="714">
        <f>SQRT(1+(G627/pole1)^2)</f>
        <v>190.28613552322835</v>
      </c>
      <c r="J627" s="704">
        <f>ATAN(G627/pole1)</f>
        <v>1.5655410589834062</v>
      </c>
      <c r="K627" s="704">
        <f>SQRT(1+(G627/Zero1)^2)</f>
        <v>1.0055379585408055</v>
      </c>
      <c r="L627" s="705">
        <f>ATAN(G627/Zero1)</f>
        <v>0.10500020239686804</v>
      </c>
      <c r="M627" s="693">
        <v>1</v>
      </c>
      <c r="N627" s="694">
        <v>0</v>
      </c>
      <c r="O627" s="714">
        <f>SQRT(1+(G627/Pole2)^2)</f>
        <v>352926.54914878652</v>
      </c>
      <c r="P627" s="715">
        <f>ATAN(G627/Pole2)</f>
        <v>1.5707934933441334</v>
      </c>
      <c r="Q627" s="704">
        <f>SQRT(1+(G627/Zero2)^2)</f>
        <v>147.05612891301183</v>
      </c>
      <c r="R627" s="705">
        <f>ATAN(G627/Zero2)</f>
        <v>1.5639961497842465</v>
      </c>
      <c r="S627" s="692">
        <f>SQRT(1+(G627/pole4)^2)</f>
        <v>1.4003889150419822</v>
      </c>
      <c r="T627" s="695">
        <f>ATAN(G627/pole4)</f>
        <v>0.77547677840975859</v>
      </c>
      <c r="U627" s="714" t="e">
        <v>#DIV/0!</v>
      </c>
      <c r="V627" s="697" t="e">
        <v>#DIV/0!</v>
      </c>
      <c r="W627" s="698" t="e">
        <f t="shared" si="342"/>
        <v>#DIV/0!</v>
      </c>
      <c r="X627" s="699" t="e">
        <f t="shared" si="343"/>
        <v>#DIV/0!</v>
      </c>
      <c r="Y627" s="702" t="e">
        <f>IF(X627&gt;0,X627,X627+180)</f>
        <v>#DIV/0!</v>
      </c>
      <c r="Z627" s="174" t="s">
        <v>742</v>
      </c>
      <c r="AD627" s="719"/>
      <c r="AE627" s="720"/>
      <c r="AG627" s="701" t="e">
        <f t="shared" si="344"/>
        <v>#DIV/0!</v>
      </c>
      <c r="AH627" s="702" t="e">
        <f t="shared" si="345"/>
        <v>#DIV/0!</v>
      </c>
    </row>
    <row r="628" spans="7:34" x14ac:dyDescent="0.2">
      <c r="G628" s="201">
        <f>z_RHP</f>
        <v>783532.02842464671</v>
      </c>
      <c r="I628" s="714">
        <f>SQRT(1+(G628/pole1)^2)</f>
        <v>764.44509851393173</v>
      </c>
      <c r="J628" s="704">
        <f>ATAN(G628/pole1)</f>
        <v>1.5694881880061875</v>
      </c>
      <c r="K628" s="704">
        <f>SQRT(1+(G628/Zero1)^2)</f>
        <v>1.0859348657006913</v>
      </c>
      <c r="L628" s="705">
        <f>ATAN(G628/Zero1)</f>
        <v>0.4005016068855321</v>
      </c>
      <c r="M628" s="693">
        <v>1</v>
      </c>
      <c r="N628" s="694">
        <v>0</v>
      </c>
      <c r="O628" s="714">
        <f>SQRT(1+(G628/Pole2)^2)</f>
        <v>1417846.1538465065</v>
      </c>
      <c r="P628" s="715">
        <f>ATAN(G628/Pole2)</f>
        <v>1.5707956214997578</v>
      </c>
      <c r="Q628" s="704">
        <f>SQRT(1+(G628/Zero2)^2)</f>
        <v>590.77007712279112</v>
      </c>
      <c r="R628" s="705">
        <f>ATAN(G628/Zero2)</f>
        <v>1.5691036200782444</v>
      </c>
      <c r="S628" s="692">
        <f>SQRT(1+(G628/pole4)^2)</f>
        <v>4.0634319595559649</v>
      </c>
      <c r="T628" s="695">
        <f>ATAN(G628/pole4)</f>
        <v>1.3221445856043834</v>
      </c>
      <c r="U628" s="714" t="e">
        <v>#DIV/0!</v>
      </c>
      <c r="V628" s="697" t="e">
        <v>#DIV/0!</v>
      </c>
      <c r="W628" s="698" t="e">
        <f t="shared" si="342"/>
        <v>#DIV/0!</v>
      </c>
      <c r="X628" s="699" t="e">
        <f t="shared" si="343"/>
        <v>#DIV/0!</v>
      </c>
      <c r="Y628" s="702" t="e">
        <f>IF(X628&gt;0,X628,X628+180)</f>
        <v>#DIV/0!</v>
      </c>
      <c r="Z628" s="174" t="s">
        <v>727</v>
      </c>
      <c r="AD628" s="711"/>
      <c r="AE628" s="711"/>
      <c r="AG628" s="701" t="e">
        <f t="shared" si="344"/>
        <v>#DIV/0!</v>
      </c>
      <c r="AH628" s="702" t="e">
        <f t="shared" si="345"/>
        <v>#DIV/0!</v>
      </c>
    </row>
    <row r="629" spans="7:34" x14ac:dyDescent="0.2">
      <c r="G629" s="201">
        <v>195034.73926858415</v>
      </c>
      <c r="W629" s="698">
        <v>-25</v>
      </c>
    </row>
    <row r="631" spans="7:34" x14ac:dyDescent="0.2">
      <c r="J631" s="174" t="s">
        <v>743</v>
      </c>
      <c r="K631" s="174" t="s">
        <v>744</v>
      </c>
    </row>
    <row r="632" spans="7:34" x14ac:dyDescent="0.2">
      <c r="G632" s="174" t="s">
        <v>728</v>
      </c>
      <c r="H632" s="174" t="s">
        <v>745</v>
      </c>
      <c r="I632" s="176">
        <f>pole1</f>
        <v>1024.9692232299162</v>
      </c>
      <c r="J632" s="176" t="e">
        <f>W622</f>
        <v>#DIV/0!</v>
      </c>
      <c r="K632" s="176" t="e">
        <f>AG622</f>
        <v>#DIV/0!</v>
      </c>
    </row>
    <row r="633" spans="7:34" x14ac:dyDescent="0.2">
      <c r="G633" s="174" t="s">
        <v>729</v>
      </c>
      <c r="H633" s="174" t="s">
        <v>746</v>
      </c>
      <c r="I633" s="176">
        <f>Zero1</f>
        <v>1850638.8752762375</v>
      </c>
      <c r="J633" s="176" t="e">
        <f>W623</f>
        <v>#DIV/0!</v>
      </c>
      <c r="K633" s="176" t="e">
        <f>AG623</f>
        <v>#DIV/0!</v>
      </c>
    </row>
    <row r="634" spans="7:34" x14ac:dyDescent="0.2">
      <c r="G634" s="174" t="s">
        <v>730</v>
      </c>
      <c r="H634" s="174" t="s">
        <v>747</v>
      </c>
      <c r="I634" s="176">
        <f>Pole2</f>
        <v>0.5526213308116541</v>
      </c>
      <c r="J634" s="176" t="e">
        <f>W624</f>
        <v>#DIV/0!</v>
      </c>
      <c r="K634" s="176" t="e">
        <f>AG624</f>
        <v>#DIV/0!</v>
      </c>
    </row>
    <row r="635" spans="7:34" x14ac:dyDescent="0.2">
      <c r="G635" s="174" t="s">
        <v>741</v>
      </c>
      <c r="H635" s="174" t="s">
        <v>748</v>
      </c>
      <c r="I635" s="176">
        <f>Zero2</f>
        <v>1326.2911939479698</v>
      </c>
      <c r="J635" s="176" t="e">
        <f>W625</f>
        <v>#DIV/0!</v>
      </c>
      <c r="K635" s="176" t="e">
        <f>AG625</f>
        <v>#DIV/0!</v>
      </c>
    </row>
    <row r="636" spans="7:34" x14ac:dyDescent="0.2">
      <c r="G636" s="174" t="s">
        <v>706</v>
      </c>
      <c r="H636" s="174" t="s">
        <v>749</v>
      </c>
      <c r="I636" s="174">
        <f>pole3</f>
        <v>0</v>
      </c>
      <c r="J636" s="176" t="e">
        <f>W626</f>
        <v>#DIV/0!</v>
      </c>
      <c r="K636" s="176" t="e">
        <f>AG626</f>
        <v>#DIV/0!</v>
      </c>
    </row>
    <row r="637" spans="7:34" x14ac:dyDescent="0.2">
      <c r="I637" s="201"/>
      <c r="J637" s="176"/>
      <c r="K637" s="176"/>
    </row>
    <row r="639" spans="7:34" x14ac:dyDescent="0.2">
      <c r="G639" s="176">
        <f>W4*1000</f>
        <v>28184</v>
      </c>
    </row>
    <row r="640" spans="7:34" x14ac:dyDescent="0.2">
      <c r="G640" s="176">
        <f>W4*1000</f>
        <v>28184</v>
      </c>
    </row>
    <row r="687" spans="36:37" x14ac:dyDescent="0.2">
      <c r="AJ687" s="174" t="s">
        <v>720</v>
      </c>
      <c r="AK687" s="176">
        <f>SUM(AK689:AK1306)</f>
        <v>0</v>
      </c>
    </row>
  </sheetData>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133350</xdr:rowOff>
                  </from>
                  <to>
                    <xdr:col>1</xdr:col>
                    <xdr:colOff>400050</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B1:CJ336"/>
  <sheetViews>
    <sheetView zoomScale="115" zoomScaleNormal="115" workbookViewId="0">
      <pane xSplit="6" ySplit="4" topLeftCell="G155" activePane="bottomRight" state="frozen"/>
      <selection pane="topRight" activeCell="G1" sqref="G1"/>
      <selection pane="bottomLeft" activeCell="A5" sqref="A5"/>
      <selection pane="bottomRight" activeCell="H174" sqref="H174"/>
    </sheetView>
  </sheetViews>
  <sheetFormatPr defaultRowHeight="12.75" x14ac:dyDescent="0.2"/>
  <cols>
    <col min="1" max="1" width="2.7109375" customWidth="1"/>
    <col min="2" max="2" width="3.5703125" customWidth="1"/>
    <col min="3" max="3" width="2.7109375" customWidth="1"/>
    <col min="4" max="4" width="3.7109375" customWidth="1"/>
    <col min="5" max="5" width="6.28515625" customWidth="1"/>
    <col min="6" max="6" width="8.5703125" customWidth="1"/>
    <col min="7" max="8" width="7.7109375" customWidth="1"/>
    <col min="9" max="9" width="6.28515625" customWidth="1"/>
    <col min="10" max="10" width="9.5703125" customWidth="1"/>
    <col min="11" max="11" width="9.28515625" customWidth="1"/>
    <col min="12" max="12" width="1.7109375" customWidth="1"/>
    <col min="13" max="13" width="8.42578125" customWidth="1"/>
    <col min="14" max="15" width="9.5703125" customWidth="1"/>
    <col min="16" max="16" width="8.7109375" customWidth="1"/>
    <col min="17" max="18" width="8.5703125" customWidth="1"/>
    <col min="19" max="19" width="15.42578125" customWidth="1"/>
    <col min="20" max="20" width="10.42578125" customWidth="1"/>
    <col min="21" max="21" width="7.5703125" customWidth="1"/>
    <col min="22" max="22" width="9" customWidth="1"/>
    <col min="23" max="23" width="8.7109375" customWidth="1"/>
    <col min="24" max="24" width="10" customWidth="1"/>
    <col min="25" max="25" width="9.5703125" customWidth="1"/>
    <col min="26" max="26" width="1.7109375" customWidth="1"/>
    <col min="27" max="27" width="9.7109375" customWidth="1"/>
    <col min="28" max="28" width="10.42578125" customWidth="1"/>
    <col min="29" max="29" width="10.28515625" customWidth="1"/>
    <col min="30" max="30" width="2" customWidth="1"/>
    <col min="31" max="31" width="9.28515625" customWidth="1"/>
    <col min="32" max="32" width="9.42578125" customWidth="1"/>
    <col min="33" max="33" width="10.42578125" customWidth="1"/>
    <col min="34" max="34" width="2.28515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28515625" customWidth="1"/>
    <col min="45" max="48" width="7" customWidth="1"/>
    <col min="49" max="50" width="8.42578125" customWidth="1"/>
    <col min="51" max="52" width="11" customWidth="1"/>
    <col min="53" max="53" width="9.42578125" customWidth="1"/>
    <col min="54" max="54" width="10.7109375" customWidth="1"/>
    <col min="55" max="55" width="9.7109375" customWidth="1"/>
    <col min="56" max="56" width="11.7109375" customWidth="1"/>
    <col min="57" max="57" width="2" customWidth="1"/>
    <col min="60" max="60" width="2.28515625" customWidth="1"/>
    <col min="61" max="61" width="9" customWidth="1"/>
    <col min="62" max="63" width="8.28515625" customWidth="1"/>
    <col min="64" max="64" width="8.7109375" customWidth="1"/>
    <col min="65" max="66" width="7.5703125" customWidth="1"/>
    <col min="67" max="67" width="10.5703125" customWidth="1"/>
    <col min="68" max="68" width="8.7109375" customWidth="1"/>
    <col min="69" max="70" width="10.28515625" customWidth="1"/>
    <col min="71" max="72" width="10.5703125" customWidth="1"/>
    <col min="73" max="73" width="8.7109375" customWidth="1"/>
    <col min="75" max="75" width="9.7109375" customWidth="1"/>
    <col min="76" max="76" width="11.5703125" customWidth="1"/>
    <col min="77" max="77" width="12.28515625" customWidth="1"/>
    <col min="78" max="78" width="9.28515625" customWidth="1"/>
    <col min="80" max="80" width="7.7109375" customWidth="1"/>
    <col min="81" max="81" width="10.42578125" customWidth="1"/>
    <col min="82" max="82" width="12.42578125" bestFit="1" customWidth="1"/>
    <col min="83" max="83" width="4.5703125" customWidth="1"/>
    <col min="84" max="84" width="5" customWidth="1"/>
    <col min="85" max="85" width="9.5703125" customWidth="1"/>
  </cols>
  <sheetData>
    <row r="1" spans="2:86" x14ac:dyDescent="0.2">
      <c r="B1" s="453" t="s">
        <v>526</v>
      </c>
      <c r="M1">
        <f>Vfwd2</f>
        <v>0.9</v>
      </c>
      <c r="BC1">
        <f>Ltc</f>
        <v>4.0000000000000001E-3</v>
      </c>
      <c r="BV1">
        <f>Ta</f>
        <v>25</v>
      </c>
    </row>
    <row r="2" spans="2:86" ht="13.5" thickBot="1" x14ac:dyDescent="0.25">
      <c r="M2">
        <f>Vfwd1</f>
        <v>0.9</v>
      </c>
      <c r="U2">
        <f>Isw_max</f>
        <v>4.0999999999999996</v>
      </c>
    </row>
    <row r="3" spans="2:86" x14ac:dyDescent="0.2">
      <c r="E3" s="224" t="s">
        <v>428</v>
      </c>
      <c r="F3" s="550"/>
      <c r="G3" s="550"/>
      <c r="H3" s="550"/>
      <c r="I3" s="225"/>
      <c r="J3" s="226"/>
      <c r="K3" s="534"/>
      <c r="L3" s="534"/>
      <c r="M3" s="849" t="s">
        <v>189</v>
      </c>
      <c r="N3" s="850"/>
      <c r="O3" s="851"/>
      <c r="P3" s="849"/>
      <c r="Q3" s="849"/>
      <c r="R3" s="851"/>
      <c r="S3" s="851"/>
      <c r="T3" s="851"/>
      <c r="U3" s="849"/>
      <c r="V3" s="850"/>
      <c r="W3" s="850"/>
      <c r="X3" s="849"/>
      <c r="Y3" s="850"/>
      <c r="Z3" s="849"/>
      <c r="AA3" s="852"/>
      <c r="AB3" s="543"/>
      <c r="AC3" s="543"/>
      <c r="AD3" s="543"/>
      <c r="AE3" s="543"/>
      <c r="AF3" s="543"/>
      <c r="AG3" s="543"/>
      <c r="AH3" s="543"/>
      <c r="AI3" s="543"/>
      <c r="AJ3" s="543"/>
      <c r="AK3" s="543"/>
      <c r="AL3" s="543"/>
      <c r="AM3" s="543"/>
      <c r="AN3" s="543"/>
      <c r="AO3" s="543"/>
      <c r="AP3" s="543"/>
      <c r="AQ3" s="543"/>
      <c r="AR3" s="543"/>
      <c r="AS3" s="543" t="s">
        <v>467</v>
      </c>
      <c r="AT3" s="543"/>
      <c r="AU3" s="543"/>
      <c r="AV3" s="543"/>
      <c r="AW3" s="543"/>
      <c r="AX3" s="543"/>
      <c r="AY3" s="543"/>
      <c r="AZ3" s="543"/>
      <c r="BA3" s="543" t="s">
        <v>477</v>
      </c>
      <c r="BB3" s="543"/>
      <c r="BC3" s="543"/>
      <c r="BD3" s="543"/>
      <c r="BE3" s="543"/>
      <c r="BF3" s="568" t="s">
        <v>478</v>
      </c>
      <c r="BG3" s="543"/>
      <c r="BH3" s="543"/>
      <c r="BI3" s="568" t="s">
        <v>502</v>
      </c>
      <c r="BJ3" s="543"/>
      <c r="BK3" s="543"/>
      <c r="BL3" s="543"/>
      <c r="BM3" s="543"/>
      <c r="BN3" s="543"/>
      <c r="BO3" s="543"/>
      <c r="BP3" s="543"/>
      <c r="BQ3" s="568" t="s">
        <v>498</v>
      </c>
      <c r="BR3" s="543"/>
      <c r="BS3" s="543"/>
      <c r="BT3" s="543"/>
      <c r="BU3" s="569" t="s">
        <v>499</v>
      </c>
      <c r="BV3" s="543"/>
      <c r="BW3" s="543"/>
      <c r="BX3" s="543"/>
      <c r="BY3" s="543"/>
      <c r="BZ3" s="543"/>
      <c r="CA3" s="568"/>
      <c r="CB3" s="543"/>
      <c r="CC3" s="543"/>
      <c r="CD3" s="543"/>
      <c r="CE3" s="543"/>
    </row>
    <row r="4" spans="2:86" ht="45" customHeight="1" thickBot="1" x14ac:dyDescent="0.25">
      <c r="E4" s="245" t="s">
        <v>25</v>
      </c>
      <c r="F4" s="452" t="s">
        <v>194</v>
      </c>
      <c r="G4" s="264"/>
      <c r="H4" s="537" t="s">
        <v>223</v>
      </c>
      <c r="I4" s="246" t="s">
        <v>419</v>
      </c>
      <c r="J4" s="247" t="s">
        <v>425</v>
      </c>
      <c r="K4" s="537" t="s">
        <v>420</v>
      </c>
      <c r="L4" s="537"/>
      <c r="M4" s="248" t="s">
        <v>48</v>
      </c>
      <c r="N4" s="537" t="s">
        <v>409</v>
      </c>
      <c r="O4" s="537" t="s">
        <v>671</v>
      </c>
      <c r="P4" s="537" t="s">
        <v>410</v>
      </c>
      <c r="Q4" s="537" t="s">
        <v>440</v>
      </c>
      <c r="R4" s="537" t="s">
        <v>669</v>
      </c>
      <c r="S4" s="537" t="s">
        <v>672</v>
      </c>
      <c r="T4" s="537" t="s">
        <v>670</v>
      </c>
      <c r="U4" s="537" t="s">
        <v>421</v>
      </c>
      <c r="V4" s="537" t="s">
        <v>473</v>
      </c>
      <c r="W4" s="537" t="s">
        <v>472</v>
      </c>
      <c r="X4" s="556" t="s">
        <v>427</v>
      </c>
      <c r="Y4" s="552" t="s">
        <v>432</v>
      </c>
      <c r="AA4" s="249" t="s">
        <v>424</v>
      </c>
      <c r="AB4" s="249" t="s">
        <v>471</v>
      </c>
      <c r="AC4" s="249" t="s">
        <v>430</v>
      </c>
      <c r="AD4" s="554"/>
      <c r="AE4" s="249" t="s">
        <v>470</v>
      </c>
      <c r="AF4" s="249" t="s">
        <v>696</v>
      </c>
      <c r="AG4" s="249" t="s">
        <v>434</v>
      </c>
      <c r="AH4" s="554"/>
      <c r="AI4" s="249" t="s">
        <v>436</v>
      </c>
      <c r="AJ4" s="557" t="s">
        <v>437</v>
      </c>
      <c r="AK4" s="557" t="s">
        <v>438</v>
      </c>
      <c r="AM4" s="553" t="s">
        <v>274</v>
      </c>
      <c r="AN4" s="553" t="s">
        <v>439</v>
      </c>
      <c r="AP4" s="249" t="s">
        <v>274</v>
      </c>
      <c r="AQ4" s="249" t="s">
        <v>439</v>
      </c>
      <c r="AR4" s="558"/>
      <c r="AS4" s="249" t="s">
        <v>474</v>
      </c>
      <c r="AT4" s="249" t="s">
        <v>468</v>
      </c>
      <c r="AU4" s="249" t="s">
        <v>469</v>
      </c>
      <c r="AV4" s="249" t="s">
        <v>668</v>
      </c>
      <c r="AW4" s="249" t="s">
        <v>48</v>
      </c>
      <c r="AX4" s="558" t="s">
        <v>666</v>
      </c>
      <c r="AY4" s="554" t="s">
        <v>665</v>
      </c>
      <c r="AZ4" s="554" t="s">
        <v>667</v>
      </c>
      <c r="BA4" s="249" t="s">
        <v>489</v>
      </c>
      <c r="BB4" s="249" t="s">
        <v>794</v>
      </c>
      <c r="BC4" s="249" t="s">
        <v>525</v>
      </c>
      <c r="BD4" s="249" t="s">
        <v>795</v>
      </c>
      <c r="BE4" s="554"/>
      <c r="BF4" s="567" t="s">
        <v>463</v>
      </c>
      <c r="BG4" s="249" t="s">
        <v>464</v>
      </c>
      <c r="BH4" s="554"/>
      <c r="BI4" s="567" t="s">
        <v>481</v>
      </c>
      <c r="BJ4" s="249" t="s">
        <v>482</v>
      </c>
      <c r="BK4" s="249" t="s">
        <v>480</v>
      </c>
      <c r="BL4" s="249" t="s">
        <v>476</v>
      </c>
      <c r="BM4" s="249" t="s">
        <v>485</v>
      </c>
      <c r="BN4" s="249" t="s">
        <v>793</v>
      </c>
      <c r="BO4" s="249" t="s">
        <v>686</v>
      </c>
      <c r="BP4" s="249" t="s">
        <v>500</v>
      </c>
      <c r="BQ4" s="567" t="s">
        <v>483</v>
      </c>
      <c r="BR4" s="249" t="s">
        <v>484</v>
      </c>
      <c r="BS4" s="249" t="s">
        <v>492</v>
      </c>
      <c r="BT4" s="249" t="s">
        <v>816</v>
      </c>
      <c r="BU4" s="567" t="s">
        <v>465</v>
      </c>
      <c r="BV4" s="249" t="s">
        <v>466</v>
      </c>
      <c r="BW4" s="249" t="s">
        <v>475</v>
      </c>
      <c r="BX4" s="249" t="s">
        <v>684</v>
      </c>
      <c r="BY4" s="249" t="s">
        <v>493</v>
      </c>
      <c r="BZ4" s="249" t="s">
        <v>685</v>
      </c>
      <c r="CA4" s="567" t="s">
        <v>491</v>
      </c>
      <c r="CB4" s="249" t="s">
        <v>223</v>
      </c>
      <c r="CC4" s="249" t="s">
        <v>47</v>
      </c>
      <c r="CD4" s="249" t="s">
        <v>494</v>
      </c>
      <c r="CE4" s="249"/>
      <c r="CG4" s="579" t="s">
        <v>681</v>
      </c>
      <c r="CH4" s="579" t="s">
        <v>682</v>
      </c>
    </row>
    <row r="5" spans="2:86" x14ac:dyDescent="0.2">
      <c r="E5" s="174">
        <v>0.1</v>
      </c>
      <c r="F5" s="221">
        <v>1.0000000000000001E-9</v>
      </c>
      <c r="G5" s="221"/>
      <c r="H5" s="221">
        <f t="shared" ref="H5:H36" si="0">F5*Vout</f>
        <v>1.55E-8</v>
      </c>
      <c r="I5" s="551">
        <f t="shared" ref="I5:I36" si="1">Vin</f>
        <v>12</v>
      </c>
      <c r="J5" s="176">
        <f t="shared" ref="J5:J36" si="2">(T5+Vfwd1)*Nps</f>
        <v>16.399999999999999</v>
      </c>
      <c r="K5" s="451">
        <f t="shared" ref="K5:K36" si="3">(Vout+Vfwd1)*Nps+I5</f>
        <v>28.4</v>
      </c>
      <c r="L5" s="451"/>
      <c r="M5" s="220">
        <f t="shared" ref="M5:M36" si="4">(Vout+Vfwd1)*Nps/((Vout+Vfwd1)*Nps+I5)</f>
        <v>0.57746478873239437</v>
      </c>
      <c r="N5" s="176">
        <f t="shared" ref="N5:N36" si="5">M5*I5*Isw_max*0.5*Efficiency</f>
        <v>12.78507042253521</v>
      </c>
      <c r="O5" s="176">
        <f>T5*F5</f>
        <v>1.55E-8</v>
      </c>
      <c r="P5" s="221">
        <f t="shared" ref="P5:P36" si="6">N5/Vout</f>
        <v>0.82484325306678774</v>
      </c>
      <c r="Q5" s="221">
        <f t="shared" ref="Q5:Q36" si="7">MIN(Vout,N5/F5)</f>
        <v>15.5</v>
      </c>
      <c r="R5" s="221">
        <f t="shared" ref="R5:R36" si="8">Isw_max/2*I5*Nps*(Q5+Vfwd1)/Q5/(I5+Nps*(Q5+Vfwd1))</f>
        <v>0.91649250340754196</v>
      </c>
      <c r="S5" s="176">
        <f t="shared" ref="S5:S36" si="9">(SQRT(Isw_max^2*Nps^2*I5^2+4*Isw_max*F5/Efficiency*(Nps^2*Vfwd1*I5-Nps*I5^2)+4*(F5/Efficiency)^2*Nps^2*Vfwd1^2+8*(F5/Efficiency)^2*Nps*Vfwd1*I5+4*(F5/Efficiency)^2*I5^2)-2*F5/Efficiency*I5-2*F5/Efficiency*Nps*Vfwd1+Isw_max*Nps*I5)/(4*F5/Efficiency*Nps)</f>
        <v>22139999988</v>
      </c>
      <c r="T5" s="176">
        <f t="shared" ref="T5:T36" si="10">MIN(Vout, S5)</f>
        <v>15.5</v>
      </c>
      <c r="U5" s="221">
        <f t="shared" ref="U5:U36" si="11">MIN(2*Vout*F5/(Efficiency*I5*M5), Isw_max)</f>
        <v>4.9706413730803972E-9</v>
      </c>
      <c r="V5" s="221">
        <f t="shared" ref="V5:V36" si="12">L*U5/I5*1000000</f>
        <v>3.7279810298102981E-9</v>
      </c>
      <c r="W5" s="221">
        <f t="shared" ref="W5:W36" si="13">L*U5/J5*1000000</f>
        <v>2.7277909974221698E-9</v>
      </c>
      <c r="X5" s="201">
        <f t="shared" ref="X5:X36" si="14">IF(1/((350000*L)*(1/I5+1/J5))&gt;Isw_min, 350, 0.001/((Isw_min*L)*(1/I5+1/J5)))</f>
        <v>350</v>
      </c>
      <c r="Y5" s="451">
        <f>MIN(1/(V5+W5)*1000, 350)</f>
        <v>350</v>
      </c>
      <c r="AA5" s="221">
        <f t="shared" ref="AA5:AA36" si="15">1/((X5*1000*L)*(1/I5+1/J5))</f>
        <v>2.1998658618376927</v>
      </c>
      <c r="AB5" s="177">
        <f t="shared" ref="AB5:AB36" si="16">L*AA5/J5*1000000</f>
        <v>1.2072434607645877</v>
      </c>
      <c r="AC5" s="177">
        <f t="shared" ref="AC5:AC36" si="17">0.5*AB5*AA5*Nps*X5/1000</f>
        <v>0.46476039334599145</v>
      </c>
      <c r="AD5" s="177"/>
      <c r="AE5" s="177">
        <f t="shared" ref="AE5:AE36" si="18">L*Isw_min/J5*1000000</f>
        <v>0.45</v>
      </c>
      <c r="AF5" s="555">
        <f t="shared" ref="AF5:AF36" si="19">MAX(12, F5/(0.5*AE5/1000000*Isw_min*Nps)/1000)</f>
        <v>12</v>
      </c>
      <c r="AG5" s="538">
        <f t="shared" ref="AG5:AG36" si="20">0.5*AE5/1000000*Isw_min*Nps*X5*1000</f>
        <v>6.4574999999999994E-2</v>
      </c>
      <c r="AI5" s="177">
        <f t="shared" ref="AI5:AI36" si="21">SQRT(F5/Efficiency/(0.5*L/J5*Fsw_DCM*Nps))</f>
        <v>1.0756237680061851E-4</v>
      </c>
      <c r="AJ5" s="177">
        <f t="shared" ref="AJ5:AJ36" si="22">MAX(IF(F5&gt;AC5,U5,AI5),Isw_min)</f>
        <v>0.82</v>
      </c>
      <c r="AK5" s="177">
        <f t="shared" ref="AK5:AK36" si="23">IF(F5&gt;AG5, (AJ5-Isw_min)/1.2*0.8+1.2, AF5*0.2/350+1)</f>
        <v>1.0068571428571429</v>
      </c>
      <c r="AM5" s="555">
        <f t="shared" ref="AM5:AM36" si="24">F5*1000</f>
        <v>1.0000000000000002E-6</v>
      </c>
      <c r="AN5" s="469">
        <f t="shared" ref="AN5:AN36" si="25">IF(F5&gt;AG5, Y5, AF5)</f>
        <v>12</v>
      </c>
      <c r="AP5">
        <f t="shared" ref="AP5:AP36" si="26">IF(H5&gt;N5, "",AM5)</f>
        <v>1.0000000000000002E-6</v>
      </c>
      <c r="AQ5" s="469">
        <f t="shared" ref="AQ5:AQ36" si="27">IF(H5&gt;N5, "",AN5)</f>
        <v>12</v>
      </c>
      <c r="AR5" s="469"/>
      <c r="AS5" s="5">
        <f>1/AN5*1000</f>
        <v>83.333333333333329</v>
      </c>
      <c r="AT5" s="5">
        <f t="shared" ref="AT5:AT36" si="28">L*AJ5/I5*1000000</f>
        <v>0.61499999999999988</v>
      </c>
      <c r="AU5" s="5">
        <f>AS5-AT5</f>
        <v>82.718333333333334</v>
      </c>
      <c r="AV5" s="5">
        <f t="shared" ref="AV5:AV36" si="29">L*AJ5/J5*1000000</f>
        <v>0.45</v>
      </c>
      <c r="AW5" s="177">
        <f>AT5/AS5</f>
        <v>7.3799999999999994E-3</v>
      </c>
      <c r="AX5" s="177">
        <f t="shared" ref="AX5:AX36" si="30">0.5*L*AJ5^2*AN5*1000</f>
        <v>3.6309599999999997E-2</v>
      </c>
      <c r="AY5" s="177">
        <f t="shared" ref="AY5:AY36" si="31">AJ5*Nps/2*(1-AW5)</f>
        <v>0.40697419999999995</v>
      </c>
      <c r="AZ5" s="177">
        <f>AX5/AY5</f>
        <v>8.9218432028369377E-2</v>
      </c>
      <c r="BA5" s="469">
        <f t="shared" ref="BA5:BA36" si="32">L*Isw_max^2/(2*Vout_ripple*Vout)*1000000000*((1+M5)/2)^2</f>
        <v>19.587372721622344</v>
      </c>
      <c r="BB5" s="469">
        <f t="shared" ref="BB5:BB36" si="33">L*F5^2/(2*Cout*Vout*Nps^2)*1000000000*((1+M5)/(1-M5))^2+F5*RCoutEsr</f>
        <v>2.0000001839296188E-9</v>
      </c>
      <c r="BC5" s="5">
        <f t="shared" ref="BC5:BC36" si="34">H5/Efficiency/I5*AU5/Vinripple1</f>
        <v>1.9786021090534976E-7</v>
      </c>
      <c r="BD5" s="469">
        <f t="shared" ref="BD5:BD36" si="35">((CB5/I5/Efficiency)*AU5/Cin+(CB5/I5/Efficiency)*RCinEsr)*1000</f>
        <v>1.1875918209876543E-5</v>
      </c>
      <c r="BE5" s="5"/>
      <c r="BF5" s="177">
        <f>AJ5*SQRT(AW5/3)</f>
        <v>4.0670677397850158E-2</v>
      </c>
      <c r="BG5" s="177">
        <f t="shared" ref="BG5:BG36" si="36">AJ5*Nps*SQRT((1-AW5)/3)</f>
        <v>0.47167703922634746</v>
      </c>
      <c r="BH5" s="177"/>
      <c r="BI5" s="538">
        <f t="shared" ref="BI5:BI36" si="37">Rdson*BF5^2</f>
        <v>1.8195143999999997E-4</v>
      </c>
      <c r="BJ5" s="538">
        <f t="shared" ref="BJ5:BJ36" si="38">0.5*K5*AJ5*AN5*1000*Trise</f>
        <v>1.3972799999999997E-3</v>
      </c>
      <c r="BK5" s="538">
        <f t="shared" ref="BK5:BK36" si="39">Qg*Vdd*AN5*1000</f>
        <v>5.9999999999999995E-4</v>
      </c>
      <c r="BL5" s="538">
        <f t="shared" ref="BL5:BL36" si="40">0.5*(Coss+Csw)*K5^2*AN5*1000</f>
        <v>2.1777119999999996E-3</v>
      </c>
      <c r="BM5">
        <f t="shared" ref="BM5:BM36" si="41">I5*IQ</f>
        <v>3.48E-3</v>
      </c>
      <c r="BN5">
        <f t="shared" ref="BN5:BN36" si="42">(I5-Vdd)*Qg*AN5</f>
        <v>8.4E-7</v>
      </c>
      <c r="BO5" s="538">
        <f t="shared" ref="BO5:BO36" si="43">(BJ5+BK5+BL5+BM5+BN5+BI5*(1+RdsonTC*(Ta-25)))/(1-BI5*RdsonTC*ThetaJA)</f>
        <v>7.8380465635419887E-3</v>
      </c>
      <c r="BP5" s="469">
        <f>BO5*1000</f>
        <v>7.8380465635419885</v>
      </c>
      <c r="BQ5" s="538">
        <f t="shared" ref="BQ5:BQ36" si="44">(Vfwd2*F5+BG5^2*Rdiode)*(1+Diode_TC/1000*(Ta-25))</f>
        <v>9.000000000000001E-10</v>
      </c>
      <c r="BR5" s="538"/>
      <c r="BT5" s="469">
        <f>SUM(BQ5:BS5)*1000</f>
        <v>9.0000000000000007E-7</v>
      </c>
      <c r="BU5" s="538">
        <f t="shared" ref="BU5:BU36" si="45">Rdcr_pri*BF5^2</f>
        <v>7.939699199999999E-5</v>
      </c>
      <c r="BV5" s="538">
        <f t="shared" ref="BV5:BV36" si="46">Rdcr_sec*BG5^2</f>
        <v>5.339501504E-2</v>
      </c>
      <c r="BW5" s="538">
        <f t="shared" ref="BW5:BW36" si="47">AJ5^2.5*AN5^2.5*k_core</f>
        <v>0</v>
      </c>
      <c r="BX5" s="538">
        <f t="shared" ref="BX5:BX36" si="48">(BW5+(BU5+BV5)*(1+Ltc*(Ta-25)))/(1-(BU5+BV5)*Ltc*ThetaCa)</f>
        <v>5.3704155884769025E-2</v>
      </c>
      <c r="BY5" s="538">
        <f t="shared" ref="BY5:BY36" si="49">0.5*Lleak*0.000000001*AJ5^2*AN5*1000</f>
        <v>4.0343999999999997E-4</v>
      </c>
      <c r="BZ5" s="469">
        <f>1000*(BX5+BY5)</f>
        <v>54.107595884769026</v>
      </c>
      <c r="CA5" s="177">
        <f>SUM(BO5,BQ5:BS5,BX5, BY5)</f>
        <v>6.1945643348311014E-2</v>
      </c>
      <c r="CB5" s="5">
        <f>MIN(H5,O5)</f>
        <v>1.55E-8</v>
      </c>
      <c r="CC5" s="177">
        <f>CB5/(CB5+CA5)</f>
        <v>2.5021930976560461E-7</v>
      </c>
      <c r="CD5" s="5">
        <f>CC5*100</f>
        <v>2.502193097656046E-5</v>
      </c>
      <c r="CG5" s="571">
        <f t="shared" ref="CG5:CG36" si="50">IF(ABS(F5-Ioutmax_Vinnom)&lt;Iout/200, AN5, -50)</f>
        <v>-50</v>
      </c>
      <c r="CH5">
        <f t="shared" ref="CH5:CH36" si="51">IF(ABS(F5-Ioutmax_Vinnom)&lt;Iout/200, N5*CC5, -50)</f>
        <v>-50</v>
      </c>
    </row>
    <row r="6" spans="2:86" x14ac:dyDescent="0.2">
      <c r="E6" s="174">
        <v>1</v>
      </c>
      <c r="F6" s="221">
        <f t="shared" ref="F6:F37" si="52">IF(PLOT_TYPE=1, E6/100*Iout_max, min_I*EXP(N6*rr/100))</f>
        <v>4.1999999999999997E-3</v>
      </c>
      <c r="G6" s="221"/>
      <c r="H6" s="221">
        <f t="shared" si="0"/>
        <v>6.5099999999999991E-2</v>
      </c>
      <c r="I6" s="551">
        <f t="shared" si="1"/>
        <v>12</v>
      </c>
      <c r="J6" s="176">
        <f t="shared" si="2"/>
        <v>16.399999999999999</v>
      </c>
      <c r="K6" s="451">
        <f t="shared" si="3"/>
        <v>28.4</v>
      </c>
      <c r="L6" s="451"/>
      <c r="M6" s="221">
        <f t="shared" si="4"/>
        <v>0.57746478873239437</v>
      </c>
      <c r="N6" s="176">
        <f t="shared" si="5"/>
        <v>12.78507042253521</v>
      </c>
      <c r="O6" s="176">
        <f t="shared" ref="O6:O69" si="53">T6*F6</f>
        <v>6.5099999999999991E-2</v>
      </c>
      <c r="P6" s="221">
        <f t="shared" si="6"/>
        <v>0.82484325306678774</v>
      </c>
      <c r="Q6" s="221">
        <f t="shared" si="7"/>
        <v>15.5</v>
      </c>
      <c r="R6" s="221">
        <f t="shared" si="8"/>
        <v>0.91649250340754196</v>
      </c>
      <c r="S6" s="176">
        <f t="shared" si="9"/>
        <v>5259.4306245314601</v>
      </c>
      <c r="T6" s="176">
        <f t="shared" si="10"/>
        <v>15.5</v>
      </c>
      <c r="U6" s="221">
        <f t="shared" si="11"/>
        <v>2.0876693766937664E-2</v>
      </c>
      <c r="V6" s="221">
        <f t="shared" si="12"/>
        <v>1.5657520325203247E-2</v>
      </c>
      <c r="W6" s="221">
        <f t="shared" si="13"/>
        <v>1.145672218917311E-2</v>
      </c>
      <c r="X6" s="201">
        <f t="shared" si="14"/>
        <v>350</v>
      </c>
      <c r="Y6" s="451">
        <f t="shared" ref="Y6:Y69" si="54">MIN(1/(V6+W6)*1000, 350)</f>
        <v>350</v>
      </c>
      <c r="AA6" s="221">
        <f t="shared" si="15"/>
        <v>2.1998658618376927</v>
      </c>
      <c r="AB6" s="177">
        <f t="shared" si="16"/>
        <v>1.2072434607645877</v>
      </c>
      <c r="AC6" s="177">
        <f t="shared" si="17"/>
        <v>0.46476039334599145</v>
      </c>
      <c r="AD6" s="177"/>
      <c r="AE6" s="177">
        <f t="shared" si="18"/>
        <v>0.45</v>
      </c>
      <c r="AF6" s="555">
        <f t="shared" si="19"/>
        <v>22.764227642276424</v>
      </c>
      <c r="AG6" s="538">
        <f t="shared" si="20"/>
        <v>6.4574999999999994E-2</v>
      </c>
      <c r="AI6" s="177">
        <f t="shared" si="21"/>
        <v>0.22043727586910652</v>
      </c>
      <c r="AJ6" s="177">
        <f t="shared" si="22"/>
        <v>0.82</v>
      </c>
      <c r="AK6" s="177">
        <f t="shared" si="23"/>
        <v>1.0130081300813008</v>
      </c>
      <c r="AM6" s="555">
        <f t="shared" si="24"/>
        <v>4.2</v>
      </c>
      <c r="AN6" s="469">
        <f t="shared" si="25"/>
        <v>22.764227642276424</v>
      </c>
      <c r="AP6">
        <f t="shared" si="26"/>
        <v>4.2</v>
      </c>
      <c r="AQ6" s="469">
        <f t="shared" si="27"/>
        <v>22.764227642276424</v>
      </c>
      <c r="AR6" s="469"/>
      <c r="AS6" s="5">
        <f t="shared" ref="AS6:AS69" si="55">1/AN6*1000</f>
        <v>43.928571428571431</v>
      </c>
      <c r="AT6" s="5">
        <f t="shared" si="28"/>
        <v>0.61499999999999988</v>
      </c>
      <c r="AU6" s="5">
        <f t="shared" ref="AU6:AU69" si="56">AS6-AT6</f>
        <v>43.313571428571429</v>
      </c>
      <c r="AV6" s="5">
        <f t="shared" si="29"/>
        <v>0.45</v>
      </c>
      <c r="AW6" s="177">
        <f t="shared" ref="AW6:AW69" si="57">AT6/AS6</f>
        <v>1.3999999999999997E-2</v>
      </c>
      <c r="AX6" s="177">
        <f t="shared" si="30"/>
        <v>6.8879999999999997E-2</v>
      </c>
      <c r="AY6" s="177">
        <f t="shared" si="31"/>
        <v>0.40425999999999995</v>
      </c>
      <c r="AZ6" s="177">
        <f t="shared" ref="AZ6:AZ69" si="58">AX6/AY6</f>
        <v>0.17038539553752538</v>
      </c>
      <c r="BA6" s="469">
        <f t="shared" si="32"/>
        <v>19.587372721622344</v>
      </c>
      <c r="BB6" s="469">
        <f t="shared" si="33"/>
        <v>1.1644518475073314E-2</v>
      </c>
      <c r="BC6" s="5">
        <f t="shared" si="34"/>
        <v>0.43514097222222209</v>
      </c>
      <c r="BD6" s="469">
        <f t="shared" si="35"/>
        <v>26.126541666666657</v>
      </c>
      <c r="BE6" s="5"/>
      <c r="BF6" s="177">
        <f t="shared" ref="BF6:BF69" si="59">AJ6*SQRT(AW6/3)</f>
        <v>5.6016664187245796E-2</v>
      </c>
      <c r="BG6" s="177">
        <f t="shared" si="36"/>
        <v>0.47010154931319531</v>
      </c>
      <c r="BH6" s="177"/>
      <c r="BI6" s="538">
        <f t="shared" si="37"/>
        <v>3.4516533333333325E-4</v>
      </c>
      <c r="BJ6" s="538">
        <f t="shared" si="38"/>
        <v>2.6506666666666671E-3</v>
      </c>
      <c r="BK6" s="538">
        <f t="shared" si="39"/>
        <v>1.1382113821138211E-3</v>
      </c>
      <c r="BL6" s="538">
        <f t="shared" si="40"/>
        <v>4.1311609756097562E-3</v>
      </c>
      <c r="BM6">
        <f t="shared" si="41"/>
        <v>3.48E-3</v>
      </c>
      <c r="BN6">
        <f t="shared" si="42"/>
        <v>1.5934959349593499E-6</v>
      </c>
      <c r="BO6" s="538">
        <f t="shared" si="43"/>
        <v>1.1747545972675704E-2</v>
      </c>
      <c r="BP6" s="469">
        <f t="shared" ref="BP6:BP69" si="60">BO6*1000</f>
        <v>11.747545972675704</v>
      </c>
      <c r="BQ6" s="538">
        <f t="shared" si="44"/>
        <v>3.7799999999999999E-3</v>
      </c>
      <c r="BR6" s="538"/>
      <c r="BT6" s="469">
        <f t="shared" ref="BT6:BT69" si="61">SUM(BQ6:BS6)*1000</f>
        <v>3.78</v>
      </c>
      <c r="BU6" s="538">
        <f t="shared" si="45"/>
        <v>1.5061759999999996E-4</v>
      </c>
      <c r="BV6" s="538">
        <f t="shared" si="46"/>
        <v>5.3038911999999987E-2</v>
      </c>
      <c r="BW6" s="538">
        <f t="shared" si="47"/>
        <v>0</v>
      </c>
      <c r="BX6" s="538">
        <f t="shared" si="48"/>
        <v>5.3416826871521661E-2</v>
      </c>
      <c r="BY6" s="538">
        <f t="shared" si="49"/>
        <v>7.6533333333333336E-4</v>
      </c>
      <c r="BZ6" s="469">
        <f t="shared" ref="BZ6:BZ69" si="62">1000*(BX6+BY6)</f>
        <v>54.182160204854995</v>
      </c>
      <c r="CA6" s="177">
        <f t="shared" ref="CA6:CA69" si="63">SUM(BO6,BQ6:BS6,BX6, BY6)</f>
        <v>6.9709706177530709E-2</v>
      </c>
      <c r="CB6" s="5">
        <f t="shared" ref="CB6:CB69" si="64">MIN(H6,O6)</f>
        <v>6.5099999999999991E-2</v>
      </c>
      <c r="CC6" s="177">
        <f t="shared" ref="CC6:CC69" si="65">CB6/(CB6+CA6)</f>
        <v>0.48290291438117894</v>
      </c>
      <c r="CD6" s="5">
        <f t="shared" ref="CD6:CD69" si="66">CC6*100</f>
        <v>48.29029143811789</v>
      </c>
      <c r="CG6" s="571">
        <f t="shared" si="50"/>
        <v>-50</v>
      </c>
      <c r="CH6">
        <f t="shared" si="51"/>
        <v>-50</v>
      </c>
    </row>
    <row r="7" spans="2:86" x14ac:dyDescent="0.2">
      <c r="E7" s="174">
        <v>2</v>
      </c>
      <c r="F7" s="221">
        <f t="shared" si="52"/>
        <v>8.3999999999999995E-3</v>
      </c>
      <c r="G7" s="221"/>
      <c r="H7" s="221">
        <f t="shared" si="0"/>
        <v>0.13019999999999998</v>
      </c>
      <c r="I7" s="551">
        <f t="shared" si="1"/>
        <v>12</v>
      </c>
      <c r="J7" s="176">
        <f t="shared" si="2"/>
        <v>16.399999999999999</v>
      </c>
      <c r="K7" s="451">
        <f t="shared" si="3"/>
        <v>28.4</v>
      </c>
      <c r="L7" s="451"/>
      <c r="M7" s="221">
        <f t="shared" si="4"/>
        <v>0.57746478873239437</v>
      </c>
      <c r="N7" s="176">
        <f t="shared" si="5"/>
        <v>12.78507042253521</v>
      </c>
      <c r="O7" s="176">
        <f t="shared" si="53"/>
        <v>0.13019999999999998</v>
      </c>
      <c r="P7" s="221">
        <f t="shared" si="6"/>
        <v>0.82484325306678774</v>
      </c>
      <c r="Q7" s="221">
        <f t="shared" si="7"/>
        <v>15.5</v>
      </c>
      <c r="R7" s="221">
        <f t="shared" si="8"/>
        <v>0.91649250340754196</v>
      </c>
      <c r="S7" s="176">
        <f t="shared" si="9"/>
        <v>2623.7184005981858</v>
      </c>
      <c r="T7" s="176">
        <f t="shared" si="10"/>
        <v>15.5</v>
      </c>
      <c r="U7" s="221">
        <f t="shared" si="11"/>
        <v>4.1753387533875329E-2</v>
      </c>
      <c r="V7" s="221">
        <f t="shared" si="12"/>
        <v>3.1315040650406495E-2</v>
      </c>
      <c r="W7" s="221">
        <f t="shared" si="13"/>
        <v>2.291344437834622E-2</v>
      </c>
      <c r="X7" s="201">
        <f t="shared" si="14"/>
        <v>350</v>
      </c>
      <c r="Y7" s="451">
        <f t="shared" si="54"/>
        <v>350</v>
      </c>
      <c r="AA7" s="221">
        <f t="shared" si="15"/>
        <v>2.1998658618376927</v>
      </c>
      <c r="AB7" s="177">
        <f t="shared" si="16"/>
        <v>1.2072434607645877</v>
      </c>
      <c r="AC7" s="177">
        <f t="shared" si="17"/>
        <v>0.46476039334599145</v>
      </c>
      <c r="AD7" s="177"/>
      <c r="AE7" s="177">
        <f t="shared" si="18"/>
        <v>0.45</v>
      </c>
      <c r="AF7" s="555">
        <f t="shared" si="19"/>
        <v>45.528455284552848</v>
      </c>
      <c r="AG7" s="538">
        <f t="shared" si="20"/>
        <v>6.4574999999999994E-2</v>
      </c>
      <c r="AI7" s="177">
        <f t="shared" si="21"/>
        <v>0.31174538518666983</v>
      </c>
      <c r="AJ7" s="177">
        <f t="shared" si="22"/>
        <v>0.82</v>
      </c>
      <c r="AK7" s="177">
        <f t="shared" si="23"/>
        <v>1.0260162601626017</v>
      </c>
      <c r="AM7" s="555">
        <f t="shared" si="24"/>
        <v>8.4</v>
      </c>
      <c r="AN7" s="469">
        <f t="shared" si="25"/>
        <v>45.528455284552848</v>
      </c>
      <c r="AP7">
        <f t="shared" si="26"/>
        <v>8.4</v>
      </c>
      <c r="AQ7" s="469">
        <f t="shared" si="27"/>
        <v>45.528455284552848</v>
      </c>
      <c r="AR7" s="469"/>
      <c r="AS7" s="5">
        <f t="shared" si="55"/>
        <v>21.964285714285715</v>
      </c>
      <c r="AT7" s="5">
        <f t="shared" si="28"/>
        <v>0.61499999999999988</v>
      </c>
      <c r="AU7" s="5">
        <f t="shared" si="56"/>
        <v>21.349285714285717</v>
      </c>
      <c r="AV7" s="5">
        <f t="shared" si="29"/>
        <v>0.45</v>
      </c>
      <c r="AW7" s="177">
        <f t="shared" si="57"/>
        <v>2.7999999999999994E-2</v>
      </c>
      <c r="AX7" s="177">
        <f t="shared" si="30"/>
        <v>0.13775999999999999</v>
      </c>
      <c r="AY7" s="177">
        <f t="shared" si="31"/>
        <v>0.39851999999999999</v>
      </c>
      <c r="AZ7" s="177">
        <f t="shared" si="58"/>
        <v>0.34567901234567899</v>
      </c>
      <c r="BA7" s="469">
        <f t="shared" si="32"/>
        <v>19.587372721622344</v>
      </c>
      <c r="BB7" s="469">
        <f t="shared" si="33"/>
        <v>2.9778073900293255E-2</v>
      </c>
      <c r="BC7" s="5">
        <f t="shared" si="34"/>
        <v>0.42896249999999991</v>
      </c>
      <c r="BD7" s="469">
        <f t="shared" si="35"/>
        <v>25.773916666666665</v>
      </c>
      <c r="BE7" s="5"/>
      <c r="BF7" s="177">
        <f t="shared" si="59"/>
        <v>7.921952621250225E-2</v>
      </c>
      <c r="BG7" s="177">
        <f t="shared" si="36"/>
        <v>0.46675218264085278</v>
      </c>
      <c r="BH7" s="177"/>
      <c r="BI7" s="538">
        <f t="shared" si="37"/>
        <v>6.9033066666666638E-4</v>
      </c>
      <c r="BJ7" s="538">
        <f t="shared" si="38"/>
        <v>5.3013333333333341E-3</v>
      </c>
      <c r="BK7" s="538">
        <f t="shared" si="39"/>
        <v>2.2764227642276423E-3</v>
      </c>
      <c r="BL7" s="538">
        <f t="shared" si="40"/>
        <v>8.2623219512195124E-3</v>
      </c>
      <c r="BM7">
        <f t="shared" si="41"/>
        <v>3.48E-3</v>
      </c>
      <c r="BN7">
        <f t="shared" si="42"/>
        <v>3.1869918699186998E-6</v>
      </c>
      <c r="BO7" s="538">
        <f t="shared" si="43"/>
        <v>2.0016145083811946E-2</v>
      </c>
      <c r="BP7" s="469">
        <f t="shared" si="60"/>
        <v>20.016145083811946</v>
      </c>
      <c r="BQ7" s="538">
        <f t="shared" si="44"/>
        <v>7.5599999999999999E-3</v>
      </c>
      <c r="BR7" s="538"/>
      <c r="BT7" s="469">
        <f t="shared" si="61"/>
        <v>7.56</v>
      </c>
      <c r="BU7" s="538">
        <f t="shared" si="45"/>
        <v>3.0123519999999986E-4</v>
      </c>
      <c r="BV7" s="538">
        <f t="shared" si="46"/>
        <v>5.2285823999999995E-2</v>
      </c>
      <c r="BW7" s="538">
        <f t="shared" si="47"/>
        <v>0</v>
      </c>
      <c r="BX7" s="538">
        <f t="shared" si="48"/>
        <v>5.2809225750467675E-2</v>
      </c>
      <c r="BY7" s="538">
        <f t="shared" si="49"/>
        <v>1.5306666666666667E-3</v>
      </c>
      <c r="BZ7" s="469">
        <f t="shared" si="62"/>
        <v>54.339892417134344</v>
      </c>
      <c r="CA7" s="177">
        <f t="shared" si="63"/>
        <v>8.1916037500946295E-2</v>
      </c>
      <c r="CB7" s="5">
        <f t="shared" si="64"/>
        <v>0.13019999999999998</v>
      </c>
      <c r="CC7" s="177">
        <f t="shared" si="65"/>
        <v>0.61381497379432781</v>
      </c>
      <c r="CD7" s="5">
        <f t="shared" si="66"/>
        <v>61.38149737943278</v>
      </c>
      <c r="CG7" s="571">
        <f t="shared" si="50"/>
        <v>-50</v>
      </c>
      <c r="CH7">
        <f t="shared" si="51"/>
        <v>-50</v>
      </c>
    </row>
    <row r="8" spans="2:86" x14ac:dyDescent="0.2">
      <c r="E8" s="174">
        <v>3</v>
      </c>
      <c r="F8" s="221">
        <f t="shared" si="52"/>
        <v>1.2599999999999998E-2</v>
      </c>
      <c r="G8" s="221"/>
      <c r="H8" s="221">
        <f t="shared" si="0"/>
        <v>0.19529999999999997</v>
      </c>
      <c r="I8" s="551">
        <f t="shared" si="1"/>
        <v>12</v>
      </c>
      <c r="J8" s="176">
        <f t="shared" si="2"/>
        <v>16.399999999999999</v>
      </c>
      <c r="K8" s="451">
        <f t="shared" si="3"/>
        <v>28.4</v>
      </c>
      <c r="L8" s="451"/>
      <c r="M8" s="221">
        <f t="shared" si="4"/>
        <v>0.57746478873239437</v>
      </c>
      <c r="N8" s="176">
        <f t="shared" si="5"/>
        <v>12.78507042253521</v>
      </c>
      <c r="O8" s="176">
        <f t="shared" si="53"/>
        <v>0.19529999999999997</v>
      </c>
      <c r="P8" s="221">
        <f t="shared" si="6"/>
        <v>0.82484325306678774</v>
      </c>
      <c r="Q8" s="221">
        <f t="shared" si="7"/>
        <v>15.5</v>
      </c>
      <c r="R8" s="221">
        <f t="shared" si="8"/>
        <v>0.91649250340754196</v>
      </c>
      <c r="S8" s="176">
        <f t="shared" si="9"/>
        <v>1745.1490425361294</v>
      </c>
      <c r="T8" s="176">
        <f t="shared" si="10"/>
        <v>15.5</v>
      </c>
      <c r="U8" s="221">
        <f t="shared" si="11"/>
        <v>6.263008130081299E-2</v>
      </c>
      <c r="V8" s="221">
        <f t="shared" si="12"/>
        <v>4.6972560975609742E-2</v>
      </c>
      <c r="W8" s="221">
        <f t="shared" si="13"/>
        <v>3.4370166567519324E-2</v>
      </c>
      <c r="X8" s="201">
        <f t="shared" si="14"/>
        <v>350</v>
      </c>
      <c r="Y8" s="451">
        <f t="shared" si="54"/>
        <v>350</v>
      </c>
      <c r="AA8" s="221">
        <f t="shared" si="15"/>
        <v>2.1998658618376927</v>
      </c>
      <c r="AB8" s="177">
        <f t="shared" si="16"/>
        <v>1.2072434607645877</v>
      </c>
      <c r="AC8" s="177">
        <f t="shared" si="17"/>
        <v>0.46476039334599145</v>
      </c>
      <c r="AD8" s="177"/>
      <c r="AE8" s="177">
        <f t="shared" si="18"/>
        <v>0.45</v>
      </c>
      <c r="AF8" s="555">
        <f t="shared" si="19"/>
        <v>68.292682926829258</v>
      </c>
      <c r="AG8" s="538">
        <f t="shared" si="20"/>
        <v>6.4574999999999994E-2</v>
      </c>
      <c r="AI8" s="177">
        <f t="shared" si="21"/>
        <v>0.38180856168736937</v>
      </c>
      <c r="AJ8" s="177">
        <f t="shared" si="22"/>
        <v>0.82</v>
      </c>
      <c r="AK8" s="177">
        <f t="shared" si="23"/>
        <v>1.0390243902439025</v>
      </c>
      <c r="AM8" s="555">
        <f t="shared" si="24"/>
        <v>12.599999999999998</v>
      </c>
      <c r="AN8" s="469">
        <f t="shared" si="25"/>
        <v>68.292682926829258</v>
      </c>
      <c r="AP8">
        <f t="shared" si="26"/>
        <v>12.599999999999998</v>
      </c>
      <c r="AQ8" s="469">
        <f t="shared" si="27"/>
        <v>68.292682926829258</v>
      </c>
      <c r="AR8" s="469"/>
      <c r="AS8" s="5">
        <f t="shared" si="55"/>
        <v>14.642857142857144</v>
      </c>
      <c r="AT8" s="5">
        <f t="shared" si="28"/>
        <v>0.61499999999999988</v>
      </c>
      <c r="AU8" s="5">
        <f t="shared" si="56"/>
        <v>14.027857142857144</v>
      </c>
      <c r="AV8" s="5">
        <f t="shared" si="29"/>
        <v>0.45</v>
      </c>
      <c r="AW8" s="177">
        <f t="shared" si="57"/>
        <v>4.1999999999999989E-2</v>
      </c>
      <c r="AX8" s="177">
        <f t="shared" si="30"/>
        <v>0.20663999999999993</v>
      </c>
      <c r="AY8" s="177">
        <f t="shared" si="31"/>
        <v>0.39277999999999996</v>
      </c>
      <c r="AZ8" s="177">
        <f t="shared" si="58"/>
        <v>0.52609603340292266</v>
      </c>
      <c r="BA8" s="469">
        <f t="shared" si="32"/>
        <v>19.587372721622344</v>
      </c>
      <c r="BB8" s="469">
        <f t="shared" si="33"/>
        <v>5.4400666275659815E-2</v>
      </c>
      <c r="BC8" s="5">
        <f t="shared" si="34"/>
        <v>0.42278402777777763</v>
      </c>
      <c r="BD8" s="469">
        <f t="shared" si="35"/>
        <v>25.421291666666662</v>
      </c>
      <c r="BE8" s="5"/>
      <c r="BF8" s="177">
        <f t="shared" si="59"/>
        <v>9.7023708442833687E-2</v>
      </c>
      <c r="BG8" s="177">
        <f t="shared" si="36"/>
        <v>0.46337860690080768</v>
      </c>
      <c r="BH8" s="177"/>
      <c r="BI8" s="538">
        <f t="shared" si="37"/>
        <v>1.0354959999999995E-3</v>
      </c>
      <c r="BJ8" s="538">
        <f t="shared" si="38"/>
        <v>7.9519999999999973E-3</v>
      </c>
      <c r="BK8" s="538">
        <f t="shared" si="39"/>
        <v>3.4146341463414625E-3</v>
      </c>
      <c r="BL8" s="538">
        <f t="shared" si="40"/>
        <v>1.2393482926829265E-2</v>
      </c>
      <c r="BM8">
        <f t="shared" si="41"/>
        <v>3.48E-3</v>
      </c>
      <c r="BN8">
        <f t="shared" si="42"/>
        <v>4.7804878048780484E-6</v>
      </c>
      <c r="BO8" s="538">
        <f t="shared" si="43"/>
        <v>2.828579753464823E-2</v>
      </c>
      <c r="BP8" s="469">
        <f t="shared" si="60"/>
        <v>28.285797534648228</v>
      </c>
      <c r="BQ8" s="538">
        <f t="shared" si="44"/>
        <v>1.1339999999999999E-2</v>
      </c>
      <c r="BR8" s="538"/>
      <c r="BT8" s="469">
        <f t="shared" si="61"/>
        <v>11.34</v>
      </c>
      <c r="BU8" s="538">
        <f t="shared" si="45"/>
        <v>4.5185279999999982E-4</v>
      </c>
      <c r="BV8" s="538">
        <f t="shared" si="46"/>
        <v>5.1532735999999975E-2</v>
      </c>
      <c r="BW8" s="538">
        <f t="shared" si="47"/>
        <v>0</v>
      </c>
      <c r="BX8" s="538">
        <f t="shared" si="48"/>
        <v>5.22016834438798E-2</v>
      </c>
      <c r="BY8" s="538">
        <f t="shared" si="49"/>
        <v>2.2959999999999999E-3</v>
      </c>
      <c r="BZ8" s="469">
        <f t="shared" si="62"/>
        <v>54.497683443879801</v>
      </c>
      <c r="CA8" s="177">
        <f t="shared" si="63"/>
        <v>9.4123480978528032E-2</v>
      </c>
      <c r="CB8" s="5">
        <f t="shared" si="64"/>
        <v>0.19529999999999997</v>
      </c>
      <c r="CC8" s="177">
        <f t="shared" si="65"/>
        <v>0.67478975561934129</v>
      </c>
      <c r="CD8" s="5">
        <f t="shared" si="66"/>
        <v>67.478975561934135</v>
      </c>
      <c r="CG8" s="571">
        <f t="shared" si="50"/>
        <v>-50</v>
      </c>
      <c r="CH8">
        <f t="shared" si="51"/>
        <v>-50</v>
      </c>
    </row>
    <row r="9" spans="2:86" x14ac:dyDescent="0.2">
      <c r="E9" s="174">
        <v>4</v>
      </c>
      <c r="F9" s="221">
        <f t="shared" si="52"/>
        <v>1.6799999999999999E-2</v>
      </c>
      <c r="G9" s="221"/>
      <c r="H9" s="221">
        <f t="shared" si="0"/>
        <v>0.26039999999999996</v>
      </c>
      <c r="I9" s="551">
        <f t="shared" si="1"/>
        <v>12</v>
      </c>
      <c r="J9" s="176">
        <f t="shared" si="2"/>
        <v>16.399999999999999</v>
      </c>
      <c r="K9" s="451">
        <f t="shared" si="3"/>
        <v>28.4</v>
      </c>
      <c r="L9" s="451"/>
      <c r="M9" s="221">
        <f t="shared" si="4"/>
        <v>0.57746478873239437</v>
      </c>
      <c r="N9" s="176">
        <f t="shared" si="5"/>
        <v>12.78507042253521</v>
      </c>
      <c r="O9" s="176">
        <f t="shared" si="53"/>
        <v>0.26039999999999996</v>
      </c>
      <c r="P9" s="221">
        <f t="shared" si="6"/>
        <v>0.82484325306678774</v>
      </c>
      <c r="Q9" s="221">
        <f t="shared" si="7"/>
        <v>15.5</v>
      </c>
      <c r="R9" s="221">
        <f t="shared" si="8"/>
        <v>0.91649250340754196</v>
      </c>
      <c r="S9" s="176">
        <f t="shared" si="9"/>
        <v>1305.865407538728</v>
      </c>
      <c r="T9" s="176">
        <f t="shared" si="10"/>
        <v>15.5</v>
      </c>
      <c r="U9" s="221">
        <f t="shared" si="11"/>
        <v>8.3506775067750658E-2</v>
      </c>
      <c r="V9" s="221">
        <f t="shared" si="12"/>
        <v>6.263008130081299E-2</v>
      </c>
      <c r="W9" s="221">
        <f t="shared" si="13"/>
        <v>4.5826888756692441E-2</v>
      </c>
      <c r="X9" s="201">
        <f t="shared" si="14"/>
        <v>350</v>
      </c>
      <c r="Y9" s="451">
        <f t="shared" si="54"/>
        <v>350</v>
      </c>
      <c r="AA9" s="221">
        <f t="shared" si="15"/>
        <v>2.1998658618376927</v>
      </c>
      <c r="AB9" s="177">
        <f t="shared" si="16"/>
        <v>1.2072434607645877</v>
      </c>
      <c r="AC9" s="177">
        <f t="shared" si="17"/>
        <v>0.46476039334599145</v>
      </c>
      <c r="AD9" s="177"/>
      <c r="AE9" s="177">
        <f t="shared" si="18"/>
        <v>0.45</v>
      </c>
      <c r="AF9" s="555">
        <f t="shared" si="19"/>
        <v>91.056910569105696</v>
      </c>
      <c r="AG9" s="538">
        <f t="shared" si="20"/>
        <v>6.4574999999999994E-2</v>
      </c>
      <c r="AI9" s="177">
        <f t="shared" si="21"/>
        <v>0.44087455173821305</v>
      </c>
      <c r="AJ9" s="177">
        <f t="shared" si="22"/>
        <v>0.82</v>
      </c>
      <c r="AK9" s="177">
        <f t="shared" si="23"/>
        <v>1.0520325203252032</v>
      </c>
      <c r="AM9" s="555">
        <f t="shared" si="24"/>
        <v>16.8</v>
      </c>
      <c r="AN9" s="469">
        <f t="shared" si="25"/>
        <v>91.056910569105696</v>
      </c>
      <c r="AP9">
        <f t="shared" si="26"/>
        <v>16.8</v>
      </c>
      <c r="AQ9" s="469">
        <f t="shared" si="27"/>
        <v>91.056910569105696</v>
      </c>
      <c r="AR9" s="469"/>
      <c r="AS9" s="5">
        <f t="shared" si="55"/>
        <v>10.982142857142858</v>
      </c>
      <c r="AT9" s="5">
        <f t="shared" si="28"/>
        <v>0.61499999999999988</v>
      </c>
      <c r="AU9" s="5">
        <f t="shared" si="56"/>
        <v>10.367142857142857</v>
      </c>
      <c r="AV9" s="5">
        <f t="shared" si="29"/>
        <v>0.45</v>
      </c>
      <c r="AW9" s="177">
        <f t="shared" si="57"/>
        <v>5.5999999999999987E-2</v>
      </c>
      <c r="AX9" s="177">
        <f t="shared" si="30"/>
        <v>0.27551999999999999</v>
      </c>
      <c r="AY9" s="177">
        <f t="shared" si="31"/>
        <v>0.38704</v>
      </c>
      <c r="AZ9" s="177">
        <f t="shared" si="58"/>
        <v>0.71186440677966101</v>
      </c>
      <c r="BA9" s="469">
        <f t="shared" si="32"/>
        <v>19.587372721622344</v>
      </c>
      <c r="BB9" s="469">
        <f t="shared" si="33"/>
        <v>8.5512295601173016E-2</v>
      </c>
      <c r="BC9" s="5">
        <f t="shared" si="34"/>
        <v>0.41660555555555545</v>
      </c>
      <c r="BD9" s="469">
        <f t="shared" si="35"/>
        <v>25.068666666666665</v>
      </c>
      <c r="BE9" s="5"/>
      <c r="BF9" s="177">
        <f t="shared" si="59"/>
        <v>0.11203332837449159</v>
      </c>
      <c r="BG9" s="177">
        <f t="shared" si="36"/>
        <v>0.45998028943278285</v>
      </c>
      <c r="BH9" s="177"/>
      <c r="BI9" s="538">
        <f t="shared" si="37"/>
        <v>1.380661333333333E-3</v>
      </c>
      <c r="BJ9" s="538">
        <f t="shared" si="38"/>
        <v>1.0602666666666668E-2</v>
      </c>
      <c r="BK9" s="538">
        <f t="shared" si="39"/>
        <v>4.5528455284552845E-3</v>
      </c>
      <c r="BL9" s="538">
        <f t="shared" si="40"/>
        <v>1.6524643902439025E-2</v>
      </c>
      <c r="BM9">
        <f t="shared" si="41"/>
        <v>3.48E-3</v>
      </c>
      <c r="BN9">
        <f t="shared" si="42"/>
        <v>6.3739837398373995E-6</v>
      </c>
      <c r="BO9" s="538">
        <f t="shared" si="43"/>
        <v>3.6556503526475347E-2</v>
      </c>
      <c r="BP9" s="469">
        <f t="shared" si="60"/>
        <v>36.556503526475346</v>
      </c>
      <c r="BQ9" s="538">
        <f t="shared" si="44"/>
        <v>1.512E-2</v>
      </c>
      <c r="BR9" s="538"/>
      <c r="BT9" s="469">
        <f t="shared" si="61"/>
        <v>15.12</v>
      </c>
      <c r="BU9" s="538">
        <f t="shared" si="45"/>
        <v>6.0247039999999983E-4</v>
      </c>
      <c r="BV9" s="538">
        <f t="shared" si="46"/>
        <v>5.0779647999999997E-2</v>
      </c>
      <c r="BW9" s="538">
        <f t="shared" si="47"/>
        <v>0</v>
      </c>
      <c r="BX9" s="538">
        <f t="shared" si="48"/>
        <v>5.1594199943218851E-2</v>
      </c>
      <c r="BY9" s="538">
        <f t="shared" si="49"/>
        <v>3.0613333333333334E-3</v>
      </c>
      <c r="BZ9" s="469">
        <f t="shared" si="62"/>
        <v>54.655533276552184</v>
      </c>
      <c r="CA9" s="177">
        <f t="shared" si="63"/>
        <v>0.10633203680302752</v>
      </c>
      <c r="CB9" s="5">
        <f t="shared" si="64"/>
        <v>0.26039999999999996</v>
      </c>
      <c r="CC9" s="177">
        <f t="shared" si="65"/>
        <v>0.71005522798069953</v>
      </c>
      <c r="CD9" s="5">
        <f t="shared" si="66"/>
        <v>71.005522798069947</v>
      </c>
      <c r="CG9" s="571">
        <f t="shared" si="50"/>
        <v>-50</v>
      </c>
      <c r="CH9">
        <f t="shared" si="51"/>
        <v>-50</v>
      </c>
    </row>
    <row r="10" spans="2:86" x14ac:dyDescent="0.2">
      <c r="E10" s="174">
        <v>5</v>
      </c>
      <c r="F10" s="221">
        <f t="shared" si="52"/>
        <v>2.1000000000000001E-2</v>
      </c>
      <c r="G10" s="221"/>
      <c r="H10" s="221">
        <f t="shared" si="0"/>
        <v>0.32550000000000001</v>
      </c>
      <c r="I10" s="551">
        <f t="shared" si="1"/>
        <v>12</v>
      </c>
      <c r="J10" s="176">
        <f t="shared" si="2"/>
        <v>16.399999999999999</v>
      </c>
      <c r="K10" s="451">
        <f t="shared" si="3"/>
        <v>28.4</v>
      </c>
      <c r="L10" s="451"/>
      <c r="M10" s="221">
        <f t="shared" si="4"/>
        <v>0.57746478873239437</v>
      </c>
      <c r="N10" s="176">
        <f t="shared" si="5"/>
        <v>12.78507042253521</v>
      </c>
      <c r="O10" s="176">
        <f t="shared" si="53"/>
        <v>0.32550000000000001</v>
      </c>
      <c r="P10" s="221">
        <f t="shared" si="6"/>
        <v>0.82484325306678774</v>
      </c>
      <c r="Q10" s="221">
        <f t="shared" si="7"/>
        <v>15.5</v>
      </c>
      <c r="R10" s="221">
        <f t="shared" si="8"/>
        <v>0.91649250340754196</v>
      </c>
      <c r="S10" s="176">
        <f t="shared" si="9"/>
        <v>1042.2960670854809</v>
      </c>
      <c r="T10" s="176">
        <f t="shared" si="10"/>
        <v>15.5</v>
      </c>
      <c r="U10" s="221">
        <f t="shared" si="11"/>
        <v>0.10438346883468834</v>
      </c>
      <c r="V10" s="221">
        <f t="shared" si="12"/>
        <v>7.8287601626016251E-2</v>
      </c>
      <c r="W10" s="221">
        <f t="shared" si="13"/>
        <v>5.7283610945865558E-2</v>
      </c>
      <c r="X10" s="201">
        <f t="shared" si="14"/>
        <v>350</v>
      </c>
      <c r="Y10" s="451">
        <f t="shared" si="54"/>
        <v>350</v>
      </c>
      <c r="AA10" s="221">
        <f t="shared" si="15"/>
        <v>2.1998658618376927</v>
      </c>
      <c r="AB10" s="177">
        <f t="shared" si="16"/>
        <v>1.2072434607645877</v>
      </c>
      <c r="AC10" s="177">
        <f t="shared" si="17"/>
        <v>0.46476039334599145</v>
      </c>
      <c r="AD10" s="177"/>
      <c r="AE10" s="177">
        <f t="shared" si="18"/>
        <v>0.45</v>
      </c>
      <c r="AF10" s="555">
        <f t="shared" si="19"/>
        <v>113.82113821138213</v>
      </c>
      <c r="AG10" s="538">
        <f t="shared" si="20"/>
        <v>6.4574999999999994E-2</v>
      </c>
      <c r="AI10" s="177">
        <f t="shared" si="21"/>
        <v>0.49291273361819626</v>
      </c>
      <c r="AJ10" s="177">
        <f t="shared" si="22"/>
        <v>0.82</v>
      </c>
      <c r="AK10" s="177">
        <f t="shared" si="23"/>
        <v>1.065040650406504</v>
      </c>
      <c r="AM10" s="555">
        <f t="shared" si="24"/>
        <v>21</v>
      </c>
      <c r="AN10" s="469">
        <f t="shared" si="25"/>
        <v>113.82113821138213</v>
      </c>
      <c r="AP10">
        <f t="shared" si="26"/>
        <v>21</v>
      </c>
      <c r="AQ10" s="469">
        <f t="shared" si="27"/>
        <v>113.82113821138213</v>
      </c>
      <c r="AR10" s="469"/>
      <c r="AS10" s="5">
        <f t="shared" si="55"/>
        <v>8.7857142857142847</v>
      </c>
      <c r="AT10" s="5">
        <f t="shared" si="28"/>
        <v>0.61499999999999988</v>
      </c>
      <c r="AU10" s="5">
        <f t="shared" si="56"/>
        <v>8.1707142857142845</v>
      </c>
      <c r="AV10" s="5">
        <f t="shared" si="29"/>
        <v>0.45</v>
      </c>
      <c r="AW10" s="177">
        <f t="shared" si="57"/>
        <v>6.9999999999999993E-2</v>
      </c>
      <c r="AX10" s="177">
        <f t="shared" si="30"/>
        <v>0.34440000000000004</v>
      </c>
      <c r="AY10" s="177">
        <f t="shared" si="31"/>
        <v>0.38129999999999997</v>
      </c>
      <c r="AZ10" s="177">
        <f t="shared" si="58"/>
        <v>0.9032258064516131</v>
      </c>
      <c r="BA10" s="469">
        <f t="shared" si="32"/>
        <v>19.587372721622344</v>
      </c>
      <c r="BB10" s="469">
        <f t="shared" si="33"/>
        <v>0.12311296187683288</v>
      </c>
      <c r="BC10" s="5">
        <f t="shared" si="34"/>
        <v>0.41042708333333322</v>
      </c>
      <c r="BD10" s="469">
        <f t="shared" si="35"/>
        <v>24.716041666666662</v>
      </c>
      <c r="BE10" s="5"/>
      <c r="BF10" s="177">
        <f t="shared" si="59"/>
        <v>0.12525706899545963</v>
      </c>
      <c r="BG10" s="177">
        <f t="shared" si="36"/>
        <v>0.45655667775206177</v>
      </c>
      <c r="BH10" s="177"/>
      <c r="BI10" s="538">
        <f t="shared" si="37"/>
        <v>1.7258266666666667E-3</v>
      </c>
      <c r="BJ10" s="538">
        <f t="shared" si="38"/>
        <v>1.3253333333333336E-2</v>
      </c>
      <c r="BK10" s="538">
        <f t="shared" si="39"/>
        <v>5.6910569105691061E-3</v>
      </c>
      <c r="BL10" s="538">
        <f t="shared" si="40"/>
        <v>2.0655804878048779E-2</v>
      </c>
      <c r="BM10">
        <f t="shared" si="41"/>
        <v>3.48E-3</v>
      </c>
      <c r="BN10">
        <f t="shared" si="42"/>
        <v>7.9674796747967498E-6</v>
      </c>
      <c r="BO10" s="538">
        <f t="shared" si="43"/>
        <v>4.4828263260635375E-2</v>
      </c>
      <c r="BP10" s="469">
        <f t="shared" si="60"/>
        <v>44.828263260635374</v>
      </c>
      <c r="BQ10" s="538">
        <f t="shared" si="44"/>
        <v>1.89E-2</v>
      </c>
      <c r="BR10" s="538"/>
      <c r="BT10" s="469">
        <f t="shared" si="61"/>
        <v>18.899999999999999</v>
      </c>
      <c r="BU10" s="538">
        <f t="shared" si="45"/>
        <v>7.5308799999999996E-4</v>
      </c>
      <c r="BV10" s="538">
        <f t="shared" si="46"/>
        <v>5.0026559999999991E-2</v>
      </c>
      <c r="BW10" s="538">
        <f t="shared" si="47"/>
        <v>0</v>
      </c>
      <c r="BX10" s="538">
        <f t="shared" si="48"/>
        <v>5.0986775239947164E-2</v>
      </c>
      <c r="BY10" s="538">
        <f t="shared" si="49"/>
        <v>3.8266666666666675E-3</v>
      </c>
      <c r="BZ10" s="469">
        <f t="shared" si="62"/>
        <v>54.813441906613832</v>
      </c>
      <c r="CA10" s="177">
        <f t="shared" si="63"/>
        <v>0.11854170516724921</v>
      </c>
      <c r="CB10" s="5">
        <f t="shared" si="64"/>
        <v>0.32550000000000001</v>
      </c>
      <c r="CC10" s="177">
        <f t="shared" si="65"/>
        <v>0.7330392533228377</v>
      </c>
      <c r="CD10" s="5">
        <f t="shared" si="66"/>
        <v>73.303925332283768</v>
      </c>
      <c r="CG10" s="571">
        <f t="shared" si="50"/>
        <v>-50</v>
      </c>
      <c r="CH10">
        <f t="shared" si="51"/>
        <v>-50</v>
      </c>
    </row>
    <row r="11" spans="2:86" x14ac:dyDescent="0.2">
      <c r="E11" s="174">
        <v>6</v>
      </c>
      <c r="F11" s="221">
        <f t="shared" si="52"/>
        <v>2.5199999999999997E-2</v>
      </c>
      <c r="G11" s="221"/>
      <c r="H11" s="221">
        <f t="shared" si="0"/>
        <v>0.39059999999999995</v>
      </c>
      <c r="I11" s="551">
        <f t="shared" si="1"/>
        <v>12</v>
      </c>
      <c r="J11" s="176">
        <f t="shared" si="2"/>
        <v>16.399999999999999</v>
      </c>
      <c r="K11" s="451">
        <f t="shared" si="3"/>
        <v>28.4</v>
      </c>
      <c r="L11" s="451"/>
      <c r="M11" s="221">
        <f t="shared" si="4"/>
        <v>0.57746478873239437</v>
      </c>
      <c r="N11" s="176">
        <f t="shared" si="5"/>
        <v>12.78507042253521</v>
      </c>
      <c r="O11" s="176">
        <f t="shared" si="53"/>
        <v>0.39059999999999995</v>
      </c>
      <c r="P11" s="221">
        <f t="shared" si="6"/>
        <v>0.82484325306678774</v>
      </c>
      <c r="Q11" s="221">
        <f t="shared" si="7"/>
        <v>15.5</v>
      </c>
      <c r="R11" s="221">
        <f t="shared" si="8"/>
        <v>0.91649250340754196</v>
      </c>
      <c r="S11" s="176">
        <f t="shared" si="9"/>
        <v>866.58387837051907</v>
      </c>
      <c r="T11" s="176">
        <f t="shared" si="10"/>
        <v>15.5</v>
      </c>
      <c r="U11" s="221">
        <f t="shared" si="11"/>
        <v>0.12526016260162598</v>
      </c>
      <c r="V11" s="221">
        <f t="shared" si="12"/>
        <v>9.3945121951219485E-2</v>
      </c>
      <c r="W11" s="221">
        <f t="shared" si="13"/>
        <v>6.8740333135038648E-2</v>
      </c>
      <c r="X11" s="201">
        <f t="shared" si="14"/>
        <v>350</v>
      </c>
      <c r="Y11" s="451">
        <f t="shared" si="54"/>
        <v>350</v>
      </c>
      <c r="AA11" s="221">
        <f t="shared" si="15"/>
        <v>2.1998658618376927</v>
      </c>
      <c r="AB11" s="177">
        <f t="shared" si="16"/>
        <v>1.2072434607645877</v>
      </c>
      <c r="AC11" s="177">
        <f t="shared" si="17"/>
        <v>0.46476039334599145</v>
      </c>
      <c r="AD11" s="177"/>
      <c r="AE11" s="177">
        <f t="shared" si="18"/>
        <v>0.45</v>
      </c>
      <c r="AF11" s="555">
        <f t="shared" si="19"/>
        <v>136.58536585365852</v>
      </c>
      <c r="AG11" s="538">
        <f t="shared" si="20"/>
        <v>6.4574999999999994E-2</v>
      </c>
      <c r="AI11" s="177">
        <f t="shared" si="21"/>
        <v>0.53995884616844225</v>
      </c>
      <c r="AJ11" s="177">
        <f t="shared" si="22"/>
        <v>0.82</v>
      </c>
      <c r="AK11" s="177">
        <f t="shared" si="23"/>
        <v>1.0780487804878049</v>
      </c>
      <c r="AM11" s="555">
        <f t="shared" si="24"/>
        <v>25.199999999999996</v>
      </c>
      <c r="AN11" s="469">
        <f t="shared" si="25"/>
        <v>136.58536585365852</v>
      </c>
      <c r="AP11">
        <f t="shared" si="26"/>
        <v>25.199999999999996</v>
      </c>
      <c r="AQ11" s="469">
        <f t="shared" si="27"/>
        <v>136.58536585365852</v>
      </c>
      <c r="AR11" s="469"/>
      <c r="AS11" s="5">
        <f t="shared" si="55"/>
        <v>7.3214285714285721</v>
      </c>
      <c r="AT11" s="5">
        <f t="shared" si="28"/>
        <v>0.61499999999999988</v>
      </c>
      <c r="AU11" s="5">
        <f t="shared" si="56"/>
        <v>6.7064285714285718</v>
      </c>
      <c r="AV11" s="5">
        <f t="shared" si="29"/>
        <v>0.45</v>
      </c>
      <c r="AW11" s="177">
        <f t="shared" si="57"/>
        <v>8.3999999999999977E-2</v>
      </c>
      <c r="AX11" s="177">
        <f t="shared" si="30"/>
        <v>0.41327999999999987</v>
      </c>
      <c r="AY11" s="177">
        <f t="shared" si="31"/>
        <v>0.37556</v>
      </c>
      <c r="AZ11" s="177">
        <f t="shared" si="58"/>
        <v>1.1004366812227071</v>
      </c>
      <c r="BA11" s="469">
        <f t="shared" si="32"/>
        <v>19.587372721622344</v>
      </c>
      <c r="BB11" s="469">
        <f t="shared" si="33"/>
        <v>0.16720266510263929</v>
      </c>
      <c r="BC11" s="5">
        <f t="shared" si="34"/>
        <v>0.40424861111111099</v>
      </c>
      <c r="BD11" s="469">
        <f t="shared" si="35"/>
        <v>24.363416666666662</v>
      </c>
      <c r="BE11" s="5"/>
      <c r="BF11" s="177">
        <f t="shared" si="59"/>
        <v>0.13721224435158835</v>
      </c>
      <c r="BG11" s="177">
        <f t="shared" si="36"/>
        <v>0.45310719850089926</v>
      </c>
      <c r="BH11" s="177"/>
      <c r="BI11" s="538">
        <f t="shared" si="37"/>
        <v>2.0709919999999989E-3</v>
      </c>
      <c r="BJ11" s="538">
        <f t="shared" si="38"/>
        <v>1.5903999999999995E-2</v>
      </c>
      <c r="BK11" s="538">
        <f t="shared" si="39"/>
        <v>6.8292682926829251E-3</v>
      </c>
      <c r="BL11" s="538">
        <f t="shared" si="40"/>
        <v>2.478696585365853E-2</v>
      </c>
      <c r="BM11">
        <f t="shared" si="41"/>
        <v>3.48E-3</v>
      </c>
      <c r="BN11">
        <f t="shared" si="42"/>
        <v>9.5609756097560967E-6</v>
      </c>
      <c r="BO11" s="538">
        <f t="shared" si="43"/>
        <v>5.3101076938521688E-2</v>
      </c>
      <c r="BP11" s="469">
        <f t="shared" si="60"/>
        <v>53.101076938521686</v>
      </c>
      <c r="BQ11" s="538">
        <f t="shared" si="44"/>
        <v>2.2679999999999999E-2</v>
      </c>
      <c r="BR11" s="538"/>
      <c r="BT11" s="469">
        <f t="shared" si="61"/>
        <v>22.68</v>
      </c>
      <c r="BU11" s="538">
        <f t="shared" si="45"/>
        <v>9.0370559999999943E-4</v>
      </c>
      <c r="BV11" s="538">
        <f t="shared" si="46"/>
        <v>4.9273471999999992E-2</v>
      </c>
      <c r="BW11" s="538">
        <f t="shared" si="47"/>
        <v>0</v>
      </c>
      <c r="BX11" s="538">
        <f t="shared" si="48"/>
        <v>5.0379409325528805E-2</v>
      </c>
      <c r="BY11" s="538">
        <f t="shared" si="49"/>
        <v>4.5919999999999997E-3</v>
      </c>
      <c r="BZ11" s="469">
        <f t="shared" si="62"/>
        <v>54.971409325528803</v>
      </c>
      <c r="CA11" s="177">
        <f t="shared" si="63"/>
        <v>0.1307524862640505</v>
      </c>
      <c r="CB11" s="5">
        <f t="shared" si="64"/>
        <v>0.39059999999999995</v>
      </c>
      <c r="CC11" s="177">
        <f t="shared" si="65"/>
        <v>0.74920521200348134</v>
      </c>
      <c r="CD11" s="5">
        <f t="shared" si="66"/>
        <v>74.920521200348134</v>
      </c>
      <c r="CG11" s="571">
        <f t="shared" si="50"/>
        <v>-50</v>
      </c>
      <c r="CH11">
        <f t="shared" si="51"/>
        <v>-50</v>
      </c>
    </row>
    <row r="12" spans="2:86" x14ac:dyDescent="0.2">
      <c r="E12" s="174">
        <v>7</v>
      </c>
      <c r="F12" s="221">
        <f t="shared" si="52"/>
        <v>2.9400000000000003E-2</v>
      </c>
      <c r="G12" s="221"/>
      <c r="H12" s="221">
        <f t="shared" si="0"/>
        <v>0.45570000000000005</v>
      </c>
      <c r="I12" s="551">
        <f t="shared" si="1"/>
        <v>12</v>
      </c>
      <c r="J12" s="176">
        <f t="shared" si="2"/>
        <v>16.399999999999999</v>
      </c>
      <c r="K12" s="451">
        <f t="shared" si="3"/>
        <v>28.4</v>
      </c>
      <c r="L12" s="451"/>
      <c r="M12" s="221">
        <f t="shared" si="4"/>
        <v>0.57746478873239437</v>
      </c>
      <c r="N12" s="176">
        <f t="shared" si="5"/>
        <v>12.78507042253521</v>
      </c>
      <c r="O12" s="176">
        <f t="shared" si="53"/>
        <v>0.45570000000000005</v>
      </c>
      <c r="P12" s="221">
        <f t="shared" si="6"/>
        <v>0.82484325306678774</v>
      </c>
      <c r="Q12" s="221">
        <f t="shared" si="7"/>
        <v>15.5</v>
      </c>
      <c r="R12" s="221">
        <f t="shared" si="8"/>
        <v>0.91649250340754196</v>
      </c>
      <c r="S12" s="176">
        <f t="shared" si="9"/>
        <v>741.07578022097721</v>
      </c>
      <c r="T12" s="176">
        <f t="shared" si="10"/>
        <v>15.5</v>
      </c>
      <c r="U12" s="221">
        <f t="shared" si="11"/>
        <v>0.14613685636856369</v>
      </c>
      <c r="V12" s="221">
        <f t="shared" si="12"/>
        <v>0.10960264227642277</v>
      </c>
      <c r="W12" s="221">
        <f t="shared" si="13"/>
        <v>8.0197055324211786E-2</v>
      </c>
      <c r="X12" s="201">
        <f t="shared" si="14"/>
        <v>350</v>
      </c>
      <c r="Y12" s="451">
        <f t="shared" si="54"/>
        <v>350</v>
      </c>
      <c r="AA12" s="221">
        <f t="shared" si="15"/>
        <v>2.1998658618376927</v>
      </c>
      <c r="AB12" s="177">
        <f t="shared" si="16"/>
        <v>1.2072434607645877</v>
      </c>
      <c r="AC12" s="177">
        <f t="shared" si="17"/>
        <v>0.46476039334599145</v>
      </c>
      <c r="AD12" s="177"/>
      <c r="AE12" s="177">
        <f t="shared" si="18"/>
        <v>0.45</v>
      </c>
      <c r="AF12" s="555">
        <f t="shared" si="19"/>
        <v>159.34959349593498</v>
      </c>
      <c r="AG12" s="538">
        <f t="shared" si="20"/>
        <v>6.4574999999999994E-2</v>
      </c>
      <c r="AI12" s="177">
        <f t="shared" si="21"/>
        <v>0.58322221163819554</v>
      </c>
      <c r="AJ12" s="177">
        <f t="shared" si="22"/>
        <v>0.82</v>
      </c>
      <c r="AK12" s="177">
        <f t="shared" si="23"/>
        <v>1.0910569105691057</v>
      </c>
      <c r="AM12" s="555">
        <f t="shared" si="24"/>
        <v>29.400000000000002</v>
      </c>
      <c r="AN12" s="469">
        <f t="shared" si="25"/>
        <v>159.34959349593498</v>
      </c>
      <c r="AP12">
        <f t="shared" si="26"/>
        <v>29.400000000000002</v>
      </c>
      <c r="AQ12" s="469">
        <f t="shared" si="27"/>
        <v>159.34959349593498</v>
      </c>
      <c r="AR12" s="469"/>
      <c r="AS12" s="5">
        <f t="shared" si="55"/>
        <v>6.2755102040816313</v>
      </c>
      <c r="AT12" s="5">
        <f t="shared" si="28"/>
        <v>0.61499999999999988</v>
      </c>
      <c r="AU12" s="5">
        <f t="shared" si="56"/>
        <v>5.6605102040816311</v>
      </c>
      <c r="AV12" s="5">
        <f t="shared" si="29"/>
        <v>0.45</v>
      </c>
      <c r="AW12" s="177">
        <f t="shared" si="57"/>
        <v>9.8000000000000004E-2</v>
      </c>
      <c r="AX12" s="177">
        <f t="shared" si="30"/>
        <v>0.48215999999999998</v>
      </c>
      <c r="AY12" s="177">
        <f t="shared" si="31"/>
        <v>0.36981999999999998</v>
      </c>
      <c r="AZ12" s="177">
        <f t="shared" si="58"/>
        <v>1.3037694013303769</v>
      </c>
      <c r="BA12" s="469">
        <f t="shared" si="32"/>
        <v>19.587372721622344</v>
      </c>
      <c r="BB12" s="469">
        <f t="shared" si="33"/>
        <v>0.21778140527859247</v>
      </c>
      <c r="BC12" s="5">
        <f t="shared" si="34"/>
        <v>0.39807013888888881</v>
      </c>
      <c r="BD12" s="469">
        <f t="shared" si="35"/>
        <v>24.010791666666659</v>
      </c>
      <c r="BE12" s="5"/>
      <c r="BF12" s="177">
        <f t="shared" si="59"/>
        <v>0.1482061627148705</v>
      </c>
      <c r="BG12" s="177">
        <f t="shared" si="36"/>
        <v>0.44963125632752299</v>
      </c>
      <c r="BH12" s="177"/>
      <c r="BI12" s="538">
        <f t="shared" si="37"/>
        <v>2.416157333333334E-3</v>
      </c>
      <c r="BJ12" s="538">
        <f t="shared" si="38"/>
        <v>1.8554666666666667E-2</v>
      </c>
      <c r="BK12" s="538">
        <f t="shared" si="39"/>
        <v>7.9674796747967475E-3</v>
      </c>
      <c r="BL12" s="538">
        <f t="shared" si="40"/>
        <v>2.8918126829268292E-2</v>
      </c>
      <c r="BM12">
        <f t="shared" si="41"/>
        <v>3.48E-3</v>
      </c>
      <c r="BN12">
        <f t="shared" si="42"/>
        <v>1.1154471544715449E-5</v>
      </c>
      <c r="BO12" s="538">
        <f t="shared" si="43"/>
        <v>6.1374944761579009E-2</v>
      </c>
      <c r="BP12" s="469">
        <f t="shared" si="60"/>
        <v>61.374944761579009</v>
      </c>
      <c r="BQ12" s="538">
        <f t="shared" si="44"/>
        <v>2.6460000000000004E-2</v>
      </c>
      <c r="BR12" s="538"/>
      <c r="BT12" s="469">
        <f t="shared" si="61"/>
        <v>26.460000000000004</v>
      </c>
      <c r="BU12" s="538">
        <f t="shared" si="45"/>
        <v>1.0543232000000003E-3</v>
      </c>
      <c r="BV12" s="538">
        <f t="shared" si="46"/>
        <v>4.8520384E-2</v>
      </c>
      <c r="BW12" s="538">
        <f t="shared" si="47"/>
        <v>0</v>
      </c>
      <c r="BX12" s="538">
        <f t="shared" si="48"/>
        <v>4.9772102191429482E-2</v>
      </c>
      <c r="BY12" s="538">
        <f t="shared" si="49"/>
        <v>5.3573333333333337E-3</v>
      </c>
      <c r="BZ12" s="469">
        <f t="shared" si="62"/>
        <v>55.129435524762812</v>
      </c>
      <c r="CA12" s="177">
        <f t="shared" si="63"/>
        <v>0.14296438028634184</v>
      </c>
      <c r="CB12" s="5">
        <f t="shared" si="64"/>
        <v>0.45570000000000005</v>
      </c>
      <c r="CC12" s="177">
        <f t="shared" si="65"/>
        <v>0.76119444384187052</v>
      </c>
      <c r="CD12" s="5">
        <f t="shared" si="66"/>
        <v>76.119444384187048</v>
      </c>
      <c r="CG12" s="571">
        <f t="shared" si="50"/>
        <v>-50</v>
      </c>
      <c r="CH12">
        <f t="shared" si="51"/>
        <v>-50</v>
      </c>
    </row>
    <row r="13" spans="2:86" s="77" customFormat="1" x14ac:dyDescent="0.2">
      <c r="E13" s="193">
        <v>8</v>
      </c>
      <c r="F13" s="221">
        <f t="shared" si="52"/>
        <v>3.3599999999999998E-2</v>
      </c>
      <c r="G13" s="221"/>
      <c r="H13" s="221">
        <f t="shared" si="0"/>
        <v>0.52079999999999993</v>
      </c>
      <c r="I13" s="551">
        <f t="shared" si="1"/>
        <v>12</v>
      </c>
      <c r="J13" s="176">
        <f t="shared" si="2"/>
        <v>16.399999999999999</v>
      </c>
      <c r="K13" s="545">
        <f t="shared" si="3"/>
        <v>28.4</v>
      </c>
      <c r="L13" s="545"/>
      <c r="M13" s="333">
        <f t="shared" si="4"/>
        <v>0.57746478873239437</v>
      </c>
      <c r="N13" s="176">
        <f t="shared" si="5"/>
        <v>12.78507042253521</v>
      </c>
      <c r="O13" s="176">
        <f t="shared" si="53"/>
        <v>0.52079999999999993</v>
      </c>
      <c r="P13" s="333">
        <f t="shared" si="6"/>
        <v>0.82484325306678774</v>
      </c>
      <c r="Q13" s="221">
        <f t="shared" si="7"/>
        <v>15.5</v>
      </c>
      <c r="R13" s="221">
        <f t="shared" si="8"/>
        <v>0.91649250340754196</v>
      </c>
      <c r="S13" s="176">
        <f t="shared" si="9"/>
        <v>646.94524207658822</v>
      </c>
      <c r="T13" s="176">
        <f t="shared" si="10"/>
        <v>15.5</v>
      </c>
      <c r="U13" s="221">
        <f t="shared" si="11"/>
        <v>0.16701355013550132</v>
      </c>
      <c r="V13" s="333">
        <f t="shared" si="12"/>
        <v>0.12526016260162598</v>
      </c>
      <c r="W13" s="221">
        <f t="shared" si="13"/>
        <v>9.1653777513384882E-2</v>
      </c>
      <c r="X13" s="547">
        <f t="shared" si="14"/>
        <v>350</v>
      </c>
      <c r="Y13" s="545">
        <f t="shared" si="54"/>
        <v>350</v>
      </c>
      <c r="AA13" s="333">
        <f t="shared" si="15"/>
        <v>2.1998658618376927</v>
      </c>
      <c r="AB13" s="177">
        <f t="shared" si="16"/>
        <v>1.2072434607645877</v>
      </c>
      <c r="AC13" s="548">
        <f t="shared" si="17"/>
        <v>0.46476039334599145</v>
      </c>
      <c r="AD13" s="548"/>
      <c r="AE13" s="177">
        <f t="shared" si="18"/>
        <v>0.45</v>
      </c>
      <c r="AF13" s="555">
        <f t="shared" si="19"/>
        <v>182.11382113821139</v>
      </c>
      <c r="AG13" s="538">
        <f t="shared" si="20"/>
        <v>6.4574999999999994E-2</v>
      </c>
      <c r="AH13"/>
      <c r="AI13" s="177">
        <f t="shared" si="21"/>
        <v>0.62349077037333966</v>
      </c>
      <c r="AJ13" s="177">
        <f t="shared" si="22"/>
        <v>0.82</v>
      </c>
      <c r="AK13" s="177">
        <f t="shared" si="23"/>
        <v>1.1040650406504064</v>
      </c>
      <c r="AM13" s="555">
        <f t="shared" si="24"/>
        <v>33.6</v>
      </c>
      <c r="AN13" s="469">
        <f t="shared" si="25"/>
        <v>182.11382113821139</v>
      </c>
      <c r="AP13">
        <f t="shared" si="26"/>
        <v>33.6</v>
      </c>
      <c r="AQ13" s="469">
        <f t="shared" si="27"/>
        <v>182.11382113821139</v>
      </c>
      <c r="AR13" s="469"/>
      <c r="AS13" s="5">
        <f t="shared" si="55"/>
        <v>5.4910714285714288</v>
      </c>
      <c r="AT13" s="5">
        <f t="shared" si="28"/>
        <v>0.61499999999999988</v>
      </c>
      <c r="AU13" s="5">
        <f t="shared" si="56"/>
        <v>4.8760714285714286</v>
      </c>
      <c r="AV13" s="5">
        <f t="shared" si="29"/>
        <v>0.45</v>
      </c>
      <c r="AW13" s="177">
        <f t="shared" si="57"/>
        <v>0.11199999999999997</v>
      </c>
      <c r="AX13" s="177">
        <f t="shared" si="30"/>
        <v>0.55103999999999997</v>
      </c>
      <c r="AY13" s="177">
        <f t="shared" si="31"/>
        <v>0.36407999999999996</v>
      </c>
      <c r="AZ13" s="177">
        <f t="shared" si="58"/>
        <v>1.5135135135135136</v>
      </c>
      <c r="BA13" s="469">
        <f t="shared" si="32"/>
        <v>19.587372721622344</v>
      </c>
      <c r="BB13" s="469">
        <f t="shared" si="33"/>
        <v>0.27484918240469208</v>
      </c>
      <c r="BC13" s="5">
        <f t="shared" si="34"/>
        <v>0.39189166666666653</v>
      </c>
      <c r="BD13" s="469">
        <f t="shared" si="35"/>
        <v>23.658166666666663</v>
      </c>
      <c r="BE13" s="5"/>
      <c r="BF13" s="177">
        <f t="shared" si="59"/>
        <v>0.1584390524250045</v>
      </c>
      <c r="BG13" s="177">
        <f t="shared" si="36"/>
        <v>0.44612823268652252</v>
      </c>
      <c r="BH13" s="177"/>
      <c r="BI13" s="538">
        <f t="shared" si="37"/>
        <v>2.7613226666666655E-3</v>
      </c>
      <c r="BJ13" s="538">
        <f t="shared" si="38"/>
        <v>2.1205333333333336E-2</v>
      </c>
      <c r="BK13" s="538">
        <f t="shared" si="39"/>
        <v>9.1056910569105691E-3</v>
      </c>
      <c r="BL13" s="538">
        <f t="shared" si="40"/>
        <v>3.304928780487805E-2</v>
      </c>
      <c r="BM13">
        <f t="shared" si="41"/>
        <v>3.48E-3</v>
      </c>
      <c r="BN13">
        <f t="shared" si="42"/>
        <v>1.2747967479674799E-5</v>
      </c>
      <c r="BO13" s="538">
        <f t="shared" si="43"/>
        <v>6.9649866931303372E-2</v>
      </c>
      <c r="BP13" s="469">
        <f t="shared" si="60"/>
        <v>69.649866931303379</v>
      </c>
      <c r="BQ13" s="538">
        <f t="shared" si="44"/>
        <v>3.024E-2</v>
      </c>
      <c r="BR13" s="538"/>
      <c r="BT13" s="469">
        <f t="shared" si="61"/>
        <v>30.24</v>
      </c>
      <c r="BU13" s="538">
        <f t="shared" si="45"/>
        <v>1.2049407999999995E-3</v>
      </c>
      <c r="BV13" s="538">
        <f t="shared" si="46"/>
        <v>4.7767295999999994E-2</v>
      </c>
      <c r="BW13" s="538">
        <f t="shared" si="47"/>
        <v>0</v>
      </c>
      <c r="BX13" s="538">
        <f t="shared" si="48"/>
        <v>4.9164853829116541E-2</v>
      </c>
      <c r="BY13" s="538">
        <f t="shared" si="49"/>
        <v>6.1226666666666669E-3</v>
      </c>
      <c r="BZ13" s="469">
        <f t="shared" si="62"/>
        <v>55.287520495783205</v>
      </c>
      <c r="CA13" s="177">
        <f t="shared" si="63"/>
        <v>0.15517738742708659</v>
      </c>
      <c r="CB13" s="5">
        <f t="shared" si="64"/>
        <v>0.52079999999999993</v>
      </c>
      <c r="CC13" s="177">
        <f t="shared" si="65"/>
        <v>0.770439972825534</v>
      </c>
      <c r="CD13" s="5">
        <f t="shared" si="66"/>
        <v>77.043997282553406</v>
      </c>
      <c r="CG13" s="571">
        <f t="shared" si="50"/>
        <v>-50</v>
      </c>
      <c r="CH13">
        <f t="shared" si="51"/>
        <v>-50</v>
      </c>
    </row>
    <row r="14" spans="2:86" x14ac:dyDescent="0.2">
      <c r="E14" s="174">
        <v>9</v>
      </c>
      <c r="F14" s="221">
        <f t="shared" si="52"/>
        <v>3.78E-2</v>
      </c>
      <c r="G14" s="221"/>
      <c r="H14" s="221">
        <f t="shared" si="0"/>
        <v>0.58589999999999998</v>
      </c>
      <c r="I14" s="551">
        <f t="shared" si="1"/>
        <v>12</v>
      </c>
      <c r="J14" s="176">
        <f t="shared" si="2"/>
        <v>16.399999999999999</v>
      </c>
      <c r="K14" s="451">
        <f t="shared" si="3"/>
        <v>28.4</v>
      </c>
      <c r="L14" s="451"/>
      <c r="M14" s="221">
        <f t="shared" si="4"/>
        <v>0.57746478873239437</v>
      </c>
      <c r="N14" s="176">
        <f t="shared" si="5"/>
        <v>12.78507042253521</v>
      </c>
      <c r="O14" s="176">
        <f t="shared" si="53"/>
        <v>0.58589999999999998</v>
      </c>
      <c r="P14" s="221">
        <f t="shared" si="6"/>
        <v>0.82484325306678774</v>
      </c>
      <c r="Q14" s="221">
        <f t="shared" si="7"/>
        <v>15.5</v>
      </c>
      <c r="R14" s="221">
        <f t="shared" si="8"/>
        <v>0.91649250340754196</v>
      </c>
      <c r="S14" s="176">
        <f t="shared" si="9"/>
        <v>573.73308031621502</v>
      </c>
      <c r="T14" s="176">
        <f t="shared" si="10"/>
        <v>15.5</v>
      </c>
      <c r="U14" s="221">
        <f t="shared" si="11"/>
        <v>0.187890243902439</v>
      </c>
      <c r="V14" s="221">
        <f t="shared" si="12"/>
        <v>0.14091768292682924</v>
      </c>
      <c r="W14" s="221">
        <f t="shared" si="13"/>
        <v>0.10311049970255801</v>
      </c>
      <c r="X14" s="201">
        <f t="shared" si="14"/>
        <v>350</v>
      </c>
      <c r="Y14" s="451">
        <f t="shared" si="54"/>
        <v>350</v>
      </c>
      <c r="AA14" s="221">
        <f t="shared" si="15"/>
        <v>2.1998658618376927</v>
      </c>
      <c r="AB14" s="177">
        <f t="shared" si="16"/>
        <v>1.2072434607645877</v>
      </c>
      <c r="AC14" s="177">
        <f t="shared" si="17"/>
        <v>0.46476039334599145</v>
      </c>
      <c r="AD14" s="177"/>
      <c r="AE14" s="177">
        <f t="shared" si="18"/>
        <v>0.45</v>
      </c>
      <c r="AF14" s="555">
        <f t="shared" si="19"/>
        <v>204.87804878048783</v>
      </c>
      <c r="AG14" s="538">
        <f t="shared" si="20"/>
        <v>6.4574999999999994E-2</v>
      </c>
      <c r="AI14" s="177">
        <f t="shared" si="21"/>
        <v>0.66131182760731966</v>
      </c>
      <c r="AJ14" s="177">
        <f t="shared" si="22"/>
        <v>0.82</v>
      </c>
      <c r="AK14" s="177">
        <f t="shared" si="23"/>
        <v>1.1170731707317074</v>
      </c>
      <c r="AM14" s="555">
        <f t="shared" si="24"/>
        <v>37.799999999999997</v>
      </c>
      <c r="AN14" s="469">
        <f t="shared" si="25"/>
        <v>204.87804878048783</v>
      </c>
      <c r="AP14">
        <f t="shared" si="26"/>
        <v>37.799999999999997</v>
      </c>
      <c r="AQ14" s="469">
        <f t="shared" si="27"/>
        <v>204.87804878048783</v>
      </c>
      <c r="AR14" s="469"/>
      <c r="AS14" s="5">
        <f t="shared" si="55"/>
        <v>4.8809523809523796</v>
      </c>
      <c r="AT14" s="5">
        <f t="shared" si="28"/>
        <v>0.61499999999999988</v>
      </c>
      <c r="AU14" s="5">
        <f t="shared" si="56"/>
        <v>4.2659523809523794</v>
      </c>
      <c r="AV14" s="5">
        <f t="shared" si="29"/>
        <v>0.45</v>
      </c>
      <c r="AW14" s="177">
        <f t="shared" si="57"/>
        <v>0.126</v>
      </c>
      <c r="AX14" s="177">
        <f t="shared" si="30"/>
        <v>0.61991999999999992</v>
      </c>
      <c r="AY14" s="177">
        <f t="shared" si="31"/>
        <v>0.35833999999999999</v>
      </c>
      <c r="AZ14" s="177">
        <f t="shared" si="58"/>
        <v>1.7299771167048053</v>
      </c>
      <c r="BA14" s="469">
        <f t="shared" si="32"/>
        <v>19.587372721622344</v>
      </c>
      <c r="BB14" s="469">
        <f t="shared" si="33"/>
        <v>0.3384059964809385</v>
      </c>
      <c r="BC14" s="5">
        <f t="shared" si="34"/>
        <v>0.38571319444444419</v>
      </c>
      <c r="BD14" s="469">
        <f t="shared" si="35"/>
        <v>23.305541666666656</v>
      </c>
      <c r="BE14" s="5"/>
      <c r="BF14" s="177">
        <f t="shared" si="59"/>
        <v>0.16804999256173742</v>
      </c>
      <c r="BG14" s="177">
        <f t="shared" si="36"/>
        <v>0.44259748455377973</v>
      </c>
      <c r="BH14" s="177"/>
      <c r="BI14" s="538">
        <f t="shared" si="37"/>
        <v>3.1064880000000001E-3</v>
      </c>
      <c r="BJ14" s="538">
        <f t="shared" si="38"/>
        <v>2.3856000000000002E-2</v>
      </c>
      <c r="BK14" s="538">
        <f t="shared" si="39"/>
        <v>1.0243902439024391E-2</v>
      </c>
      <c r="BL14" s="538">
        <f t="shared" si="40"/>
        <v>3.7180448780487811E-2</v>
      </c>
      <c r="BM14">
        <f t="shared" si="41"/>
        <v>3.48E-3</v>
      </c>
      <c r="BN14">
        <f t="shared" si="42"/>
        <v>1.4341463414634149E-5</v>
      </c>
      <c r="BO14" s="538">
        <f t="shared" si="43"/>
        <v>7.792584364924221E-2</v>
      </c>
      <c r="BP14" s="469">
        <f t="shared" si="60"/>
        <v>77.925843649242211</v>
      </c>
      <c r="BQ14" s="538">
        <f t="shared" si="44"/>
        <v>3.4020000000000002E-2</v>
      </c>
      <c r="BR14" s="538"/>
      <c r="BT14" s="469">
        <f t="shared" si="61"/>
        <v>34.020000000000003</v>
      </c>
      <c r="BU14" s="538">
        <f t="shared" si="45"/>
        <v>1.3555584000000001E-3</v>
      </c>
      <c r="BV14" s="538">
        <f t="shared" si="46"/>
        <v>4.7014207999999988E-2</v>
      </c>
      <c r="BW14" s="538">
        <f t="shared" si="47"/>
        <v>0</v>
      </c>
      <c r="BX14" s="538">
        <f t="shared" si="48"/>
        <v>4.8557664230058993E-2</v>
      </c>
      <c r="BY14" s="538">
        <f t="shared" si="49"/>
        <v>6.8880000000000009E-3</v>
      </c>
      <c r="BZ14" s="469">
        <f t="shared" si="62"/>
        <v>55.445664230058995</v>
      </c>
      <c r="CA14" s="177">
        <f t="shared" si="63"/>
        <v>0.16739150787930121</v>
      </c>
      <c r="CB14" s="5">
        <f t="shared" si="64"/>
        <v>0.58589999999999998</v>
      </c>
      <c r="CC14" s="177">
        <f t="shared" si="65"/>
        <v>0.7777865459408283</v>
      </c>
      <c r="CD14" s="5">
        <f t="shared" si="66"/>
        <v>77.778654594082823</v>
      </c>
      <c r="CG14" s="571">
        <f t="shared" si="50"/>
        <v>-50</v>
      </c>
      <c r="CH14">
        <f t="shared" si="51"/>
        <v>-50</v>
      </c>
    </row>
    <row r="15" spans="2:86" x14ac:dyDescent="0.2">
      <c r="E15" s="174">
        <v>10</v>
      </c>
      <c r="F15" s="221">
        <f t="shared" si="52"/>
        <v>4.2000000000000003E-2</v>
      </c>
      <c r="G15" s="221"/>
      <c r="H15" s="221">
        <f t="shared" si="0"/>
        <v>0.65100000000000002</v>
      </c>
      <c r="I15" s="551">
        <f t="shared" si="1"/>
        <v>12</v>
      </c>
      <c r="J15" s="176">
        <f t="shared" si="2"/>
        <v>16.399999999999999</v>
      </c>
      <c r="K15" s="451">
        <f t="shared" si="3"/>
        <v>28.4</v>
      </c>
      <c r="L15" s="451"/>
      <c r="M15" s="221">
        <f t="shared" si="4"/>
        <v>0.57746478873239437</v>
      </c>
      <c r="N15" s="176">
        <f t="shared" si="5"/>
        <v>12.78507042253521</v>
      </c>
      <c r="O15" s="176">
        <f t="shared" si="53"/>
        <v>0.65100000000000002</v>
      </c>
      <c r="P15" s="221">
        <f t="shared" si="6"/>
        <v>0.82484325306678774</v>
      </c>
      <c r="Q15" s="221">
        <f t="shared" si="7"/>
        <v>15.5</v>
      </c>
      <c r="R15" s="221">
        <f t="shared" si="8"/>
        <v>0.91649250340754196</v>
      </c>
      <c r="S15" s="176">
        <f t="shared" si="9"/>
        <v>515.16378478846673</v>
      </c>
      <c r="T15" s="176">
        <f t="shared" si="10"/>
        <v>15.5</v>
      </c>
      <c r="U15" s="221">
        <f t="shared" si="11"/>
        <v>0.20876693766937668</v>
      </c>
      <c r="V15" s="221">
        <f t="shared" si="12"/>
        <v>0.1565752032520325</v>
      </c>
      <c r="W15" s="221">
        <f t="shared" si="13"/>
        <v>0.11456722189173112</v>
      </c>
      <c r="X15" s="201">
        <f t="shared" si="14"/>
        <v>350</v>
      </c>
      <c r="Y15" s="451">
        <f t="shared" si="54"/>
        <v>350</v>
      </c>
      <c r="AA15" s="221">
        <f t="shared" si="15"/>
        <v>2.1998658618376927</v>
      </c>
      <c r="AB15" s="177">
        <f t="shared" si="16"/>
        <v>1.2072434607645877</v>
      </c>
      <c r="AC15" s="177">
        <f t="shared" si="17"/>
        <v>0.46476039334599145</v>
      </c>
      <c r="AD15" s="177"/>
      <c r="AE15" s="177">
        <f t="shared" si="18"/>
        <v>0.45</v>
      </c>
      <c r="AF15" s="555">
        <f t="shared" si="19"/>
        <v>227.64227642276427</v>
      </c>
      <c r="AG15" s="538">
        <f t="shared" si="20"/>
        <v>6.4574999999999994E-2</v>
      </c>
      <c r="AI15" s="177">
        <f t="shared" si="21"/>
        <v>0.69708387294924978</v>
      </c>
      <c r="AJ15" s="177">
        <f t="shared" si="22"/>
        <v>0.82</v>
      </c>
      <c r="AK15" s="177">
        <f t="shared" si="23"/>
        <v>1.1300813008130082</v>
      </c>
      <c r="AM15" s="555">
        <f t="shared" si="24"/>
        <v>42</v>
      </c>
      <c r="AN15" s="469">
        <f t="shared" si="25"/>
        <v>227.64227642276427</v>
      </c>
      <c r="AP15">
        <f t="shared" si="26"/>
        <v>42</v>
      </c>
      <c r="AQ15" s="469">
        <f t="shared" si="27"/>
        <v>227.64227642276427</v>
      </c>
      <c r="AR15" s="469"/>
      <c r="AS15" s="5">
        <f t="shared" si="55"/>
        <v>4.3928571428571423</v>
      </c>
      <c r="AT15" s="5">
        <f t="shared" si="28"/>
        <v>0.61499999999999988</v>
      </c>
      <c r="AU15" s="5">
        <f t="shared" si="56"/>
        <v>3.7778571428571426</v>
      </c>
      <c r="AV15" s="5">
        <f t="shared" si="29"/>
        <v>0.45</v>
      </c>
      <c r="AW15" s="177">
        <f t="shared" si="57"/>
        <v>0.13999999999999999</v>
      </c>
      <c r="AX15" s="177">
        <f t="shared" si="30"/>
        <v>0.68880000000000008</v>
      </c>
      <c r="AY15" s="177">
        <f t="shared" si="31"/>
        <v>0.35259999999999997</v>
      </c>
      <c r="AZ15" s="177">
        <f t="shared" si="58"/>
        <v>1.9534883720930236</v>
      </c>
      <c r="BA15" s="469">
        <f t="shared" si="32"/>
        <v>19.587372721622344</v>
      </c>
      <c r="BB15" s="469">
        <f t="shared" si="33"/>
        <v>0.40845184750733154</v>
      </c>
      <c r="BC15" s="5">
        <f t="shared" si="34"/>
        <v>0.37953472222222218</v>
      </c>
      <c r="BD15" s="469">
        <f t="shared" si="35"/>
        <v>22.952916666666667</v>
      </c>
      <c r="BE15" s="5"/>
      <c r="BF15" s="177">
        <f t="shared" si="59"/>
        <v>0.17714024575648149</v>
      </c>
      <c r="BG15" s="177">
        <f t="shared" si="36"/>
        <v>0.43903834304837958</v>
      </c>
      <c r="BH15" s="177"/>
      <c r="BI15" s="538">
        <f t="shared" si="37"/>
        <v>3.4516533333333326E-3</v>
      </c>
      <c r="BJ15" s="538">
        <f t="shared" si="38"/>
        <v>2.6506666666666671E-2</v>
      </c>
      <c r="BK15" s="538">
        <f t="shared" si="39"/>
        <v>1.1382113821138212E-2</v>
      </c>
      <c r="BL15" s="538">
        <f t="shared" si="40"/>
        <v>4.1311609756097559E-2</v>
      </c>
      <c r="BM15">
        <f t="shared" si="41"/>
        <v>3.48E-3</v>
      </c>
      <c r="BN15">
        <f t="shared" si="42"/>
        <v>1.59349593495935E-5</v>
      </c>
      <c r="BO15" s="538">
        <f t="shared" si="43"/>
        <v>8.6202875116994232E-2</v>
      </c>
      <c r="BP15" s="469">
        <f t="shared" si="60"/>
        <v>86.202875116994235</v>
      </c>
      <c r="BQ15" s="538">
        <f t="shared" si="44"/>
        <v>3.78E-2</v>
      </c>
      <c r="BR15" s="538"/>
      <c r="BT15" s="469">
        <f t="shared" si="61"/>
        <v>37.799999999999997</v>
      </c>
      <c r="BU15" s="538">
        <f t="shared" si="45"/>
        <v>1.5061759999999997E-3</v>
      </c>
      <c r="BV15" s="538">
        <f t="shared" si="46"/>
        <v>4.6261119999999989E-2</v>
      </c>
      <c r="BW15" s="538">
        <f t="shared" si="47"/>
        <v>0</v>
      </c>
      <c r="BX15" s="538">
        <f t="shared" si="48"/>
        <v>4.7950533385727502E-2</v>
      </c>
      <c r="BY15" s="538">
        <f t="shared" si="49"/>
        <v>7.6533333333333349E-3</v>
      </c>
      <c r="BZ15" s="469">
        <f t="shared" si="62"/>
        <v>55.603866719060839</v>
      </c>
      <c r="CA15" s="177">
        <f t="shared" si="63"/>
        <v>0.17960674183605507</v>
      </c>
      <c r="CB15" s="5">
        <f t="shared" si="64"/>
        <v>0.65100000000000002</v>
      </c>
      <c r="CC15" s="177">
        <f t="shared" si="65"/>
        <v>0.78376440643976164</v>
      </c>
      <c r="CD15" s="5">
        <f t="shared" si="66"/>
        <v>78.376440643976167</v>
      </c>
      <c r="CG15" s="571">
        <f t="shared" si="50"/>
        <v>-50</v>
      </c>
      <c r="CH15">
        <f t="shared" si="51"/>
        <v>-50</v>
      </c>
    </row>
    <row r="16" spans="2:86" x14ac:dyDescent="0.2">
      <c r="E16" s="174">
        <v>11</v>
      </c>
      <c r="F16" s="221">
        <f t="shared" si="52"/>
        <v>4.6199999999999998E-2</v>
      </c>
      <c r="G16" s="221"/>
      <c r="H16" s="221">
        <f t="shared" si="0"/>
        <v>0.71609999999999996</v>
      </c>
      <c r="I16" s="551">
        <f t="shared" si="1"/>
        <v>12</v>
      </c>
      <c r="J16" s="176">
        <f t="shared" si="2"/>
        <v>16.399999999999999</v>
      </c>
      <c r="K16" s="451">
        <f t="shared" si="3"/>
        <v>28.4</v>
      </c>
      <c r="L16" s="451"/>
      <c r="M16" s="221">
        <f t="shared" si="4"/>
        <v>0.57746478873239437</v>
      </c>
      <c r="N16" s="176">
        <f t="shared" si="5"/>
        <v>12.78507042253521</v>
      </c>
      <c r="O16" s="176">
        <f t="shared" si="53"/>
        <v>0.71609999999999996</v>
      </c>
      <c r="P16" s="221">
        <f t="shared" si="6"/>
        <v>0.82484325306678774</v>
      </c>
      <c r="Q16" s="221">
        <f t="shared" si="7"/>
        <v>15.5</v>
      </c>
      <c r="R16" s="221">
        <f t="shared" si="8"/>
        <v>0.91649250340754196</v>
      </c>
      <c r="S16" s="176">
        <f t="shared" si="9"/>
        <v>467.24384905288719</v>
      </c>
      <c r="T16" s="176">
        <f t="shared" si="10"/>
        <v>15.5</v>
      </c>
      <c r="U16" s="221">
        <f t="shared" si="11"/>
        <v>0.22964363143631433</v>
      </c>
      <c r="V16" s="221">
        <f t="shared" si="12"/>
        <v>0.17223272357723576</v>
      </c>
      <c r="W16" s="221">
        <f t="shared" si="13"/>
        <v>0.12602394408090423</v>
      </c>
      <c r="X16" s="201">
        <f t="shared" si="14"/>
        <v>350</v>
      </c>
      <c r="Y16" s="451">
        <f t="shared" si="54"/>
        <v>350</v>
      </c>
      <c r="AA16" s="221">
        <f t="shared" si="15"/>
        <v>2.1998658618376927</v>
      </c>
      <c r="AB16" s="177">
        <f t="shared" si="16"/>
        <v>1.2072434607645877</v>
      </c>
      <c r="AC16" s="177">
        <f t="shared" si="17"/>
        <v>0.46476039334599145</v>
      </c>
      <c r="AD16" s="177"/>
      <c r="AE16" s="177">
        <f t="shared" si="18"/>
        <v>0.45</v>
      </c>
      <c r="AF16" s="555">
        <f t="shared" si="19"/>
        <v>250.40650406504065</v>
      </c>
      <c r="AG16" s="538">
        <f t="shared" si="20"/>
        <v>6.4574999999999994E-2</v>
      </c>
      <c r="AI16" s="177">
        <f t="shared" si="21"/>
        <v>0.7311077338658909</v>
      </c>
      <c r="AJ16" s="177">
        <f t="shared" si="22"/>
        <v>0.82</v>
      </c>
      <c r="AK16" s="177">
        <f t="shared" si="23"/>
        <v>1.1430894308943089</v>
      </c>
      <c r="AM16" s="555">
        <f t="shared" si="24"/>
        <v>46.199999999999996</v>
      </c>
      <c r="AN16" s="469">
        <f t="shared" si="25"/>
        <v>250.40650406504065</v>
      </c>
      <c r="AP16">
        <f t="shared" si="26"/>
        <v>46.199999999999996</v>
      </c>
      <c r="AQ16" s="469">
        <f t="shared" si="27"/>
        <v>250.40650406504065</v>
      </c>
      <c r="AR16" s="469"/>
      <c r="AS16" s="5">
        <f t="shared" si="55"/>
        <v>3.9935064935064934</v>
      </c>
      <c r="AT16" s="5">
        <f t="shared" si="28"/>
        <v>0.61499999999999988</v>
      </c>
      <c r="AU16" s="5">
        <f t="shared" si="56"/>
        <v>3.3785064935064937</v>
      </c>
      <c r="AV16" s="5">
        <f t="shared" si="29"/>
        <v>0.45</v>
      </c>
      <c r="AW16" s="177">
        <f t="shared" si="57"/>
        <v>0.15399999999999997</v>
      </c>
      <c r="AX16" s="177">
        <f t="shared" si="30"/>
        <v>0.7576799999999998</v>
      </c>
      <c r="AY16" s="177">
        <f t="shared" si="31"/>
        <v>0.34686</v>
      </c>
      <c r="AZ16" s="177">
        <f t="shared" si="58"/>
        <v>2.184397163120567</v>
      </c>
      <c r="BA16" s="469">
        <f t="shared" si="32"/>
        <v>19.587372721622344</v>
      </c>
      <c r="BB16" s="469">
        <f t="shared" si="33"/>
        <v>0.48498673548387106</v>
      </c>
      <c r="BC16" s="5">
        <f t="shared" si="34"/>
        <v>0.37335624999999995</v>
      </c>
      <c r="BD16" s="469">
        <f t="shared" si="35"/>
        <v>22.600291666666664</v>
      </c>
      <c r="BE16" s="5"/>
      <c r="BF16" s="177">
        <f t="shared" si="59"/>
        <v>0.18578625711643293</v>
      </c>
      <c r="BG16" s="177">
        <f t="shared" si="36"/>
        <v>0.43545011195313749</v>
      </c>
      <c r="BH16" s="177"/>
      <c r="BI16" s="538">
        <f t="shared" si="37"/>
        <v>3.7968186666666663E-3</v>
      </c>
      <c r="BJ16" s="538">
        <f t="shared" si="38"/>
        <v>2.915733333333333E-2</v>
      </c>
      <c r="BK16" s="538">
        <f t="shared" si="39"/>
        <v>1.2520325203252032E-2</v>
      </c>
      <c r="BL16" s="538">
        <f t="shared" si="40"/>
        <v>4.5442770731707313E-2</v>
      </c>
      <c r="BM16">
        <f t="shared" si="41"/>
        <v>3.48E-3</v>
      </c>
      <c r="BN16">
        <f t="shared" si="42"/>
        <v>1.7528455284552848E-5</v>
      </c>
      <c r="BO16" s="538">
        <f t="shared" si="43"/>
        <v>9.4480961536209662E-2</v>
      </c>
      <c r="BP16" s="469">
        <f t="shared" si="60"/>
        <v>94.480961536209662</v>
      </c>
      <c r="BQ16" s="538">
        <f t="shared" si="44"/>
        <v>4.1579999999999999E-2</v>
      </c>
      <c r="BR16" s="538"/>
      <c r="BT16" s="469">
        <f t="shared" si="61"/>
        <v>41.58</v>
      </c>
      <c r="BU16" s="538">
        <f t="shared" si="45"/>
        <v>1.6567935999999997E-3</v>
      </c>
      <c r="BV16" s="538">
        <f t="shared" si="46"/>
        <v>4.550803199999999E-2</v>
      </c>
      <c r="BW16" s="538">
        <f t="shared" si="47"/>
        <v>0</v>
      </c>
      <c r="BX16" s="538">
        <f t="shared" si="48"/>
        <v>4.7343461287594368E-2</v>
      </c>
      <c r="BY16" s="538">
        <f t="shared" si="49"/>
        <v>8.4186666666666663E-3</v>
      </c>
      <c r="BZ16" s="469">
        <f t="shared" si="62"/>
        <v>55.762127954261032</v>
      </c>
      <c r="CA16" s="177">
        <f t="shared" si="63"/>
        <v>0.19182308949047069</v>
      </c>
      <c r="CB16" s="5">
        <f t="shared" si="64"/>
        <v>0.71609999999999996</v>
      </c>
      <c r="CC16" s="177">
        <f t="shared" si="65"/>
        <v>0.78872319504714616</v>
      </c>
      <c r="CD16" s="5">
        <f t="shared" si="66"/>
        <v>78.872319504714611</v>
      </c>
      <c r="CG16" s="571">
        <f t="shared" si="50"/>
        <v>-50</v>
      </c>
      <c r="CH16">
        <f t="shared" si="51"/>
        <v>-50</v>
      </c>
    </row>
    <row r="17" spans="5:86" x14ac:dyDescent="0.2">
      <c r="E17" s="174">
        <v>12</v>
      </c>
      <c r="F17" s="221">
        <f t="shared" si="52"/>
        <v>5.0399999999999993E-2</v>
      </c>
      <c r="G17" s="221"/>
      <c r="H17" s="221">
        <f t="shared" si="0"/>
        <v>0.78119999999999989</v>
      </c>
      <c r="I17" s="551">
        <f t="shared" si="1"/>
        <v>12</v>
      </c>
      <c r="J17" s="176">
        <f t="shared" si="2"/>
        <v>16.399999999999999</v>
      </c>
      <c r="K17" s="451">
        <f t="shared" si="3"/>
        <v>28.4</v>
      </c>
      <c r="L17" s="451"/>
      <c r="M17" s="221">
        <f t="shared" si="4"/>
        <v>0.57746478873239437</v>
      </c>
      <c r="N17" s="176">
        <f t="shared" si="5"/>
        <v>12.78507042253521</v>
      </c>
      <c r="O17" s="176">
        <f t="shared" si="53"/>
        <v>0.78119999999999989</v>
      </c>
      <c r="P17" s="221">
        <f t="shared" si="6"/>
        <v>0.82484325306678774</v>
      </c>
      <c r="Q17" s="221">
        <f t="shared" si="7"/>
        <v>15.5</v>
      </c>
      <c r="R17" s="221">
        <f t="shared" si="8"/>
        <v>0.91649250340754196</v>
      </c>
      <c r="S17" s="176">
        <f t="shared" si="9"/>
        <v>427.31093550055181</v>
      </c>
      <c r="T17" s="176">
        <f t="shared" si="10"/>
        <v>15.5</v>
      </c>
      <c r="U17" s="221">
        <f t="shared" si="11"/>
        <v>0.25052032520325196</v>
      </c>
      <c r="V17" s="221">
        <f t="shared" si="12"/>
        <v>0.18789024390243897</v>
      </c>
      <c r="W17" s="221">
        <f t="shared" si="13"/>
        <v>0.1374806662700773</v>
      </c>
      <c r="X17" s="201">
        <f t="shared" si="14"/>
        <v>350</v>
      </c>
      <c r="Y17" s="451">
        <f t="shared" si="54"/>
        <v>350</v>
      </c>
      <c r="AA17" s="221">
        <f t="shared" si="15"/>
        <v>2.1998658618376927</v>
      </c>
      <c r="AB17" s="177">
        <f t="shared" si="16"/>
        <v>1.2072434607645877</v>
      </c>
      <c r="AC17" s="177">
        <f t="shared" si="17"/>
        <v>0.46476039334599145</v>
      </c>
      <c r="AD17" s="177"/>
      <c r="AE17" s="177">
        <f t="shared" si="18"/>
        <v>0.45</v>
      </c>
      <c r="AF17" s="555">
        <f t="shared" si="19"/>
        <v>273.17073170731703</v>
      </c>
      <c r="AG17" s="538">
        <f t="shared" si="20"/>
        <v>6.4574999999999994E-2</v>
      </c>
      <c r="AI17" s="177">
        <f t="shared" si="21"/>
        <v>0.76361712337473875</v>
      </c>
      <c r="AJ17" s="177">
        <f t="shared" si="22"/>
        <v>0.82</v>
      </c>
      <c r="AK17" s="177">
        <f t="shared" si="23"/>
        <v>1.1560975609756097</v>
      </c>
      <c r="AM17" s="555">
        <f t="shared" si="24"/>
        <v>50.399999999999991</v>
      </c>
      <c r="AN17" s="469">
        <f t="shared" si="25"/>
        <v>273.17073170731703</v>
      </c>
      <c r="AP17">
        <f t="shared" si="26"/>
        <v>50.399999999999991</v>
      </c>
      <c r="AQ17" s="469">
        <f t="shared" si="27"/>
        <v>273.17073170731703</v>
      </c>
      <c r="AR17" s="469"/>
      <c r="AS17" s="5">
        <f t="shared" si="55"/>
        <v>3.660714285714286</v>
      </c>
      <c r="AT17" s="5">
        <f t="shared" si="28"/>
        <v>0.61499999999999988</v>
      </c>
      <c r="AU17" s="5">
        <f t="shared" si="56"/>
        <v>3.0457142857142863</v>
      </c>
      <c r="AV17" s="5">
        <f t="shared" si="29"/>
        <v>0.45</v>
      </c>
      <c r="AW17" s="177">
        <f t="shared" si="57"/>
        <v>0.16799999999999995</v>
      </c>
      <c r="AX17" s="177">
        <f t="shared" si="30"/>
        <v>0.82655999999999974</v>
      </c>
      <c r="AY17" s="177">
        <f t="shared" si="31"/>
        <v>0.34112000000000003</v>
      </c>
      <c r="AZ17" s="177">
        <f t="shared" si="58"/>
        <v>2.423076923076922</v>
      </c>
      <c r="BA17" s="469">
        <f t="shared" si="32"/>
        <v>19.587372721622344</v>
      </c>
      <c r="BB17" s="469">
        <f t="shared" si="33"/>
        <v>0.56801066041055714</v>
      </c>
      <c r="BC17" s="5">
        <f t="shared" si="34"/>
        <v>0.36717777777777771</v>
      </c>
      <c r="BD17" s="469">
        <f t="shared" si="35"/>
        <v>22.247666666666664</v>
      </c>
      <c r="BE17" s="5"/>
      <c r="BF17" s="177">
        <f t="shared" si="59"/>
        <v>0.19404741688566737</v>
      </c>
      <c r="BG17" s="177">
        <f t="shared" si="36"/>
        <v>0.4318320661244755</v>
      </c>
      <c r="BH17" s="177"/>
      <c r="BI17" s="538">
        <f t="shared" si="37"/>
        <v>4.1419839999999979E-3</v>
      </c>
      <c r="BJ17" s="538">
        <f t="shared" si="38"/>
        <v>3.1807999999999989E-2</v>
      </c>
      <c r="BK17" s="538">
        <f t="shared" si="39"/>
        <v>1.365853658536585E-2</v>
      </c>
      <c r="BL17" s="538">
        <f t="shared" si="40"/>
        <v>4.9573931707317061E-2</v>
      </c>
      <c r="BM17">
        <f t="shared" si="41"/>
        <v>3.48E-3</v>
      </c>
      <c r="BN17">
        <f t="shared" si="42"/>
        <v>1.9121951219512193E-5</v>
      </c>
      <c r="BO17" s="538">
        <f t="shared" si="43"/>
        <v>0.10276010310859007</v>
      </c>
      <c r="BP17" s="469">
        <f t="shared" si="60"/>
        <v>102.76010310859007</v>
      </c>
      <c r="BQ17" s="538">
        <f t="shared" si="44"/>
        <v>4.5359999999999998E-2</v>
      </c>
      <c r="BR17" s="538"/>
      <c r="BT17" s="469">
        <f t="shared" si="61"/>
        <v>45.36</v>
      </c>
      <c r="BU17" s="538">
        <f t="shared" si="45"/>
        <v>1.8074111999999993E-3</v>
      </c>
      <c r="BV17" s="538">
        <f t="shared" si="46"/>
        <v>4.4754944000000005E-2</v>
      </c>
      <c r="BW17" s="538">
        <f t="shared" si="47"/>
        <v>0</v>
      </c>
      <c r="BX17" s="538">
        <f t="shared" si="48"/>
        <v>4.6736447927133565E-2</v>
      </c>
      <c r="BY17" s="538">
        <f t="shared" si="49"/>
        <v>9.1839999999999995E-3</v>
      </c>
      <c r="BZ17" s="469">
        <f t="shared" si="62"/>
        <v>55.920447927133566</v>
      </c>
      <c r="CA17" s="177">
        <f t="shared" si="63"/>
        <v>0.20404055103572363</v>
      </c>
      <c r="CB17" s="5">
        <f t="shared" si="64"/>
        <v>0.78119999999999989</v>
      </c>
      <c r="CC17" s="177">
        <f t="shared" si="65"/>
        <v>0.79290280853622175</v>
      </c>
      <c r="CD17" s="5">
        <f t="shared" si="66"/>
        <v>79.290280853622178</v>
      </c>
      <c r="CG17" s="571">
        <f t="shared" si="50"/>
        <v>-50</v>
      </c>
      <c r="CH17">
        <f t="shared" si="51"/>
        <v>-50</v>
      </c>
    </row>
    <row r="18" spans="5:86" x14ac:dyDescent="0.2">
      <c r="E18" s="174">
        <v>13</v>
      </c>
      <c r="F18" s="221">
        <f t="shared" si="52"/>
        <v>5.4600000000000003E-2</v>
      </c>
      <c r="G18" s="221"/>
      <c r="H18" s="221">
        <f t="shared" si="0"/>
        <v>0.84630000000000005</v>
      </c>
      <c r="I18" s="551">
        <f t="shared" si="1"/>
        <v>12</v>
      </c>
      <c r="J18" s="176">
        <f t="shared" si="2"/>
        <v>16.399999999999999</v>
      </c>
      <c r="K18" s="451">
        <f t="shared" si="3"/>
        <v>28.4</v>
      </c>
      <c r="L18" s="451"/>
      <c r="M18" s="221">
        <f t="shared" si="4"/>
        <v>0.57746478873239437</v>
      </c>
      <c r="N18" s="176">
        <f t="shared" si="5"/>
        <v>12.78507042253521</v>
      </c>
      <c r="O18" s="176">
        <f t="shared" si="53"/>
        <v>0.84630000000000005</v>
      </c>
      <c r="P18" s="221">
        <f t="shared" si="6"/>
        <v>0.82484325306678774</v>
      </c>
      <c r="Q18" s="221">
        <f t="shared" si="7"/>
        <v>15.5</v>
      </c>
      <c r="R18" s="221">
        <f t="shared" si="8"/>
        <v>0.91649250340754196</v>
      </c>
      <c r="S18" s="176">
        <f t="shared" si="9"/>
        <v>393.52188734208187</v>
      </c>
      <c r="T18" s="176">
        <f t="shared" si="10"/>
        <v>15.5</v>
      </c>
      <c r="U18" s="221">
        <f t="shared" si="11"/>
        <v>0.2713970189701897</v>
      </c>
      <c r="V18" s="221">
        <f t="shared" si="12"/>
        <v>0.20354776422764229</v>
      </c>
      <c r="W18" s="221">
        <f t="shared" si="13"/>
        <v>0.14893738845925045</v>
      </c>
      <c r="X18" s="201">
        <f t="shared" si="14"/>
        <v>350</v>
      </c>
      <c r="Y18" s="451">
        <f t="shared" si="54"/>
        <v>350</v>
      </c>
      <c r="AA18" s="221">
        <f t="shared" si="15"/>
        <v>2.1998658618376927</v>
      </c>
      <c r="AB18" s="177">
        <f t="shared" si="16"/>
        <v>1.2072434607645877</v>
      </c>
      <c r="AC18" s="177">
        <f t="shared" si="17"/>
        <v>0.46476039334599145</v>
      </c>
      <c r="AD18" s="177"/>
      <c r="AE18" s="177">
        <f t="shared" si="18"/>
        <v>0.45</v>
      </c>
      <c r="AF18" s="555">
        <f t="shared" si="19"/>
        <v>295.9349593495935</v>
      </c>
      <c r="AG18" s="538">
        <f t="shared" si="20"/>
        <v>6.4574999999999994E-2</v>
      </c>
      <c r="AI18" s="177">
        <f t="shared" si="21"/>
        <v>0.79479790116966442</v>
      </c>
      <c r="AJ18" s="177">
        <f t="shared" si="22"/>
        <v>0.82</v>
      </c>
      <c r="AK18" s="177">
        <f t="shared" si="23"/>
        <v>1.1691056910569106</v>
      </c>
      <c r="AM18" s="555">
        <f t="shared" si="24"/>
        <v>54.6</v>
      </c>
      <c r="AN18" s="469">
        <f t="shared" si="25"/>
        <v>295.9349593495935</v>
      </c>
      <c r="AP18">
        <f t="shared" si="26"/>
        <v>54.6</v>
      </c>
      <c r="AQ18" s="469">
        <f t="shared" si="27"/>
        <v>295.9349593495935</v>
      </c>
      <c r="AR18" s="469"/>
      <c r="AS18" s="5">
        <f t="shared" si="55"/>
        <v>3.3791208791208791</v>
      </c>
      <c r="AT18" s="5">
        <f t="shared" si="28"/>
        <v>0.61499999999999988</v>
      </c>
      <c r="AU18" s="5">
        <f t="shared" si="56"/>
        <v>2.7641208791208793</v>
      </c>
      <c r="AV18" s="5">
        <f t="shared" si="29"/>
        <v>0.45</v>
      </c>
      <c r="AW18" s="177">
        <f t="shared" si="57"/>
        <v>0.18199999999999997</v>
      </c>
      <c r="AX18" s="177">
        <f t="shared" si="30"/>
        <v>0.89543999999999979</v>
      </c>
      <c r="AY18" s="177">
        <f t="shared" si="31"/>
        <v>0.33538000000000001</v>
      </c>
      <c r="AZ18" s="177">
        <f t="shared" si="58"/>
        <v>2.6699266503667474</v>
      </c>
      <c r="BA18" s="469">
        <f t="shared" si="32"/>
        <v>19.587372721622344</v>
      </c>
      <c r="BB18" s="469">
        <f t="shared" si="33"/>
        <v>0.65752362228739025</v>
      </c>
      <c r="BC18" s="5">
        <f t="shared" si="34"/>
        <v>0.36099930555555559</v>
      </c>
      <c r="BD18" s="469">
        <f t="shared" si="35"/>
        <v>21.895041666666671</v>
      </c>
      <c r="BE18" s="5"/>
      <c r="BF18" s="177">
        <f t="shared" si="59"/>
        <v>0.20197095500756204</v>
      </c>
      <c r="BG18" s="177">
        <f t="shared" si="36"/>
        <v>0.42818344978136025</v>
      </c>
      <c r="BH18" s="177"/>
      <c r="BI18" s="538">
        <f t="shared" si="37"/>
        <v>4.4871493333333316E-3</v>
      </c>
      <c r="BJ18" s="538">
        <f t="shared" si="38"/>
        <v>3.4458666666666665E-2</v>
      </c>
      <c r="BK18" s="538">
        <f t="shared" si="39"/>
        <v>1.4796747967479673E-2</v>
      </c>
      <c r="BL18" s="538">
        <f t="shared" si="40"/>
        <v>5.3705092682926829E-2</v>
      </c>
      <c r="BM18">
        <f t="shared" si="41"/>
        <v>3.48E-3</v>
      </c>
      <c r="BN18">
        <f t="shared" si="42"/>
        <v>2.0715447154471545E-5</v>
      </c>
      <c r="BO18" s="538">
        <f t="shared" si="43"/>
        <v>0.11104030003588847</v>
      </c>
      <c r="BP18" s="469">
        <f t="shared" si="60"/>
        <v>111.04030003588846</v>
      </c>
      <c r="BQ18" s="538">
        <f t="shared" si="44"/>
        <v>4.9140000000000003E-2</v>
      </c>
      <c r="BR18" s="538"/>
      <c r="BT18" s="469">
        <f t="shared" si="61"/>
        <v>49.14</v>
      </c>
      <c r="BU18" s="538">
        <f t="shared" si="45"/>
        <v>1.9580287999999995E-3</v>
      </c>
      <c r="BV18" s="538">
        <f t="shared" si="46"/>
        <v>4.4001855999999999E-2</v>
      </c>
      <c r="BW18" s="538">
        <f t="shared" si="47"/>
        <v>0</v>
      </c>
      <c r="BX18" s="538">
        <f t="shared" si="48"/>
        <v>4.612949329582066E-2</v>
      </c>
      <c r="BY18" s="538">
        <f t="shared" si="49"/>
        <v>9.9493333333333326E-3</v>
      </c>
      <c r="BZ18" s="469">
        <f t="shared" si="62"/>
        <v>56.078826629153994</v>
      </c>
      <c r="CA18" s="177">
        <f t="shared" si="63"/>
        <v>0.21625912666504246</v>
      </c>
      <c r="CB18" s="5">
        <f t="shared" si="64"/>
        <v>0.84630000000000005</v>
      </c>
      <c r="CC18" s="177">
        <f t="shared" si="65"/>
        <v>0.79647332441273622</v>
      </c>
      <c r="CD18" s="5">
        <f t="shared" si="66"/>
        <v>79.647332441273619</v>
      </c>
      <c r="CG18" s="571">
        <f t="shared" si="50"/>
        <v>-50</v>
      </c>
      <c r="CH18">
        <f t="shared" si="51"/>
        <v>-50</v>
      </c>
    </row>
    <row r="19" spans="5:86" x14ac:dyDescent="0.2">
      <c r="E19" s="174">
        <v>14</v>
      </c>
      <c r="F19" s="221">
        <f t="shared" si="52"/>
        <v>5.8800000000000005E-2</v>
      </c>
      <c r="G19" s="221"/>
      <c r="H19" s="221">
        <f t="shared" si="0"/>
        <v>0.9114000000000001</v>
      </c>
      <c r="I19" s="551">
        <f t="shared" si="1"/>
        <v>12</v>
      </c>
      <c r="J19" s="176">
        <f t="shared" si="2"/>
        <v>16.399999999999999</v>
      </c>
      <c r="K19" s="451">
        <f t="shared" si="3"/>
        <v>28.4</v>
      </c>
      <c r="L19" s="451"/>
      <c r="M19" s="221">
        <f t="shared" si="4"/>
        <v>0.57746478873239437</v>
      </c>
      <c r="N19" s="176">
        <f t="shared" si="5"/>
        <v>12.78507042253521</v>
      </c>
      <c r="O19" s="176">
        <f t="shared" si="53"/>
        <v>0.9114000000000001</v>
      </c>
      <c r="P19" s="221">
        <f t="shared" si="6"/>
        <v>0.82484325306678774</v>
      </c>
      <c r="Q19" s="221">
        <f t="shared" si="7"/>
        <v>15.5</v>
      </c>
      <c r="R19" s="221">
        <f t="shared" si="8"/>
        <v>0.91649250340754196</v>
      </c>
      <c r="S19" s="176">
        <f t="shared" si="9"/>
        <v>364.56016402936854</v>
      </c>
      <c r="T19" s="176">
        <f t="shared" si="10"/>
        <v>15.5</v>
      </c>
      <c r="U19" s="221">
        <f t="shared" si="11"/>
        <v>0.29227371273712738</v>
      </c>
      <c r="V19" s="221">
        <f t="shared" si="12"/>
        <v>0.21920528455284555</v>
      </c>
      <c r="W19" s="221">
        <f t="shared" si="13"/>
        <v>0.16039411064842357</v>
      </c>
      <c r="X19" s="201">
        <f t="shared" si="14"/>
        <v>350</v>
      </c>
      <c r="Y19" s="451">
        <f t="shared" si="54"/>
        <v>350</v>
      </c>
      <c r="AA19" s="221">
        <f t="shared" si="15"/>
        <v>2.1998658618376927</v>
      </c>
      <c r="AB19" s="177">
        <f t="shared" si="16"/>
        <v>1.2072434607645877</v>
      </c>
      <c r="AC19" s="177">
        <f t="shared" si="17"/>
        <v>0.46476039334599145</v>
      </c>
      <c r="AD19" s="177"/>
      <c r="AE19" s="177">
        <f t="shared" si="18"/>
        <v>0.45</v>
      </c>
      <c r="AF19" s="555">
        <f t="shared" si="19"/>
        <v>318.69918699186996</v>
      </c>
      <c r="AG19" s="538">
        <f t="shared" si="20"/>
        <v>6.4574999999999994E-2</v>
      </c>
      <c r="AI19" s="177">
        <f t="shared" si="21"/>
        <v>0.82480076157596771</v>
      </c>
      <c r="AJ19" s="177">
        <f t="shared" si="22"/>
        <v>0.82480076157596771</v>
      </c>
      <c r="AK19" s="177">
        <f t="shared" si="23"/>
        <v>1.1821138211382114</v>
      </c>
      <c r="AM19" s="555">
        <f t="shared" si="24"/>
        <v>58.800000000000004</v>
      </c>
      <c r="AN19" s="469">
        <f t="shared" si="25"/>
        <v>318.69918699186996</v>
      </c>
      <c r="AP19">
        <f t="shared" si="26"/>
        <v>58.800000000000004</v>
      </c>
      <c r="AQ19" s="469">
        <f t="shared" si="27"/>
        <v>318.69918699186996</v>
      </c>
      <c r="AR19" s="469"/>
      <c r="AS19" s="5">
        <f t="shared" si="55"/>
        <v>3.1377551020408156</v>
      </c>
      <c r="AT19" s="5">
        <f t="shared" si="28"/>
        <v>0.61860057118197576</v>
      </c>
      <c r="AU19" s="5">
        <f t="shared" si="56"/>
        <v>2.5191545308588399</v>
      </c>
      <c r="AV19" s="5">
        <f t="shared" si="29"/>
        <v>0.45263456427949456</v>
      </c>
      <c r="AW19" s="177">
        <f t="shared" si="57"/>
        <v>0.19714749910840207</v>
      </c>
      <c r="AX19" s="177">
        <f t="shared" si="30"/>
        <v>0.97564444444444454</v>
      </c>
      <c r="AY19" s="177">
        <f t="shared" si="31"/>
        <v>0.33109667708428009</v>
      </c>
      <c r="AZ19" s="177">
        <f t="shared" si="58"/>
        <v>2.9467056360583648</v>
      </c>
      <c r="BA19" s="469">
        <f t="shared" si="32"/>
        <v>19.587372721622344</v>
      </c>
      <c r="BB19" s="469">
        <f t="shared" si="33"/>
        <v>0.75352562111436983</v>
      </c>
      <c r="BC19" s="5">
        <f t="shared" si="34"/>
        <v>0.35431441966431276</v>
      </c>
      <c r="BD19" s="469">
        <f t="shared" si="35"/>
        <v>21.512031846525431</v>
      </c>
      <c r="BE19" s="5"/>
      <c r="BF19" s="177">
        <f t="shared" si="59"/>
        <v>0.21143849654806895</v>
      </c>
      <c r="BG19" s="177">
        <f t="shared" si="36"/>
        <v>0.42668395127571601</v>
      </c>
      <c r="BH19" s="177"/>
      <c r="BI19" s="538">
        <f t="shared" si="37"/>
        <v>4.9176861604758541E-3</v>
      </c>
      <c r="BJ19" s="538">
        <f t="shared" si="38"/>
        <v>3.7326593164524122E-2</v>
      </c>
      <c r="BK19" s="538">
        <f t="shared" si="39"/>
        <v>1.5934959349593495E-2</v>
      </c>
      <c r="BL19" s="538">
        <f t="shared" si="40"/>
        <v>5.7836253658536584E-2</v>
      </c>
      <c r="BM19">
        <f t="shared" si="41"/>
        <v>3.48E-3</v>
      </c>
      <c r="BN19">
        <f t="shared" si="42"/>
        <v>2.2308943089430897E-5</v>
      </c>
      <c r="BO19" s="538">
        <f t="shared" si="43"/>
        <v>0.11962633982103835</v>
      </c>
      <c r="BP19" s="469">
        <f t="shared" si="60"/>
        <v>119.62633982103834</v>
      </c>
      <c r="BQ19" s="538">
        <f t="shared" si="44"/>
        <v>5.2920000000000009E-2</v>
      </c>
      <c r="BR19" s="538"/>
      <c r="BT19" s="469">
        <f t="shared" si="61"/>
        <v>52.920000000000009</v>
      </c>
      <c r="BU19" s="538">
        <f t="shared" si="45"/>
        <v>2.1458994154803729E-3</v>
      </c>
      <c r="BV19" s="538">
        <f t="shared" si="46"/>
        <v>4.3694206626301822E-2</v>
      </c>
      <c r="BW19" s="538">
        <f t="shared" si="47"/>
        <v>0</v>
      </c>
      <c r="BX19" s="538">
        <f t="shared" si="48"/>
        <v>4.6008830013516425E-2</v>
      </c>
      <c r="BY19" s="538">
        <f t="shared" si="49"/>
        <v>1.0840493827160496E-2</v>
      </c>
      <c r="BZ19" s="469">
        <f t="shared" si="62"/>
        <v>56.849323840676924</v>
      </c>
      <c r="CA19" s="177">
        <f t="shared" si="63"/>
        <v>0.22939566366171524</v>
      </c>
      <c r="CB19" s="5">
        <f t="shared" si="64"/>
        <v>0.9114000000000001</v>
      </c>
      <c r="CC19" s="177">
        <f t="shared" si="65"/>
        <v>0.79891608026857042</v>
      </c>
      <c r="CD19" s="5">
        <f t="shared" si="66"/>
        <v>79.891608026857043</v>
      </c>
      <c r="CG19" s="571">
        <f t="shared" si="50"/>
        <v>-50</v>
      </c>
      <c r="CH19">
        <f t="shared" si="51"/>
        <v>-50</v>
      </c>
    </row>
    <row r="20" spans="5:86" x14ac:dyDescent="0.2">
      <c r="E20" s="174">
        <v>15</v>
      </c>
      <c r="F20" s="221">
        <f t="shared" si="52"/>
        <v>6.3E-2</v>
      </c>
      <c r="G20" s="221"/>
      <c r="H20" s="221">
        <f t="shared" si="0"/>
        <v>0.97650000000000003</v>
      </c>
      <c r="I20" s="551">
        <f t="shared" si="1"/>
        <v>12</v>
      </c>
      <c r="J20" s="176">
        <f t="shared" si="2"/>
        <v>16.399999999999999</v>
      </c>
      <c r="K20" s="451">
        <f t="shared" si="3"/>
        <v>28.4</v>
      </c>
      <c r="L20" s="451"/>
      <c r="M20" s="221">
        <f t="shared" si="4"/>
        <v>0.57746478873239437</v>
      </c>
      <c r="N20" s="176">
        <f t="shared" si="5"/>
        <v>12.78507042253521</v>
      </c>
      <c r="O20" s="176">
        <f t="shared" si="53"/>
        <v>0.97650000000000003</v>
      </c>
      <c r="P20" s="221">
        <f t="shared" si="6"/>
        <v>0.82484325306678774</v>
      </c>
      <c r="Q20" s="221">
        <f t="shared" si="7"/>
        <v>15.5</v>
      </c>
      <c r="R20" s="221">
        <f t="shared" si="8"/>
        <v>0.91649250340754196</v>
      </c>
      <c r="S20" s="176">
        <f t="shared" si="9"/>
        <v>339.46030250860753</v>
      </c>
      <c r="T20" s="176">
        <f t="shared" si="10"/>
        <v>15.5</v>
      </c>
      <c r="U20" s="221">
        <f t="shared" si="11"/>
        <v>0.313150406504065</v>
      </c>
      <c r="V20" s="221">
        <f t="shared" si="12"/>
        <v>0.23486280487804875</v>
      </c>
      <c r="W20" s="221">
        <f t="shared" si="13"/>
        <v>0.17185083283759664</v>
      </c>
      <c r="X20" s="201">
        <f t="shared" si="14"/>
        <v>350</v>
      </c>
      <c r="Y20" s="451">
        <f t="shared" si="54"/>
        <v>350</v>
      </c>
      <c r="AA20" s="221">
        <f t="shared" si="15"/>
        <v>2.1998658618376927</v>
      </c>
      <c r="AB20" s="177">
        <f t="shared" si="16"/>
        <v>1.2072434607645877</v>
      </c>
      <c r="AC20" s="177">
        <f t="shared" si="17"/>
        <v>0.46476039334599145</v>
      </c>
      <c r="AD20" s="177"/>
      <c r="AE20" s="177">
        <f t="shared" si="18"/>
        <v>0.45</v>
      </c>
      <c r="AF20" s="555">
        <f t="shared" si="19"/>
        <v>341.46341463414637</v>
      </c>
      <c r="AG20" s="538">
        <f t="shared" si="20"/>
        <v>6.4574999999999994E-2</v>
      </c>
      <c r="AI20" s="177">
        <f t="shared" si="21"/>
        <v>0.85374989832437975</v>
      </c>
      <c r="AJ20" s="177">
        <f t="shared" si="22"/>
        <v>0.85374989832437975</v>
      </c>
      <c r="AK20" s="177">
        <f t="shared" si="23"/>
        <v>1.1951219512195121</v>
      </c>
      <c r="AM20" s="555">
        <f t="shared" si="24"/>
        <v>63</v>
      </c>
      <c r="AN20" s="469">
        <f t="shared" si="25"/>
        <v>341.46341463414637</v>
      </c>
      <c r="AP20">
        <f t="shared" si="26"/>
        <v>63</v>
      </c>
      <c r="AQ20" s="469">
        <f t="shared" si="27"/>
        <v>341.46341463414637</v>
      </c>
      <c r="AR20" s="469"/>
      <c r="AS20" s="5">
        <f t="shared" si="55"/>
        <v>2.9285714285714284</v>
      </c>
      <c r="AT20" s="5">
        <f t="shared" si="28"/>
        <v>0.6403124237432849</v>
      </c>
      <c r="AU20" s="5">
        <f t="shared" si="56"/>
        <v>2.2882590048281433</v>
      </c>
      <c r="AV20" s="5">
        <f t="shared" si="29"/>
        <v>0.46852128566581819</v>
      </c>
      <c r="AW20" s="177">
        <f t="shared" si="57"/>
        <v>0.21864326664404851</v>
      </c>
      <c r="AX20" s="177">
        <f t="shared" si="30"/>
        <v>1.1199999999999999</v>
      </c>
      <c r="AY20" s="177">
        <f t="shared" si="31"/>
        <v>0.33354161582885655</v>
      </c>
      <c r="AZ20" s="177">
        <f t="shared" si="58"/>
        <v>3.357901823485447</v>
      </c>
      <c r="BA20" s="469">
        <f t="shared" si="32"/>
        <v>19.587372721622344</v>
      </c>
      <c r="BB20" s="469">
        <f t="shared" si="33"/>
        <v>0.85601665689149598</v>
      </c>
      <c r="BC20" s="5">
        <f t="shared" si="34"/>
        <v>0.34482791947757424</v>
      </c>
      <c r="BD20" s="469">
        <f t="shared" si="35"/>
        <v>20.960925168654462</v>
      </c>
      <c r="BE20" s="5"/>
      <c r="BF20" s="177">
        <f t="shared" si="59"/>
        <v>0.23048257178307255</v>
      </c>
      <c r="BG20" s="177">
        <f t="shared" si="36"/>
        <v>0.43570718041733458</v>
      </c>
      <c r="BH20" s="177"/>
      <c r="BI20" s="538">
        <f t="shared" si="37"/>
        <v>5.843443748531311E-3</v>
      </c>
      <c r="BJ20" s="538">
        <f t="shared" si="38"/>
        <v>4.1396458484606519E-2</v>
      </c>
      <c r="BK20" s="538">
        <f t="shared" si="39"/>
        <v>1.7073170731707318E-2</v>
      </c>
      <c r="BL20" s="538">
        <f t="shared" si="40"/>
        <v>6.1967414634146338E-2</v>
      </c>
      <c r="BM20">
        <f t="shared" si="41"/>
        <v>3.48E-3</v>
      </c>
      <c r="BN20">
        <f t="shared" si="42"/>
        <v>2.3902439024390249E-5</v>
      </c>
      <c r="BO20" s="538">
        <f t="shared" si="43"/>
        <v>0.12992446359936977</v>
      </c>
      <c r="BP20" s="469">
        <f t="shared" si="60"/>
        <v>129.92446359936977</v>
      </c>
      <c r="BQ20" s="538">
        <f t="shared" si="44"/>
        <v>5.67E-2</v>
      </c>
      <c r="BR20" s="538"/>
      <c r="BT20" s="469">
        <f t="shared" si="61"/>
        <v>56.7</v>
      </c>
      <c r="BU20" s="538">
        <f t="shared" si="45"/>
        <v>2.5498663629954814E-3</v>
      </c>
      <c r="BV20" s="538">
        <f t="shared" si="46"/>
        <v>4.5561779296133698E-2</v>
      </c>
      <c r="BW20" s="538">
        <f t="shared" si="47"/>
        <v>0</v>
      </c>
      <c r="BX20" s="538">
        <f t="shared" si="48"/>
        <v>4.8297539587998421E-2</v>
      </c>
      <c r="BY20" s="538">
        <f t="shared" si="49"/>
        <v>1.2444444444444445E-2</v>
      </c>
      <c r="BZ20" s="469">
        <f t="shared" si="62"/>
        <v>60.741984032442865</v>
      </c>
      <c r="CA20" s="177">
        <f t="shared" si="63"/>
        <v>0.24736644763181265</v>
      </c>
      <c r="CB20" s="5">
        <f t="shared" si="64"/>
        <v>0.97650000000000003</v>
      </c>
      <c r="CC20" s="177">
        <f t="shared" si="65"/>
        <v>0.79788117558867</v>
      </c>
      <c r="CD20" s="5">
        <f t="shared" si="66"/>
        <v>79.788117558867</v>
      </c>
      <c r="CG20" s="571">
        <f t="shared" si="50"/>
        <v>-50</v>
      </c>
      <c r="CH20">
        <f t="shared" si="51"/>
        <v>-50</v>
      </c>
    </row>
    <row r="21" spans="5:86" s="77" customFormat="1" x14ac:dyDescent="0.2">
      <c r="E21" s="193">
        <v>16</v>
      </c>
      <c r="F21" s="333">
        <f t="shared" si="52"/>
        <v>6.7199999999999996E-2</v>
      </c>
      <c r="G21" s="221"/>
      <c r="H21" s="221">
        <f t="shared" si="0"/>
        <v>1.0415999999999999</v>
      </c>
      <c r="I21" s="551">
        <f t="shared" si="1"/>
        <v>12</v>
      </c>
      <c r="J21" s="176">
        <f t="shared" si="2"/>
        <v>16.399999999999999</v>
      </c>
      <c r="K21" s="545">
        <f t="shared" si="3"/>
        <v>28.4</v>
      </c>
      <c r="L21" s="545"/>
      <c r="M21" s="333">
        <f t="shared" si="4"/>
        <v>0.57746478873239437</v>
      </c>
      <c r="N21" s="176">
        <f t="shared" si="5"/>
        <v>12.78507042253521</v>
      </c>
      <c r="O21" s="176">
        <f t="shared" si="53"/>
        <v>1.0415999999999999</v>
      </c>
      <c r="P21" s="333">
        <f t="shared" si="6"/>
        <v>0.82484325306678774</v>
      </c>
      <c r="Q21" s="221">
        <f t="shared" si="7"/>
        <v>15.5</v>
      </c>
      <c r="R21" s="221">
        <f t="shared" si="8"/>
        <v>0.91649250340754196</v>
      </c>
      <c r="S21" s="176">
        <f t="shared" si="9"/>
        <v>317.49820550344697</v>
      </c>
      <c r="T21" s="176">
        <f t="shared" si="10"/>
        <v>15.5</v>
      </c>
      <c r="U21" s="221">
        <f t="shared" si="11"/>
        <v>0.33402710027100263</v>
      </c>
      <c r="V21" s="333">
        <f t="shared" si="12"/>
        <v>0.25052032520325196</v>
      </c>
      <c r="W21" s="221">
        <f t="shared" si="13"/>
        <v>0.18330755502676976</v>
      </c>
      <c r="X21" s="547">
        <f t="shared" si="14"/>
        <v>350</v>
      </c>
      <c r="Y21" s="545">
        <f t="shared" si="54"/>
        <v>350</v>
      </c>
      <c r="AA21" s="333">
        <f t="shared" si="15"/>
        <v>2.1998658618376927</v>
      </c>
      <c r="AB21" s="177">
        <f t="shared" si="16"/>
        <v>1.2072434607645877</v>
      </c>
      <c r="AC21" s="548">
        <f t="shared" si="17"/>
        <v>0.46476039334599145</v>
      </c>
      <c r="AD21" s="548"/>
      <c r="AE21" s="177">
        <f t="shared" si="18"/>
        <v>0.45</v>
      </c>
      <c r="AF21" s="555">
        <f t="shared" si="19"/>
        <v>364.22764227642278</v>
      </c>
      <c r="AG21" s="538">
        <f t="shared" si="20"/>
        <v>6.4574999999999994E-2</v>
      </c>
      <c r="AH21"/>
      <c r="AI21" s="177">
        <f t="shared" si="21"/>
        <v>0.8817491034764261</v>
      </c>
      <c r="AJ21" s="177">
        <f t="shared" si="22"/>
        <v>0.8817491034764261</v>
      </c>
      <c r="AK21" s="177">
        <f t="shared" si="23"/>
        <v>1.2411660689842841</v>
      </c>
      <c r="AM21" s="555">
        <f t="shared" si="24"/>
        <v>67.2</v>
      </c>
      <c r="AN21" s="469">
        <f t="shared" si="25"/>
        <v>350</v>
      </c>
      <c r="AP21">
        <f t="shared" si="26"/>
        <v>67.2</v>
      </c>
      <c r="AQ21" s="469">
        <f t="shared" si="27"/>
        <v>350</v>
      </c>
      <c r="AR21" s="469"/>
      <c r="AS21" s="5">
        <f t="shared" si="55"/>
        <v>2.8571428571428572</v>
      </c>
      <c r="AT21" s="5">
        <f t="shared" si="28"/>
        <v>0.66131182760731955</v>
      </c>
      <c r="AU21" s="5">
        <f t="shared" si="56"/>
        <v>2.1958310295355377</v>
      </c>
      <c r="AV21" s="5">
        <f t="shared" si="29"/>
        <v>0.48388670312730703</v>
      </c>
      <c r="AW21" s="177">
        <f t="shared" si="57"/>
        <v>0.23145913966256185</v>
      </c>
      <c r="AX21" s="177">
        <f t="shared" si="30"/>
        <v>1.2245333333333328</v>
      </c>
      <c r="AY21" s="177">
        <f t="shared" si="31"/>
        <v>0.33883010729376867</v>
      </c>
      <c r="AZ21" s="177">
        <f t="shared" si="58"/>
        <v>3.6140039122073992</v>
      </c>
      <c r="BA21" s="469">
        <f t="shared" si="32"/>
        <v>19.587372721622344</v>
      </c>
      <c r="BB21" s="469">
        <f t="shared" si="33"/>
        <v>0.96499672961876837</v>
      </c>
      <c r="BC21" s="5">
        <f t="shared" si="34"/>
        <v>0.35295950622904559</v>
      </c>
      <c r="BD21" s="469">
        <f t="shared" si="35"/>
        <v>21.466903707076071</v>
      </c>
      <c r="BE21" s="5"/>
      <c r="BF21" s="177">
        <f t="shared" si="59"/>
        <v>0.24491848630872931</v>
      </c>
      <c r="BG21" s="177">
        <f t="shared" si="36"/>
        <v>0.44629074479693298</v>
      </c>
      <c r="BH21" s="177"/>
      <c r="BI21" s="538">
        <f t="shared" si="37"/>
        <v>6.5983571429335149E-3</v>
      </c>
      <c r="BJ21" s="538">
        <f t="shared" si="38"/>
        <v>4.3822930442778373E-2</v>
      </c>
      <c r="BK21" s="538">
        <f t="shared" si="39"/>
        <v>1.7499999999999998E-2</v>
      </c>
      <c r="BL21" s="538">
        <f t="shared" si="40"/>
        <v>6.3516599999999993E-2</v>
      </c>
      <c r="BM21">
        <f t="shared" si="41"/>
        <v>3.48E-3</v>
      </c>
      <c r="BN21">
        <f t="shared" si="42"/>
        <v>2.4500000000000003E-5</v>
      </c>
      <c r="BO21" s="538">
        <f t="shared" si="43"/>
        <v>0.13510686626490837</v>
      </c>
      <c r="BP21" s="469">
        <f t="shared" si="60"/>
        <v>135.10686626490838</v>
      </c>
      <c r="BQ21" s="538">
        <f t="shared" si="44"/>
        <v>6.0479999999999999E-2</v>
      </c>
      <c r="BR21" s="538"/>
      <c r="BT21" s="469">
        <f t="shared" si="61"/>
        <v>60.48</v>
      </c>
      <c r="BU21" s="538">
        <f t="shared" si="45"/>
        <v>2.8792831169164429E-3</v>
      </c>
      <c r="BV21" s="538">
        <f t="shared" si="46"/>
        <v>4.7802102933936275E-2</v>
      </c>
      <c r="BW21" s="538">
        <f t="shared" si="47"/>
        <v>0</v>
      </c>
      <c r="BX21" s="538">
        <f t="shared" si="48"/>
        <v>5.088771082827126E-2</v>
      </c>
      <c r="BY21" s="538">
        <f t="shared" si="49"/>
        <v>1.3605925925925921E-2</v>
      </c>
      <c r="BZ21" s="469">
        <f t="shared" si="62"/>
        <v>64.493636754197183</v>
      </c>
      <c r="CA21" s="177">
        <f t="shared" si="63"/>
        <v>0.26008050301910557</v>
      </c>
      <c r="CB21" s="5">
        <f t="shared" si="64"/>
        <v>1.0415999999999999</v>
      </c>
      <c r="CC21" s="177">
        <f t="shared" si="65"/>
        <v>0.80019635969358283</v>
      </c>
      <c r="CD21" s="5">
        <f t="shared" si="66"/>
        <v>80.019635969358276</v>
      </c>
      <c r="CG21" s="571">
        <f t="shared" si="50"/>
        <v>-50</v>
      </c>
      <c r="CH21">
        <f t="shared" si="51"/>
        <v>-50</v>
      </c>
    </row>
    <row r="22" spans="5:86" x14ac:dyDescent="0.2">
      <c r="E22" s="174">
        <v>17</v>
      </c>
      <c r="F22" s="221">
        <f t="shared" si="52"/>
        <v>7.1400000000000005E-2</v>
      </c>
      <c r="G22" s="221"/>
      <c r="H22" s="221">
        <f t="shared" si="0"/>
        <v>1.1067</v>
      </c>
      <c r="I22" s="551">
        <f t="shared" si="1"/>
        <v>12</v>
      </c>
      <c r="J22" s="176">
        <f t="shared" si="2"/>
        <v>16.399999999999999</v>
      </c>
      <c r="K22" s="451">
        <f t="shared" si="3"/>
        <v>28.4</v>
      </c>
      <c r="L22" s="451"/>
      <c r="M22" s="221">
        <f t="shared" si="4"/>
        <v>0.57746478873239437</v>
      </c>
      <c r="N22" s="176">
        <f t="shared" si="5"/>
        <v>12.78507042253521</v>
      </c>
      <c r="O22" s="176">
        <f t="shared" si="53"/>
        <v>1.1067</v>
      </c>
      <c r="P22" s="221">
        <f t="shared" si="6"/>
        <v>0.82484325306678774</v>
      </c>
      <c r="Q22" s="221">
        <f t="shared" si="7"/>
        <v>15.5</v>
      </c>
      <c r="R22" s="221">
        <f t="shared" si="8"/>
        <v>0.91649250340754196</v>
      </c>
      <c r="S22" s="176">
        <f t="shared" si="9"/>
        <v>298.12015158055527</v>
      </c>
      <c r="T22" s="176">
        <f t="shared" si="10"/>
        <v>15.5</v>
      </c>
      <c r="U22" s="221">
        <f t="shared" si="11"/>
        <v>0.35490379403794037</v>
      </c>
      <c r="V22" s="221">
        <f t="shared" si="12"/>
        <v>0.2661778455284553</v>
      </c>
      <c r="W22" s="221">
        <f t="shared" si="13"/>
        <v>0.19476427721594292</v>
      </c>
      <c r="X22" s="201">
        <f t="shared" si="14"/>
        <v>350</v>
      </c>
      <c r="Y22" s="451">
        <f t="shared" si="54"/>
        <v>350</v>
      </c>
      <c r="AA22" s="221">
        <f t="shared" si="15"/>
        <v>2.1998658618376927</v>
      </c>
      <c r="AB22" s="177">
        <f t="shared" si="16"/>
        <v>1.2072434607645877</v>
      </c>
      <c r="AC22" s="177">
        <f t="shared" si="17"/>
        <v>0.46476039334599145</v>
      </c>
      <c r="AD22" s="177"/>
      <c r="AE22" s="177">
        <f t="shared" si="18"/>
        <v>0.45</v>
      </c>
      <c r="AF22" s="555">
        <f t="shared" si="19"/>
        <v>386.99186991869925</v>
      </c>
      <c r="AG22" s="538">
        <f t="shared" si="20"/>
        <v>6.4574999999999994E-2</v>
      </c>
      <c r="AI22" s="177">
        <f t="shared" si="21"/>
        <v>0.90888617223174539</v>
      </c>
      <c r="AJ22" s="177">
        <f t="shared" si="22"/>
        <v>0.90888617223174539</v>
      </c>
      <c r="AK22" s="177">
        <f t="shared" si="23"/>
        <v>1.2592574481544969</v>
      </c>
      <c r="AM22" s="555">
        <f t="shared" si="24"/>
        <v>71.400000000000006</v>
      </c>
      <c r="AN22" s="469">
        <f t="shared" si="25"/>
        <v>350</v>
      </c>
      <c r="AP22">
        <f t="shared" si="26"/>
        <v>71.400000000000006</v>
      </c>
      <c r="AQ22" s="469">
        <f t="shared" si="27"/>
        <v>350</v>
      </c>
      <c r="AR22" s="469"/>
      <c r="AS22" s="5">
        <f t="shared" si="55"/>
        <v>2.8571428571428572</v>
      </c>
      <c r="AT22" s="5">
        <f t="shared" si="28"/>
        <v>0.68166462917380899</v>
      </c>
      <c r="AU22" s="5">
        <f t="shared" si="56"/>
        <v>2.1754782279690481</v>
      </c>
      <c r="AV22" s="5">
        <f t="shared" si="29"/>
        <v>0.49877899695644562</v>
      </c>
      <c r="AW22" s="177">
        <f t="shared" si="57"/>
        <v>0.23858262021083315</v>
      </c>
      <c r="AX22" s="177">
        <f t="shared" si="30"/>
        <v>1.3010666666666666</v>
      </c>
      <c r="AY22" s="177">
        <f t="shared" si="31"/>
        <v>0.3460208638936505</v>
      </c>
      <c r="AZ22" s="177">
        <f t="shared" si="58"/>
        <v>3.7600815512285104</v>
      </c>
      <c r="BA22" s="469">
        <f t="shared" si="32"/>
        <v>19.587372721622344</v>
      </c>
      <c r="BB22" s="469">
        <f t="shared" si="33"/>
        <v>1.0804658392961881</v>
      </c>
      <c r="BC22" s="5">
        <f t="shared" si="34"/>
        <v>0.37154348069341747</v>
      </c>
      <c r="BD22" s="469">
        <f t="shared" si="35"/>
        <v>22.600025508271717</v>
      </c>
      <c r="BE22" s="5"/>
      <c r="BF22" s="177">
        <f t="shared" si="59"/>
        <v>0.25631160533019859</v>
      </c>
      <c r="BG22" s="177">
        <f t="shared" si="36"/>
        <v>0.45788905388141188</v>
      </c>
      <c r="BH22" s="177"/>
      <c r="BI22" s="538">
        <f t="shared" si="37"/>
        <v>7.2265202929637836E-3</v>
      </c>
      <c r="BJ22" s="538">
        <f t="shared" si="38"/>
        <v>4.5171642759917752E-2</v>
      </c>
      <c r="BK22" s="538">
        <f t="shared" si="39"/>
        <v>1.7499999999999998E-2</v>
      </c>
      <c r="BL22" s="538">
        <f t="shared" si="40"/>
        <v>6.3516599999999993E-2</v>
      </c>
      <c r="BM22">
        <f t="shared" si="41"/>
        <v>3.48E-3</v>
      </c>
      <c r="BN22">
        <f t="shared" si="42"/>
        <v>2.4500000000000003E-5</v>
      </c>
      <c r="BO22" s="538">
        <f t="shared" si="43"/>
        <v>0.13710206026930868</v>
      </c>
      <c r="BP22" s="469">
        <f t="shared" si="60"/>
        <v>137.10206026930868</v>
      </c>
      <c r="BQ22" s="538">
        <f t="shared" si="44"/>
        <v>6.4260000000000012E-2</v>
      </c>
      <c r="BR22" s="538"/>
      <c r="BT22" s="469">
        <f t="shared" si="61"/>
        <v>64.260000000000005</v>
      </c>
      <c r="BU22" s="538">
        <f t="shared" si="45"/>
        <v>3.1533906732932877E-3</v>
      </c>
      <c r="BV22" s="538">
        <f t="shared" si="46"/>
        <v>5.0318972559459475E-2</v>
      </c>
      <c r="BW22" s="538">
        <f t="shared" si="47"/>
        <v>0</v>
      </c>
      <c r="BX22" s="538">
        <f t="shared" si="48"/>
        <v>5.3702089443398777E-2</v>
      </c>
      <c r="BY22" s="538">
        <f t="shared" si="49"/>
        <v>1.4456296296296295E-2</v>
      </c>
      <c r="BZ22" s="469">
        <f t="shared" si="62"/>
        <v>68.158385739695078</v>
      </c>
      <c r="CA22" s="177">
        <f t="shared" si="63"/>
        <v>0.26952044600900377</v>
      </c>
      <c r="CB22" s="5">
        <f t="shared" si="64"/>
        <v>1.1067</v>
      </c>
      <c r="CC22" s="177">
        <f t="shared" si="65"/>
        <v>0.80415895811560967</v>
      </c>
      <c r="CD22" s="5">
        <f t="shared" si="66"/>
        <v>80.415895811560972</v>
      </c>
      <c r="CG22" s="571">
        <f t="shared" si="50"/>
        <v>-50</v>
      </c>
      <c r="CH22">
        <f t="shared" si="51"/>
        <v>-50</v>
      </c>
    </row>
    <row r="23" spans="5:86" x14ac:dyDescent="0.2">
      <c r="E23" s="174">
        <v>18</v>
      </c>
      <c r="F23" s="221">
        <f t="shared" si="52"/>
        <v>7.5600000000000001E-2</v>
      </c>
      <c r="G23" s="221"/>
      <c r="H23" s="221">
        <f t="shared" si="0"/>
        <v>1.1718</v>
      </c>
      <c r="I23" s="551">
        <f t="shared" si="1"/>
        <v>12</v>
      </c>
      <c r="J23" s="176">
        <f t="shared" si="2"/>
        <v>16.399999999999999</v>
      </c>
      <c r="K23" s="451">
        <f t="shared" si="3"/>
        <v>28.4</v>
      </c>
      <c r="L23" s="451"/>
      <c r="M23" s="221">
        <f t="shared" si="4"/>
        <v>0.57746478873239437</v>
      </c>
      <c r="N23" s="176">
        <f t="shared" si="5"/>
        <v>12.78507042253521</v>
      </c>
      <c r="O23" s="176">
        <f t="shared" si="53"/>
        <v>1.1718</v>
      </c>
      <c r="P23" s="221">
        <f t="shared" si="6"/>
        <v>0.82484325306678774</v>
      </c>
      <c r="Q23" s="221">
        <f t="shared" si="7"/>
        <v>15.5</v>
      </c>
      <c r="R23" s="221">
        <f t="shared" si="8"/>
        <v>0.91649250340754196</v>
      </c>
      <c r="S23" s="176">
        <f t="shared" si="9"/>
        <v>280.89546852666643</v>
      </c>
      <c r="T23" s="176">
        <f t="shared" si="10"/>
        <v>15.5</v>
      </c>
      <c r="U23" s="221">
        <f t="shared" si="11"/>
        <v>0.37578048780487799</v>
      </c>
      <c r="V23" s="221">
        <f t="shared" si="12"/>
        <v>0.28183536585365848</v>
      </c>
      <c r="W23" s="221">
        <f t="shared" si="13"/>
        <v>0.20622099940511601</v>
      </c>
      <c r="X23" s="201">
        <f t="shared" si="14"/>
        <v>350</v>
      </c>
      <c r="Y23" s="451">
        <f t="shared" si="54"/>
        <v>350</v>
      </c>
      <c r="AA23" s="221">
        <f t="shared" si="15"/>
        <v>2.1998658618376927</v>
      </c>
      <c r="AB23" s="177">
        <f t="shared" si="16"/>
        <v>1.2072434607645877</v>
      </c>
      <c r="AC23" s="177">
        <f t="shared" si="17"/>
        <v>0.46476039334599145</v>
      </c>
      <c r="AD23" s="177"/>
      <c r="AE23" s="177">
        <f t="shared" si="18"/>
        <v>0.45</v>
      </c>
      <c r="AF23" s="555">
        <f t="shared" si="19"/>
        <v>409.75609756097566</v>
      </c>
      <c r="AG23" s="538">
        <f t="shared" si="20"/>
        <v>6.4574999999999994E-2</v>
      </c>
      <c r="AI23" s="177">
        <f t="shared" si="21"/>
        <v>0.93523615556000961</v>
      </c>
      <c r="AJ23" s="177">
        <f t="shared" si="22"/>
        <v>0.93523615556000961</v>
      </c>
      <c r="AK23" s="177">
        <f t="shared" si="23"/>
        <v>1.276824103706673</v>
      </c>
      <c r="AM23" s="555">
        <f t="shared" si="24"/>
        <v>75.599999999999994</v>
      </c>
      <c r="AN23" s="469">
        <f t="shared" si="25"/>
        <v>350</v>
      </c>
      <c r="AP23">
        <f t="shared" si="26"/>
        <v>75.599999999999994</v>
      </c>
      <c r="AQ23" s="469">
        <f t="shared" si="27"/>
        <v>350</v>
      </c>
      <c r="AR23" s="469"/>
      <c r="AS23" s="5">
        <f t="shared" si="55"/>
        <v>2.8571428571428572</v>
      </c>
      <c r="AT23" s="5">
        <f t="shared" si="28"/>
        <v>0.70142711667000712</v>
      </c>
      <c r="AU23" s="5">
        <f t="shared" si="56"/>
        <v>2.15571574047285</v>
      </c>
      <c r="AV23" s="5">
        <f t="shared" si="29"/>
        <v>0.51323935366098095</v>
      </c>
      <c r="AW23" s="177">
        <f t="shared" si="57"/>
        <v>0.24549949083450248</v>
      </c>
      <c r="AX23" s="177">
        <f t="shared" si="30"/>
        <v>1.3775999999999997</v>
      </c>
      <c r="AY23" s="177">
        <f t="shared" si="31"/>
        <v>0.35281807778000485</v>
      </c>
      <c r="AZ23" s="177">
        <f t="shared" si="58"/>
        <v>3.9045618316048545</v>
      </c>
      <c r="BA23" s="469">
        <f t="shared" si="32"/>
        <v>19.587372721622344</v>
      </c>
      <c r="BB23" s="469">
        <f t="shared" si="33"/>
        <v>1.202423985923754</v>
      </c>
      <c r="BC23" s="5">
        <f t="shared" si="34"/>
        <v>0.38982526306884024</v>
      </c>
      <c r="BD23" s="469">
        <f t="shared" si="35"/>
        <v>23.715015784130419</v>
      </c>
      <c r="BE23" s="5"/>
      <c r="BF23" s="177">
        <f t="shared" si="59"/>
        <v>0.26753829714427685</v>
      </c>
      <c r="BG23" s="177">
        <f t="shared" si="36"/>
        <v>0.46901899227717436</v>
      </c>
      <c r="BH23" s="177"/>
      <c r="BI23" s="538">
        <f t="shared" si="37"/>
        <v>7.8734414482745322E-3</v>
      </c>
      <c r="BJ23" s="538">
        <f t="shared" si="38"/>
        <v>4.6481236931332479E-2</v>
      </c>
      <c r="BK23" s="538">
        <f t="shared" si="39"/>
        <v>1.7499999999999998E-2</v>
      </c>
      <c r="BL23" s="538">
        <f t="shared" si="40"/>
        <v>6.3516599999999993E-2</v>
      </c>
      <c r="BM23">
        <f t="shared" si="41"/>
        <v>3.48E-3</v>
      </c>
      <c r="BN23">
        <f t="shared" si="42"/>
        <v>2.4500000000000003E-5</v>
      </c>
      <c r="BO23" s="538">
        <f t="shared" si="43"/>
        <v>0.13907780975260178</v>
      </c>
      <c r="BP23" s="469">
        <f t="shared" si="60"/>
        <v>139.07780975260178</v>
      </c>
      <c r="BQ23" s="538">
        <f t="shared" si="44"/>
        <v>6.8040000000000003E-2</v>
      </c>
      <c r="BR23" s="538"/>
      <c r="BT23" s="469">
        <f t="shared" si="61"/>
        <v>68.040000000000006</v>
      </c>
      <c r="BU23" s="538">
        <f t="shared" si="45"/>
        <v>3.4356835410652505E-3</v>
      </c>
      <c r="BV23" s="538">
        <f t="shared" si="46"/>
        <v>5.2794915628007075E-2</v>
      </c>
      <c r="BW23" s="538">
        <f t="shared" si="47"/>
        <v>0</v>
      </c>
      <c r="BX23" s="538">
        <f t="shared" si="48"/>
        <v>5.6484692617854958E-2</v>
      </c>
      <c r="BY23" s="538">
        <f t="shared" si="49"/>
        <v>1.5306666666666663E-2</v>
      </c>
      <c r="BZ23" s="469">
        <f t="shared" si="62"/>
        <v>71.791359284521633</v>
      </c>
      <c r="CA23" s="177">
        <f t="shared" si="63"/>
        <v>0.27890916903712337</v>
      </c>
      <c r="CB23" s="5">
        <f t="shared" si="64"/>
        <v>1.1718</v>
      </c>
      <c r="CC23" s="177">
        <f t="shared" si="65"/>
        <v>0.80774287845561543</v>
      </c>
      <c r="CD23" s="5">
        <f t="shared" si="66"/>
        <v>80.774287845561545</v>
      </c>
      <c r="CG23" s="571">
        <f t="shared" si="50"/>
        <v>-50</v>
      </c>
      <c r="CH23">
        <f t="shared" si="51"/>
        <v>-50</v>
      </c>
    </row>
    <row r="24" spans="5:86" x14ac:dyDescent="0.2">
      <c r="E24" s="174">
        <v>19</v>
      </c>
      <c r="F24" s="221">
        <f t="shared" si="52"/>
        <v>7.9799999999999996E-2</v>
      </c>
      <c r="G24" s="221"/>
      <c r="H24" s="221">
        <f t="shared" si="0"/>
        <v>1.2368999999999999</v>
      </c>
      <c r="I24" s="551">
        <f t="shared" si="1"/>
        <v>12</v>
      </c>
      <c r="J24" s="176">
        <f t="shared" si="2"/>
        <v>16.399999999999999</v>
      </c>
      <c r="K24" s="451">
        <f t="shared" si="3"/>
        <v>28.4</v>
      </c>
      <c r="L24" s="451"/>
      <c r="M24" s="221">
        <f t="shared" si="4"/>
        <v>0.57746478873239437</v>
      </c>
      <c r="N24" s="176">
        <f t="shared" si="5"/>
        <v>12.78507042253521</v>
      </c>
      <c r="O24" s="176">
        <f t="shared" si="53"/>
        <v>1.2368999999999999</v>
      </c>
      <c r="P24" s="221">
        <f t="shared" si="6"/>
        <v>0.82484325306678774</v>
      </c>
      <c r="Q24" s="221">
        <f t="shared" si="7"/>
        <v>15.5</v>
      </c>
      <c r="R24" s="221">
        <f t="shared" si="8"/>
        <v>0.91649250340754196</v>
      </c>
      <c r="S24" s="176">
        <f t="shared" si="9"/>
        <v>265.48415197498031</v>
      </c>
      <c r="T24" s="176">
        <f t="shared" si="10"/>
        <v>15.5</v>
      </c>
      <c r="U24" s="221">
        <f t="shared" si="11"/>
        <v>0.39665718157181562</v>
      </c>
      <c r="V24" s="221">
        <f t="shared" si="12"/>
        <v>0.29749288617886172</v>
      </c>
      <c r="W24" s="221">
        <f t="shared" si="13"/>
        <v>0.21767772159428911</v>
      </c>
      <c r="X24" s="201">
        <f t="shared" si="14"/>
        <v>350</v>
      </c>
      <c r="Y24" s="451">
        <f t="shared" si="54"/>
        <v>350</v>
      </c>
      <c r="AA24" s="221">
        <f t="shared" si="15"/>
        <v>2.1998658618376927</v>
      </c>
      <c r="AB24" s="177">
        <f t="shared" si="16"/>
        <v>1.2072434607645877</v>
      </c>
      <c r="AC24" s="177">
        <f t="shared" si="17"/>
        <v>0.46476039334599145</v>
      </c>
      <c r="AD24" s="177"/>
      <c r="AE24" s="177">
        <f t="shared" si="18"/>
        <v>0.45</v>
      </c>
      <c r="AF24" s="555">
        <f t="shared" si="19"/>
        <v>432.52032520325201</v>
      </c>
      <c r="AG24" s="538">
        <f t="shared" si="20"/>
        <v>6.4574999999999994E-2</v>
      </c>
      <c r="AI24" s="177">
        <f t="shared" si="21"/>
        <v>0.96086380890283252</v>
      </c>
      <c r="AJ24" s="177">
        <f t="shared" si="22"/>
        <v>0.96086380890283252</v>
      </c>
      <c r="AK24" s="177">
        <f t="shared" si="23"/>
        <v>1.2939092059352217</v>
      </c>
      <c r="AM24" s="555">
        <f t="shared" si="24"/>
        <v>79.8</v>
      </c>
      <c r="AN24" s="469">
        <f t="shared" si="25"/>
        <v>350</v>
      </c>
      <c r="AP24">
        <f t="shared" si="26"/>
        <v>79.8</v>
      </c>
      <c r="AQ24" s="469">
        <f t="shared" si="27"/>
        <v>350</v>
      </c>
      <c r="AR24" s="469"/>
      <c r="AS24" s="5">
        <f t="shared" si="55"/>
        <v>2.8571428571428572</v>
      </c>
      <c r="AT24" s="5">
        <f t="shared" si="28"/>
        <v>0.72064785667712439</v>
      </c>
      <c r="AU24" s="5">
        <f t="shared" si="56"/>
        <v>2.1364950004657328</v>
      </c>
      <c r="AV24" s="5">
        <f t="shared" si="29"/>
        <v>0.52730330976374951</v>
      </c>
      <c r="AW24" s="177">
        <f t="shared" si="57"/>
        <v>0.2522267498369935</v>
      </c>
      <c r="AX24" s="177">
        <f t="shared" si="30"/>
        <v>1.4541333333333333</v>
      </c>
      <c r="AY24" s="177">
        <f t="shared" si="31"/>
        <v>0.35925412667363854</v>
      </c>
      <c r="AZ24" s="177">
        <f t="shared" si="58"/>
        <v>4.0476454558706534</v>
      </c>
      <c r="BA24" s="469">
        <f t="shared" si="32"/>
        <v>19.587372721622344</v>
      </c>
      <c r="BB24" s="469">
        <f t="shared" si="33"/>
        <v>1.3308711695014666</v>
      </c>
      <c r="BC24" s="5">
        <f t="shared" si="34"/>
        <v>0.40781337439445436</v>
      </c>
      <c r="BD24" s="469">
        <f t="shared" si="35"/>
        <v>24.812385797000598</v>
      </c>
      <c r="BE24" s="5"/>
      <c r="BF24" s="177">
        <f t="shared" si="59"/>
        <v>0.27861005139793088</v>
      </c>
      <c r="BG24" s="177">
        <f t="shared" si="36"/>
        <v>0.4797181731806659</v>
      </c>
      <c r="BH24" s="177"/>
      <c r="BI24" s="538">
        <f t="shared" si="37"/>
        <v>8.5385916813953463E-3</v>
      </c>
      <c r="BJ24" s="538">
        <f t="shared" si="38"/>
        <v>4.7754931302470771E-2</v>
      </c>
      <c r="BK24" s="538">
        <f t="shared" si="39"/>
        <v>1.7499999999999998E-2</v>
      </c>
      <c r="BL24" s="538">
        <f t="shared" si="40"/>
        <v>6.3516599999999993E-2</v>
      </c>
      <c r="BM24">
        <f t="shared" si="41"/>
        <v>3.48E-3</v>
      </c>
      <c r="BN24">
        <f t="shared" si="42"/>
        <v>2.4500000000000003E-5</v>
      </c>
      <c r="BO24" s="538">
        <f t="shared" si="43"/>
        <v>0.14103680816364464</v>
      </c>
      <c r="BP24" s="469">
        <f t="shared" si="60"/>
        <v>141.03680816364465</v>
      </c>
      <c r="BQ24" s="538">
        <f t="shared" si="44"/>
        <v>7.1819999999999995E-2</v>
      </c>
      <c r="BR24" s="538"/>
      <c r="BT24" s="469">
        <f t="shared" si="61"/>
        <v>71.819999999999993</v>
      </c>
      <c r="BU24" s="538">
        <f t="shared" si="45"/>
        <v>3.7259309155179689E-3</v>
      </c>
      <c r="BV24" s="538">
        <f t="shared" si="46"/>
        <v>5.5231086163150887E-2</v>
      </c>
      <c r="BW24" s="538">
        <f t="shared" si="47"/>
        <v>0</v>
      </c>
      <c r="BX24" s="538">
        <f t="shared" si="48"/>
        <v>5.9236409237958566E-2</v>
      </c>
      <c r="BY24" s="538">
        <f t="shared" si="49"/>
        <v>1.6157037037037032E-2</v>
      </c>
      <c r="BZ24" s="469">
        <f t="shared" si="62"/>
        <v>75.393446274995597</v>
      </c>
      <c r="CA24" s="177">
        <f t="shared" si="63"/>
        <v>0.28825025443864022</v>
      </c>
      <c r="CB24" s="5">
        <f t="shared" si="64"/>
        <v>1.2368999999999999</v>
      </c>
      <c r="CC24" s="177">
        <f t="shared" si="65"/>
        <v>0.81100206120692275</v>
      </c>
      <c r="CD24" s="5">
        <f t="shared" si="66"/>
        <v>81.100206120692278</v>
      </c>
      <c r="CG24" s="571">
        <f t="shared" si="50"/>
        <v>-50</v>
      </c>
      <c r="CH24">
        <f t="shared" si="51"/>
        <v>-50</v>
      </c>
    </row>
    <row r="25" spans="5:86" x14ac:dyDescent="0.2">
      <c r="E25" s="174">
        <v>20</v>
      </c>
      <c r="F25" s="221">
        <f t="shared" si="52"/>
        <v>8.4000000000000005E-2</v>
      </c>
      <c r="G25" s="221"/>
      <c r="H25" s="221">
        <f t="shared" si="0"/>
        <v>1.302</v>
      </c>
      <c r="I25" s="551">
        <f t="shared" si="1"/>
        <v>12</v>
      </c>
      <c r="J25" s="176">
        <f t="shared" si="2"/>
        <v>16.399999999999999</v>
      </c>
      <c r="K25" s="451">
        <f t="shared" si="3"/>
        <v>28.4</v>
      </c>
      <c r="L25" s="451"/>
      <c r="M25" s="221">
        <f t="shared" si="4"/>
        <v>0.57746478873239437</v>
      </c>
      <c r="N25" s="176">
        <f t="shared" si="5"/>
        <v>12.78507042253521</v>
      </c>
      <c r="O25" s="176">
        <f t="shared" si="53"/>
        <v>1.302</v>
      </c>
      <c r="P25" s="221">
        <f t="shared" si="6"/>
        <v>0.82484325306678774</v>
      </c>
      <c r="Q25" s="221">
        <f t="shared" si="7"/>
        <v>15.5</v>
      </c>
      <c r="R25" s="221">
        <f t="shared" si="8"/>
        <v>0.91649250340754196</v>
      </c>
      <c r="S25" s="176">
        <f t="shared" si="9"/>
        <v>251.61419844364391</v>
      </c>
      <c r="T25" s="176">
        <f t="shared" si="10"/>
        <v>15.5</v>
      </c>
      <c r="U25" s="221">
        <f t="shared" si="11"/>
        <v>0.41753387533875336</v>
      </c>
      <c r="V25" s="221">
        <f t="shared" si="12"/>
        <v>0.313150406504065</v>
      </c>
      <c r="W25" s="221">
        <f t="shared" si="13"/>
        <v>0.22913444378346223</v>
      </c>
      <c r="X25" s="201">
        <f t="shared" si="14"/>
        <v>350</v>
      </c>
      <c r="Y25" s="451">
        <f t="shared" si="54"/>
        <v>350</v>
      </c>
      <c r="AA25" s="221">
        <f t="shared" si="15"/>
        <v>2.1998658618376927</v>
      </c>
      <c r="AB25" s="177">
        <f t="shared" si="16"/>
        <v>1.2072434607645877</v>
      </c>
      <c r="AC25" s="177">
        <f t="shared" si="17"/>
        <v>0.46476039334599145</v>
      </c>
      <c r="AD25" s="177"/>
      <c r="AE25" s="177">
        <f t="shared" si="18"/>
        <v>0.45</v>
      </c>
      <c r="AF25" s="555">
        <f t="shared" si="19"/>
        <v>455.28455284552854</v>
      </c>
      <c r="AG25" s="538">
        <f t="shared" si="20"/>
        <v>6.4574999999999994E-2</v>
      </c>
      <c r="AI25" s="177">
        <f t="shared" si="21"/>
        <v>0.98582546723639253</v>
      </c>
      <c r="AJ25" s="177">
        <f t="shared" si="22"/>
        <v>0.98582546723639253</v>
      </c>
      <c r="AK25" s="177">
        <f t="shared" si="23"/>
        <v>1.3105503114909283</v>
      </c>
      <c r="AM25" s="555">
        <f t="shared" si="24"/>
        <v>84</v>
      </c>
      <c r="AN25" s="469">
        <f t="shared" si="25"/>
        <v>350</v>
      </c>
      <c r="AP25">
        <f t="shared" si="26"/>
        <v>84</v>
      </c>
      <c r="AQ25" s="469">
        <f t="shared" si="27"/>
        <v>350</v>
      </c>
      <c r="AR25" s="469"/>
      <c r="AS25" s="5">
        <f t="shared" si="55"/>
        <v>2.8571428571428572</v>
      </c>
      <c r="AT25" s="5">
        <f t="shared" si="28"/>
        <v>0.73936910042729442</v>
      </c>
      <c r="AU25" s="5">
        <f t="shared" si="56"/>
        <v>2.1177737567155628</v>
      </c>
      <c r="AV25" s="5">
        <f t="shared" si="29"/>
        <v>0.54100178080045935</v>
      </c>
      <c r="AW25" s="177">
        <f t="shared" si="57"/>
        <v>0.25877918514955306</v>
      </c>
      <c r="AX25" s="177">
        <f t="shared" si="30"/>
        <v>1.5306666666666664</v>
      </c>
      <c r="AY25" s="177">
        <f t="shared" si="31"/>
        <v>0.36535717806264068</v>
      </c>
      <c r="AZ25" s="177">
        <f t="shared" si="58"/>
        <v>4.1895075793590477</v>
      </c>
      <c r="BA25" s="469">
        <f t="shared" si="32"/>
        <v>19.587372721622344</v>
      </c>
      <c r="BB25" s="469">
        <f t="shared" si="33"/>
        <v>1.465807390029326</v>
      </c>
      <c r="BC25" s="5">
        <f t="shared" si="34"/>
        <v>0.42551565296970106</v>
      </c>
      <c r="BD25" s="469">
        <f t="shared" si="35"/>
        <v>25.892605844848728</v>
      </c>
      <c r="BE25" s="5"/>
      <c r="BF25" s="177">
        <f t="shared" si="59"/>
        <v>0.28953700414529998</v>
      </c>
      <c r="BG25" s="177">
        <f t="shared" si="36"/>
        <v>0.49001932667448439</v>
      </c>
      <c r="BH25" s="177"/>
      <c r="BI25" s="538">
        <f t="shared" si="37"/>
        <v>9.2214844446378997E-3</v>
      </c>
      <c r="BJ25" s="538">
        <f t="shared" si="38"/>
        <v>4.8995525721648711E-2</v>
      </c>
      <c r="BK25" s="538">
        <f t="shared" si="39"/>
        <v>1.7499999999999998E-2</v>
      </c>
      <c r="BL25" s="538">
        <f t="shared" si="40"/>
        <v>6.3516599999999993E-2</v>
      </c>
      <c r="BM25">
        <f t="shared" si="41"/>
        <v>3.48E-3</v>
      </c>
      <c r="BN25">
        <f t="shared" si="42"/>
        <v>2.4500000000000003E-5</v>
      </c>
      <c r="BO25" s="538">
        <f t="shared" si="43"/>
        <v>0.14298137351069565</v>
      </c>
      <c r="BP25" s="469">
        <f t="shared" si="60"/>
        <v>142.98137351069565</v>
      </c>
      <c r="BQ25" s="538">
        <f t="shared" si="44"/>
        <v>7.5600000000000001E-2</v>
      </c>
      <c r="BR25" s="538"/>
      <c r="BT25" s="469">
        <f t="shared" si="61"/>
        <v>75.599999999999994</v>
      </c>
      <c r="BU25" s="538">
        <f t="shared" si="45"/>
        <v>4.0239204849329023E-3</v>
      </c>
      <c r="BV25" s="538">
        <f t="shared" si="46"/>
        <v>5.762854572348361E-2</v>
      </c>
      <c r="BW25" s="538">
        <f t="shared" si="47"/>
        <v>0</v>
      </c>
      <c r="BX25" s="538">
        <f t="shared" si="48"/>
        <v>6.1958055562569343E-2</v>
      </c>
      <c r="BY25" s="538">
        <f t="shared" si="49"/>
        <v>1.7007407407407405E-2</v>
      </c>
      <c r="BZ25" s="469">
        <f t="shared" si="62"/>
        <v>78.965462969976755</v>
      </c>
      <c r="CA25" s="177">
        <f t="shared" si="63"/>
        <v>0.29754683648067243</v>
      </c>
      <c r="CB25" s="5">
        <f t="shared" si="64"/>
        <v>1.302</v>
      </c>
      <c r="CC25" s="177">
        <f t="shared" si="65"/>
        <v>0.81398054142926146</v>
      </c>
      <c r="CD25" s="5">
        <f t="shared" si="66"/>
        <v>81.398054142926142</v>
      </c>
      <c r="CG25" s="571">
        <f t="shared" si="50"/>
        <v>-50</v>
      </c>
      <c r="CH25">
        <f t="shared" si="51"/>
        <v>-50</v>
      </c>
    </row>
    <row r="26" spans="5:86" x14ac:dyDescent="0.2">
      <c r="E26" s="174">
        <v>21</v>
      </c>
      <c r="F26" s="221">
        <f t="shared" si="52"/>
        <v>8.8199999999999987E-2</v>
      </c>
      <c r="G26" s="221"/>
      <c r="H26" s="221">
        <f t="shared" si="0"/>
        <v>1.3670999999999998</v>
      </c>
      <c r="I26" s="551">
        <f t="shared" si="1"/>
        <v>12</v>
      </c>
      <c r="J26" s="176">
        <f t="shared" si="2"/>
        <v>16.399999999999999</v>
      </c>
      <c r="K26" s="451">
        <f t="shared" si="3"/>
        <v>28.4</v>
      </c>
      <c r="L26" s="451"/>
      <c r="M26" s="221">
        <f t="shared" si="4"/>
        <v>0.57746478873239437</v>
      </c>
      <c r="N26" s="176">
        <f t="shared" si="5"/>
        <v>12.78507042253521</v>
      </c>
      <c r="O26" s="176">
        <f t="shared" si="53"/>
        <v>1.3670999999999998</v>
      </c>
      <c r="P26" s="221">
        <f t="shared" si="6"/>
        <v>0.82484325306678774</v>
      </c>
      <c r="Q26" s="221">
        <f t="shared" si="7"/>
        <v>15.5</v>
      </c>
      <c r="R26" s="221">
        <f t="shared" si="8"/>
        <v>0.91649250340754196</v>
      </c>
      <c r="S26" s="176">
        <f t="shared" si="9"/>
        <v>239.06541464895329</v>
      </c>
      <c r="T26" s="176">
        <f t="shared" si="10"/>
        <v>15.5</v>
      </c>
      <c r="U26" s="221">
        <f t="shared" si="11"/>
        <v>0.43841056910569093</v>
      </c>
      <c r="V26" s="221">
        <f t="shared" si="12"/>
        <v>0.32880792682926824</v>
      </c>
      <c r="W26" s="221">
        <f t="shared" si="13"/>
        <v>0.24059116597263527</v>
      </c>
      <c r="X26" s="201">
        <f t="shared" si="14"/>
        <v>350</v>
      </c>
      <c r="Y26" s="451">
        <f t="shared" si="54"/>
        <v>350</v>
      </c>
      <c r="AA26" s="221">
        <f t="shared" si="15"/>
        <v>2.1998658618376927</v>
      </c>
      <c r="AB26" s="177">
        <f t="shared" si="16"/>
        <v>1.2072434607645877</v>
      </c>
      <c r="AC26" s="177">
        <f t="shared" si="17"/>
        <v>0.46476039334599145</v>
      </c>
      <c r="AD26" s="177"/>
      <c r="AE26" s="177">
        <f t="shared" si="18"/>
        <v>0.45</v>
      </c>
      <c r="AF26" s="555">
        <f t="shared" si="19"/>
        <v>478.04878048780483</v>
      </c>
      <c r="AG26" s="538">
        <f t="shared" si="20"/>
        <v>6.4574999999999994E-2</v>
      </c>
      <c r="AI26" s="177">
        <f t="shared" si="21"/>
        <v>1.0101705026600432</v>
      </c>
      <c r="AJ26" s="177">
        <f t="shared" si="22"/>
        <v>1.0101705026600432</v>
      </c>
      <c r="AK26" s="177">
        <f t="shared" si="23"/>
        <v>1.3267803351066954</v>
      </c>
      <c r="AM26" s="555">
        <f t="shared" si="24"/>
        <v>88.199999999999989</v>
      </c>
      <c r="AN26" s="469">
        <f t="shared" si="25"/>
        <v>350</v>
      </c>
      <c r="AP26">
        <f t="shared" si="26"/>
        <v>88.199999999999989</v>
      </c>
      <c r="AQ26" s="469">
        <f t="shared" si="27"/>
        <v>350</v>
      </c>
      <c r="AR26" s="469"/>
      <c r="AS26" s="5">
        <f t="shared" si="55"/>
        <v>2.8571428571428572</v>
      </c>
      <c r="AT26" s="5">
        <f t="shared" si="28"/>
        <v>0.75762787699503242</v>
      </c>
      <c r="AU26" s="5">
        <f t="shared" si="56"/>
        <v>2.0995149801478248</v>
      </c>
      <c r="AV26" s="5">
        <f t="shared" si="29"/>
        <v>0.55436186121587738</v>
      </c>
      <c r="AW26" s="177">
        <f t="shared" si="57"/>
        <v>0.26516975694826134</v>
      </c>
      <c r="AX26" s="177">
        <f t="shared" si="30"/>
        <v>1.6071999999999997</v>
      </c>
      <c r="AY26" s="177">
        <f t="shared" si="31"/>
        <v>0.37115191799668823</v>
      </c>
      <c r="AZ26" s="177">
        <f t="shared" si="58"/>
        <v>4.3303022888173262</v>
      </c>
      <c r="BA26" s="469">
        <f t="shared" si="32"/>
        <v>19.587372721622344</v>
      </c>
      <c r="BB26" s="469">
        <f t="shared" si="33"/>
        <v>1.6072326475073313</v>
      </c>
      <c r="BC26" s="5">
        <f t="shared" si="34"/>
        <v>0.44293934095063114</v>
      </c>
      <c r="BD26" s="469">
        <f t="shared" si="35"/>
        <v>26.95611045703788</v>
      </c>
      <c r="BE26" s="5"/>
      <c r="BF26" s="177">
        <f t="shared" si="59"/>
        <v>0.30032815680659319</v>
      </c>
      <c r="BG26" s="177">
        <f t="shared" si="36"/>
        <v>0.49995114399039275</v>
      </c>
      <c r="BH26" s="177"/>
      <c r="BI26" s="538">
        <f t="shared" si="37"/>
        <v>9.9216701947930207E-3</v>
      </c>
      <c r="BJ26" s="538">
        <f t="shared" si="38"/>
        <v>5.0205473982204145E-2</v>
      </c>
      <c r="BK26" s="538">
        <f t="shared" si="39"/>
        <v>1.7499999999999998E-2</v>
      </c>
      <c r="BL26" s="538">
        <f t="shared" si="40"/>
        <v>6.3516599999999993E-2</v>
      </c>
      <c r="BM26">
        <f t="shared" si="41"/>
        <v>3.48E-3</v>
      </c>
      <c r="BN26">
        <f t="shared" si="42"/>
        <v>2.4500000000000003E-5</v>
      </c>
      <c r="BO26" s="538">
        <f t="shared" si="43"/>
        <v>0.14491351534455726</v>
      </c>
      <c r="BP26" s="469">
        <f t="shared" si="60"/>
        <v>144.91351534455725</v>
      </c>
      <c r="BQ26" s="538">
        <f t="shared" si="44"/>
        <v>7.9379999999999992E-2</v>
      </c>
      <c r="BR26" s="538"/>
      <c r="BT26" s="469">
        <f t="shared" si="61"/>
        <v>79.38</v>
      </c>
      <c r="BU26" s="538">
        <f t="shared" si="45"/>
        <v>4.3294560850005905E-3</v>
      </c>
      <c r="BV26" s="538">
        <f t="shared" si="46"/>
        <v>5.9988275130552576E-2</v>
      </c>
      <c r="BW26" s="538">
        <f t="shared" si="47"/>
        <v>0</v>
      </c>
      <c r="BX26" s="538">
        <f t="shared" si="48"/>
        <v>6.4650384499812447E-2</v>
      </c>
      <c r="BY26" s="538">
        <f t="shared" si="49"/>
        <v>1.7857777777777775E-2</v>
      </c>
      <c r="BZ26" s="469">
        <f t="shared" si="62"/>
        <v>82.50816227759023</v>
      </c>
      <c r="CA26" s="177">
        <f t="shared" si="63"/>
        <v>0.3068016776221475</v>
      </c>
      <c r="CB26" s="5">
        <f t="shared" si="64"/>
        <v>1.3670999999999998</v>
      </c>
      <c r="CC26" s="177">
        <f t="shared" si="65"/>
        <v>0.81671463639490882</v>
      </c>
      <c r="CD26" s="5">
        <f t="shared" si="66"/>
        <v>81.671463639490881</v>
      </c>
      <c r="CG26" s="571">
        <f t="shared" si="50"/>
        <v>-50</v>
      </c>
      <c r="CH26">
        <f t="shared" si="51"/>
        <v>-50</v>
      </c>
    </row>
    <row r="27" spans="5:86" x14ac:dyDescent="0.2">
      <c r="E27" s="174">
        <v>22</v>
      </c>
      <c r="F27" s="221">
        <f t="shared" si="52"/>
        <v>9.2399999999999996E-2</v>
      </c>
      <c r="G27" s="221"/>
      <c r="H27" s="221">
        <f t="shared" si="0"/>
        <v>1.4321999999999999</v>
      </c>
      <c r="I27" s="551">
        <f t="shared" si="1"/>
        <v>12</v>
      </c>
      <c r="J27" s="176">
        <f t="shared" si="2"/>
        <v>16.399999999999999</v>
      </c>
      <c r="K27" s="451">
        <f t="shared" si="3"/>
        <v>28.4</v>
      </c>
      <c r="L27" s="451"/>
      <c r="M27" s="221">
        <f t="shared" si="4"/>
        <v>0.57746478873239437</v>
      </c>
      <c r="N27" s="176">
        <f t="shared" si="5"/>
        <v>12.78507042253521</v>
      </c>
      <c r="O27" s="176">
        <f t="shared" si="53"/>
        <v>1.4321999999999999</v>
      </c>
      <c r="P27" s="221">
        <f t="shared" si="6"/>
        <v>0.82484325306678774</v>
      </c>
      <c r="Q27" s="221">
        <f t="shared" si="7"/>
        <v>15.5</v>
      </c>
      <c r="R27" s="221">
        <f t="shared" si="8"/>
        <v>0.91649250340754196</v>
      </c>
      <c r="S27" s="176">
        <f t="shared" si="9"/>
        <v>227.65764246040916</v>
      </c>
      <c r="T27" s="176">
        <f t="shared" si="10"/>
        <v>15.5</v>
      </c>
      <c r="U27" s="221">
        <f t="shared" si="11"/>
        <v>0.45928726287262867</v>
      </c>
      <c r="V27" s="221">
        <f t="shared" si="12"/>
        <v>0.34446544715447153</v>
      </c>
      <c r="W27" s="221">
        <f t="shared" si="13"/>
        <v>0.25204788816180845</v>
      </c>
      <c r="X27" s="201">
        <f t="shared" si="14"/>
        <v>350</v>
      </c>
      <c r="Y27" s="451">
        <f t="shared" si="54"/>
        <v>350</v>
      </c>
      <c r="AA27" s="221">
        <f t="shared" si="15"/>
        <v>2.1998658618376927</v>
      </c>
      <c r="AB27" s="177">
        <f t="shared" si="16"/>
        <v>1.2072434607645877</v>
      </c>
      <c r="AC27" s="177">
        <f t="shared" si="17"/>
        <v>0.46476039334599145</v>
      </c>
      <c r="AD27" s="177"/>
      <c r="AE27" s="177">
        <f t="shared" si="18"/>
        <v>0.45</v>
      </c>
      <c r="AF27" s="555">
        <f t="shared" si="19"/>
        <v>500.8130081300813</v>
      </c>
      <c r="AG27" s="538">
        <f t="shared" si="20"/>
        <v>6.4574999999999994E-2</v>
      </c>
      <c r="AI27" s="177">
        <f t="shared" si="21"/>
        <v>1.0339424727890023</v>
      </c>
      <c r="AJ27" s="177">
        <f t="shared" si="22"/>
        <v>1.0339424727890023</v>
      </c>
      <c r="AK27" s="177">
        <f t="shared" si="23"/>
        <v>1.3426283151926681</v>
      </c>
      <c r="AM27" s="555">
        <f t="shared" si="24"/>
        <v>92.399999999999991</v>
      </c>
      <c r="AN27" s="469">
        <f t="shared" si="25"/>
        <v>350</v>
      </c>
      <c r="AP27">
        <f t="shared" si="26"/>
        <v>92.399999999999991</v>
      </c>
      <c r="AQ27" s="469">
        <f t="shared" si="27"/>
        <v>350</v>
      </c>
      <c r="AR27" s="469"/>
      <c r="AS27" s="5">
        <f t="shared" si="55"/>
        <v>2.8571428571428572</v>
      </c>
      <c r="AT27" s="5">
        <f t="shared" si="28"/>
        <v>0.77545685459175173</v>
      </c>
      <c r="AU27" s="5">
        <f t="shared" si="56"/>
        <v>2.0816860025511055</v>
      </c>
      <c r="AV27" s="5">
        <f t="shared" si="29"/>
        <v>0.56740745457933062</v>
      </c>
      <c r="AW27" s="177">
        <f t="shared" si="57"/>
        <v>0.27140989910711311</v>
      </c>
      <c r="AX27" s="177">
        <f t="shared" si="30"/>
        <v>1.6837333333333329</v>
      </c>
      <c r="AY27" s="177">
        <f t="shared" si="31"/>
        <v>0.3766601252833901</v>
      </c>
      <c r="AZ27" s="177">
        <f t="shared" si="58"/>
        <v>4.470166126734366</v>
      </c>
      <c r="BA27" s="469">
        <f t="shared" si="32"/>
        <v>19.587372721622344</v>
      </c>
      <c r="BB27" s="469">
        <f t="shared" si="33"/>
        <v>1.7551469419354844</v>
      </c>
      <c r="BC27" s="5">
        <f t="shared" si="34"/>
        <v>0.46009115630458214</v>
      </c>
      <c r="BD27" s="469">
        <f t="shared" si="35"/>
        <v>28.003302711608267</v>
      </c>
      <c r="BE27" s="5"/>
      <c r="BF27" s="177">
        <f t="shared" si="59"/>
        <v>0.31099155099133552</v>
      </c>
      <c r="BG27" s="177">
        <f t="shared" si="36"/>
        <v>0.50953894279470846</v>
      </c>
      <c r="BH27" s="177"/>
      <c r="BI27" s="538">
        <f t="shared" si="37"/>
        <v>1.0638731926679608E-2</v>
      </c>
      <c r="BJ27" s="538">
        <f t="shared" si="38"/>
        <v>5.1386940897613413E-2</v>
      </c>
      <c r="BK27" s="538">
        <f t="shared" si="39"/>
        <v>1.7499999999999998E-2</v>
      </c>
      <c r="BL27" s="538">
        <f t="shared" si="40"/>
        <v>6.3516599999999993E-2</v>
      </c>
      <c r="BM27">
        <f t="shared" si="41"/>
        <v>3.48E-3</v>
      </c>
      <c r="BN27">
        <f t="shared" si="42"/>
        <v>2.4500000000000003E-5</v>
      </c>
      <c r="BO27" s="538">
        <f t="shared" si="43"/>
        <v>0.14683498729771316</v>
      </c>
      <c r="BP27" s="469">
        <f t="shared" si="60"/>
        <v>146.83498729771316</v>
      </c>
      <c r="BQ27" s="538">
        <f t="shared" si="44"/>
        <v>8.3159999999999998E-2</v>
      </c>
      <c r="BR27" s="538"/>
      <c r="BT27" s="469">
        <f t="shared" si="61"/>
        <v>83.16</v>
      </c>
      <c r="BU27" s="538">
        <f t="shared" si="45"/>
        <v>4.6423557498238288E-3</v>
      </c>
      <c r="BV27" s="538">
        <f t="shared" si="46"/>
        <v>6.2311184213843795E-2</v>
      </c>
      <c r="BW27" s="538">
        <f t="shared" si="47"/>
        <v>0</v>
      </c>
      <c r="BX27" s="538">
        <f t="shared" si="48"/>
        <v>6.7314093310594736E-2</v>
      </c>
      <c r="BY27" s="538">
        <f t="shared" si="49"/>
        <v>1.8708148148148144E-2</v>
      </c>
      <c r="BZ27" s="469">
        <f t="shared" si="62"/>
        <v>86.022241458742883</v>
      </c>
      <c r="CA27" s="177">
        <f t="shared" si="63"/>
        <v>0.31601722875645605</v>
      </c>
      <c r="CB27" s="5">
        <f t="shared" si="64"/>
        <v>1.4321999999999999</v>
      </c>
      <c r="CC27" s="177">
        <f t="shared" si="65"/>
        <v>0.8192345759106574</v>
      </c>
      <c r="CD27" s="5">
        <f t="shared" si="66"/>
        <v>81.923457591065741</v>
      </c>
      <c r="CG27" s="571">
        <f t="shared" si="50"/>
        <v>-50</v>
      </c>
      <c r="CH27">
        <f t="shared" si="51"/>
        <v>-50</v>
      </c>
    </row>
    <row r="28" spans="5:86" x14ac:dyDescent="0.2">
      <c r="E28" s="174">
        <v>23</v>
      </c>
      <c r="F28" s="221">
        <f t="shared" si="52"/>
        <v>9.6600000000000005E-2</v>
      </c>
      <c r="G28" s="221"/>
      <c r="H28" s="221">
        <f t="shared" si="0"/>
        <v>1.4973000000000001</v>
      </c>
      <c r="I28" s="551">
        <f t="shared" si="1"/>
        <v>12</v>
      </c>
      <c r="J28" s="176">
        <f t="shared" si="2"/>
        <v>16.399999999999999</v>
      </c>
      <c r="K28" s="451">
        <f t="shared" si="3"/>
        <v>28.4</v>
      </c>
      <c r="L28" s="451"/>
      <c r="M28" s="221">
        <f t="shared" si="4"/>
        <v>0.57746478873239437</v>
      </c>
      <c r="N28" s="176">
        <f t="shared" si="5"/>
        <v>12.78507042253521</v>
      </c>
      <c r="O28" s="176">
        <f t="shared" si="53"/>
        <v>1.4973000000000001</v>
      </c>
      <c r="P28" s="221">
        <f t="shared" si="6"/>
        <v>0.82484325306678774</v>
      </c>
      <c r="Q28" s="221">
        <f t="shared" si="7"/>
        <v>15.5</v>
      </c>
      <c r="R28" s="221">
        <f t="shared" si="8"/>
        <v>0.91649250340754196</v>
      </c>
      <c r="S28" s="176">
        <f t="shared" si="9"/>
        <v>217.24205560662949</v>
      </c>
      <c r="T28" s="176">
        <f t="shared" si="10"/>
        <v>15.5</v>
      </c>
      <c r="U28" s="221">
        <f t="shared" si="11"/>
        <v>0.4801639566395664</v>
      </c>
      <c r="V28" s="221">
        <f t="shared" si="12"/>
        <v>0.36012296747967487</v>
      </c>
      <c r="W28" s="221">
        <f t="shared" si="13"/>
        <v>0.26350461035098161</v>
      </c>
      <c r="X28" s="201">
        <f t="shared" si="14"/>
        <v>350</v>
      </c>
      <c r="Y28" s="451">
        <f t="shared" si="54"/>
        <v>350</v>
      </c>
      <c r="AA28" s="221">
        <f t="shared" si="15"/>
        <v>2.1998658618376927</v>
      </c>
      <c r="AB28" s="177">
        <f t="shared" si="16"/>
        <v>1.2072434607645877</v>
      </c>
      <c r="AC28" s="177">
        <f t="shared" si="17"/>
        <v>0.46476039334599145</v>
      </c>
      <c r="AD28" s="177"/>
      <c r="AE28" s="177">
        <f t="shared" si="18"/>
        <v>0.45</v>
      </c>
      <c r="AF28" s="555">
        <f t="shared" si="19"/>
        <v>523.57723577235777</v>
      </c>
      <c r="AG28" s="538">
        <f t="shared" si="20"/>
        <v>6.4574999999999994E-2</v>
      </c>
      <c r="AI28" s="177">
        <f t="shared" si="21"/>
        <v>1.0571800365262436</v>
      </c>
      <c r="AJ28" s="177">
        <f t="shared" si="22"/>
        <v>1.0571800365262436</v>
      </c>
      <c r="AK28" s="177">
        <f t="shared" si="23"/>
        <v>1.3581200243508291</v>
      </c>
      <c r="AM28" s="555">
        <f t="shared" si="24"/>
        <v>96.600000000000009</v>
      </c>
      <c r="AN28" s="469">
        <f t="shared" si="25"/>
        <v>350</v>
      </c>
      <c r="AP28">
        <f t="shared" si="26"/>
        <v>96.600000000000009</v>
      </c>
      <c r="AQ28" s="469">
        <f t="shared" si="27"/>
        <v>350</v>
      </c>
      <c r="AR28" s="469"/>
      <c r="AS28" s="5">
        <f t="shared" si="55"/>
        <v>2.8571428571428572</v>
      </c>
      <c r="AT28" s="5">
        <f t="shared" si="28"/>
        <v>0.7928850273946827</v>
      </c>
      <c r="AU28" s="5">
        <f t="shared" si="56"/>
        <v>2.0642578297481746</v>
      </c>
      <c r="AV28" s="5">
        <f t="shared" si="29"/>
        <v>0.58015977614245073</v>
      </c>
      <c r="AW28" s="177">
        <f t="shared" si="57"/>
        <v>0.27750975958813895</v>
      </c>
      <c r="AX28" s="177">
        <f t="shared" si="30"/>
        <v>1.7602666666666669</v>
      </c>
      <c r="AY28" s="177">
        <f t="shared" si="31"/>
        <v>0.38190112937423287</v>
      </c>
      <c r="AZ28" s="177">
        <f t="shared" si="58"/>
        <v>4.6092208984848142</v>
      </c>
      <c r="BA28" s="469">
        <f t="shared" si="32"/>
        <v>19.587372721622344</v>
      </c>
      <c r="BB28" s="469">
        <f t="shared" si="33"/>
        <v>1.9095502733137837</v>
      </c>
      <c r="BC28" s="5">
        <f t="shared" si="34"/>
        <v>0.47697735316079343</v>
      </c>
      <c r="BD28" s="469">
        <f t="shared" si="35"/>
        <v>29.034557856314276</v>
      </c>
      <c r="BE28" s="5"/>
      <c r="BF28" s="177">
        <f t="shared" si="59"/>
        <v>0.32153440968119273</v>
      </c>
      <c r="BG28" s="177">
        <f t="shared" si="36"/>
        <v>0.51880519780309653</v>
      </c>
      <c r="BH28" s="177"/>
      <c r="BI28" s="538">
        <f t="shared" si="37"/>
        <v>1.137228142699364E-2</v>
      </c>
      <c r="BJ28" s="538">
        <f t="shared" si="38"/>
        <v>5.2541847815354308E-2</v>
      </c>
      <c r="BK28" s="538">
        <f t="shared" si="39"/>
        <v>1.7499999999999998E-2</v>
      </c>
      <c r="BL28" s="538">
        <f t="shared" si="40"/>
        <v>6.3516599999999993E-2</v>
      </c>
      <c r="BM28">
        <f t="shared" si="41"/>
        <v>3.48E-3</v>
      </c>
      <c r="BN28">
        <f t="shared" si="42"/>
        <v>2.4500000000000003E-5</v>
      </c>
      <c r="BO28" s="538">
        <f t="shared" si="43"/>
        <v>0.14874732879374858</v>
      </c>
      <c r="BP28" s="469">
        <f t="shared" si="60"/>
        <v>148.74732879374858</v>
      </c>
      <c r="BQ28" s="538">
        <f t="shared" si="44"/>
        <v>8.6940000000000003E-2</v>
      </c>
      <c r="BR28" s="538"/>
      <c r="BT28" s="469">
        <f t="shared" si="61"/>
        <v>86.94</v>
      </c>
      <c r="BU28" s="538">
        <f t="shared" si="45"/>
        <v>4.9624500772335886E-3</v>
      </c>
      <c r="BV28" s="538">
        <f t="shared" si="46"/>
        <v>6.4598119984202423E-2</v>
      </c>
      <c r="BW28" s="538">
        <f t="shared" si="47"/>
        <v>0</v>
      </c>
      <c r="BX28" s="538">
        <f t="shared" si="48"/>
        <v>6.9949830065842461E-2</v>
      </c>
      <c r="BY28" s="538">
        <f t="shared" si="49"/>
        <v>1.955851851851852E-2</v>
      </c>
      <c r="BZ28" s="469">
        <f t="shared" si="62"/>
        <v>89.508348584360974</v>
      </c>
      <c r="CA28" s="177">
        <f t="shared" si="63"/>
        <v>0.32519567737810962</v>
      </c>
      <c r="CB28" s="5">
        <f t="shared" si="64"/>
        <v>1.4973000000000001</v>
      </c>
      <c r="CC28" s="177">
        <f t="shared" si="65"/>
        <v>0.82156573460522853</v>
      </c>
      <c r="CD28" s="5">
        <f t="shared" si="66"/>
        <v>82.15657346052285</v>
      </c>
      <c r="CG28" s="571">
        <f t="shared" si="50"/>
        <v>-50</v>
      </c>
      <c r="CH28">
        <f t="shared" si="51"/>
        <v>-50</v>
      </c>
    </row>
    <row r="29" spans="5:86" x14ac:dyDescent="0.2">
      <c r="E29" s="174">
        <v>24</v>
      </c>
      <c r="F29" s="221">
        <f t="shared" si="52"/>
        <v>0.10079999999999999</v>
      </c>
      <c r="G29" s="221"/>
      <c r="H29" s="221">
        <f t="shared" si="0"/>
        <v>1.5623999999999998</v>
      </c>
      <c r="I29" s="551">
        <f t="shared" si="1"/>
        <v>12</v>
      </c>
      <c r="J29" s="176">
        <f t="shared" si="2"/>
        <v>16.399999999999999</v>
      </c>
      <c r="K29" s="451">
        <f t="shared" si="3"/>
        <v>28.4</v>
      </c>
      <c r="L29" s="451"/>
      <c r="M29" s="221">
        <f t="shared" si="4"/>
        <v>0.57746478873239437</v>
      </c>
      <c r="N29" s="176">
        <f t="shared" si="5"/>
        <v>12.78507042253521</v>
      </c>
      <c r="O29" s="176">
        <f t="shared" si="53"/>
        <v>1.5623999999999998</v>
      </c>
      <c r="P29" s="221">
        <f t="shared" si="6"/>
        <v>0.82484325306678774</v>
      </c>
      <c r="Q29" s="221">
        <f t="shared" si="7"/>
        <v>15.5</v>
      </c>
      <c r="R29" s="221">
        <f t="shared" si="8"/>
        <v>0.91649250340754196</v>
      </c>
      <c r="S29" s="176">
        <f t="shared" si="9"/>
        <v>207.69463220478394</v>
      </c>
      <c r="T29" s="176">
        <f t="shared" si="10"/>
        <v>15.5</v>
      </c>
      <c r="U29" s="221">
        <f t="shared" si="11"/>
        <v>0.50104065040650392</v>
      </c>
      <c r="V29" s="221">
        <f t="shared" si="12"/>
        <v>0.37578048780487794</v>
      </c>
      <c r="W29" s="221">
        <f t="shared" si="13"/>
        <v>0.27496133254015459</v>
      </c>
      <c r="X29" s="201">
        <f t="shared" si="14"/>
        <v>350</v>
      </c>
      <c r="Y29" s="451">
        <f t="shared" si="54"/>
        <v>350</v>
      </c>
      <c r="AA29" s="221">
        <f t="shared" si="15"/>
        <v>2.1998658618376927</v>
      </c>
      <c r="AB29" s="177">
        <f t="shared" si="16"/>
        <v>1.2072434607645877</v>
      </c>
      <c r="AC29" s="177">
        <f t="shared" si="17"/>
        <v>0.46476039334599145</v>
      </c>
      <c r="AD29" s="177"/>
      <c r="AE29" s="177">
        <f t="shared" si="18"/>
        <v>0.45</v>
      </c>
      <c r="AF29" s="555">
        <f t="shared" si="19"/>
        <v>546.34146341463406</v>
      </c>
      <c r="AG29" s="538">
        <f t="shared" si="20"/>
        <v>6.4574999999999994E-2</v>
      </c>
      <c r="AI29" s="177">
        <f t="shared" si="21"/>
        <v>1.0799176923368845</v>
      </c>
      <c r="AJ29" s="177">
        <f t="shared" si="22"/>
        <v>1.0799176923368845</v>
      </c>
      <c r="AK29" s="177">
        <f t="shared" si="23"/>
        <v>1.373278461557923</v>
      </c>
      <c r="AM29" s="555">
        <f t="shared" si="24"/>
        <v>100.79999999999998</v>
      </c>
      <c r="AN29" s="469">
        <f t="shared" si="25"/>
        <v>350</v>
      </c>
      <c r="AP29">
        <f t="shared" si="26"/>
        <v>100.79999999999998</v>
      </c>
      <c r="AQ29" s="469">
        <f t="shared" si="27"/>
        <v>350</v>
      </c>
      <c r="AR29" s="469"/>
      <c r="AS29" s="5">
        <f t="shared" si="55"/>
        <v>2.8571428571428572</v>
      </c>
      <c r="AT29" s="5">
        <f t="shared" si="28"/>
        <v>0.80993826925266343</v>
      </c>
      <c r="AU29" s="5">
        <f t="shared" si="56"/>
        <v>2.0472045878901937</v>
      </c>
      <c r="AV29" s="5">
        <f t="shared" si="29"/>
        <v>0.59263775798975382</v>
      </c>
      <c r="AW29" s="177">
        <f t="shared" si="57"/>
        <v>0.28347839423843219</v>
      </c>
      <c r="AX29" s="177">
        <f t="shared" si="30"/>
        <v>1.8367999999999995</v>
      </c>
      <c r="AY29" s="177">
        <f t="shared" si="31"/>
        <v>0.38689217950177557</v>
      </c>
      <c r="AZ29" s="177">
        <f t="shared" si="58"/>
        <v>4.7475759328228291</v>
      </c>
      <c r="BA29" s="469">
        <f t="shared" si="32"/>
        <v>19.587372721622344</v>
      </c>
      <c r="BB29" s="469">
        <f t="shared" si="33"/>
        <v>2.0704426416422286</v>
      </c>
      <c r="BC29" s="5">
        <f t="shared" si="34"/>
        <v>0.49360377285796869</v>
      </c>
      <c r="BD29" s="469">
        <f t="shared" si="35"/>
        <v>30.050226371478129</v>
      </c>
      <c r="BE29" s="5"/>
      <c r="BF29" s="177">
        <f t="shared" si="59"/>
        <v>0.33196325242448721</v>
      </c>
      <c r="BG29" s="177">
        <f t="shared" si="36"/>
        <v>0.52776996862316528</v>
      </c>
      <c r="BH29" s="177"/>
      <c r="BI29" s="538">
        <f t="shared" si="37"/>
        <v>1.2121956105626819E-2</v>
      </c>
      <c r="BJ29" s="538">
        <f t="shared" si="38"/>
        <v>5.3671909309143152E-2</v>
      </c>
      <c r="BK29" s="538">
        <f t="shared" si="39"/>
        <v>1.7499999999999998E-2</v>
      </c>
      <c r="BL29" s="538">
        <f t="shared" si="40"/>
        <v>6.3516599999999993E-2</v>
      </c>
      <c r="BM29">
        <f t="shared" si="41"/>
        <v>3.48E-3</v>
      </c>
      <c r="BN29">
        <f t="shared" si="42"/>
        <v>2.4500000000000003E-5</v>
      </c>
      <c r="BO29" s="538">
        <f t="shared" si="43"/>
        <v>0.1506518985216245</v>
      </c>
      <c r="BP29" s="469">
        <f t="shared" si="60"/>
        <v>150.6518985216245</v>
      </c>
      <c r="BQ29" s="538">
        <f t="shared" si="44"/>
        <v>9.0719999999999995E-2</v>
      </c>
      <c r="BR29" s="538"/>
      <c r="BT29" s="469">
        <f t="shared" si="61"/>
        <v>90.72</v>
      </c>
      <c r="BU29" s="538">
        <f t="shared" si="45"/>
        <v>5.2895808460917031E-3</v>
      </c>
      <c r="BV29" s="538">
        <f t="shared" si="46"/>
        <v>6.684987354731925E-2</v>
      </c>
      <c r="BW29" s="538">
        <f t="shared" si="47"/>
        <v>0</v>
      </c>
      <c r="BX29" s="538">
        <f t="shared" si="48"/>
        <v>7.2558199105027366E-2</v>
      </c>
      <c r="BY29" s="538">
        <f t="shared" si="49"/>
        <v>2.0408888888888886E-2</v>
      </c>
      <c r="BZ29" s="469">
        <f t="shared" si="62"/>
        <v>92.967087993916252</v>
      </c>
      <c r="CA29" s="177">
        <f t="shared" si="63"/>
        <v>0.33433898651554073</v>
      </c>
      <c r="CB29" s="5">
        <f t="shared" si="64"/>
        <v>1.5623999999999998</v>
      </c>
      <c r="CC29" s="177">
        <f t="shared" si="65"/>
        <v>0.82372957539627112</v>
      </c>
      <c r="CD29" s="5">
        <f t="shared" si="66"/>
        <v>82.372957539627109</v>
      </c>
      <c r="CG29" s="571">
        <f t="shared" si="50"/>
        <v>-50</v>
      </c>
      <c r="CH29">
        <f t="shared" si="51"/>
        <v>-50</v>
      </c>
    </row>
    <row r="30" spans="5:86" x14ac:dyDescent="0.2">
      <c r="E30" s="174">
        <v>25</v>
      </c>
      <c r="F30" s="221">
        <f t="shared" si="52"/>
        <v>0.105</v>
      </c>
      <c r="G30" s="221"/>
      <c r="H30" s="221">
        <f t="shared" si="0"/>
        <v>1.6274999999999999</v>
      </c>
      <c r="I30" s="551">
        <f t="shared" si="1"/>
        <v>12</v>
      </c>
      <c r="J30" s="176">
        <f t="shared" si="2"/>
        <v>16.399999999999999</v>
      </c>
      <c r="K30" s="451">
        <f t="shared" si="3"/>
        <v>28.4</v>
      </c>
      <c r="L30" s="451"/>
      <c r="M30" s="221">
        <f t="shared" si="4"/>
        <v>0.57746478873239437</v>
      </c>
      <c r="N30" s="176">
        <f t="shared" si="5"/>
        <v>12.78507042253521</v>
      </c>
      <c r="O30" s="176">
        <f t="shared" si="53"/>
        <v>1.6274999999999999</v>
      </c>
      <c r="P30" s="221">
        <f t="shared" si="6"/>
        <v>0.82484325306678774</v>
      </c>
      <c r="Q30" s="221">
        <f t="shared" si="7"/>
        <v>15.5</v>
      </c>
      <c r="R30" s="221">
        <f t="shared" si="8"/>
        <v>0.91649250340754196</v>
      </c>
      <c r="S30" s="176">
        <f t="shared" si="9"/>
        <v>198.9111938829644</v>
      </c>
      <c r="T30" s="176">
        <f t="shared" si="10"/>
        <v>15.5</v>
      </c>
      <c r="U30" s="221">
        <f t="shared" si="11"/>
        <v>0.52191734417344171</v>
      </c>
      <c r="V30" s="221">
        <f t="shared" si="12"/>
        <v>0.39143800813008134</v>
      </c>
      <c r="W30" s="221">
        <f t="shared" si="13"/>
        <v>0.2864180547293278</v>
      </c>
      <c r="X30" s="201">
        <f t="shared" si="14"/>
        <v>350</v>
      </c>
      <c r="Y30" s="451">
        <f t="shared" si="54"/>
        <v>350</v>
      </c>
      <c r="AA30" s="221">
        <f t="shared" si="15"/>
        <v>2.1998658618376927</v>
      </c>
      <c r="AB30" s="177">
        <f t="shared" si="16"/>
        <v>1.2072434607645877</v>
      </c>
      <c r="AC30" s="177">
        <f t="shared" si="17"/>
        <v>0.46476039334599145</v>
      </c>
      <c r="AD30" s="177"/>
      <c r="AE30" s="177">
        <f t="shared" si="18"/>
        <v>0.45</v>
      </c>
      <c r="AF30" s="555">
        <f t="shared" si="19"/>
        <v>569.10569105691059</v>
      </c>
      <c r="AG30" s="538">
        <f t="shared" si="20"/>
        <v>6.4574999999999994E-2</v>
      </c>
      <c r="AI30" s="177">
        <f t="shared" si="21"/>
        <v>1.1021863793455327</v>
      </c>
      <c r="AJ30" s="177">
        <f t="shared" si="22"/>
        <v>1.1021863793455327</v>
      </c>
      <c r="AK30" s="177">
        <f t="shared" si="23"/>
        <v>1.3881242528970219</v>
      </c>
      <c r="AM30" s="555">
        <f t="shared" si="24"/>
        <v>105</v>
      </c>
      <c r="AN30" s="469">
        <f t="shared" si="25"/>
        <v>350</v>
      </c>
      <c r="AP30">
        <f t="shared" si="26"/>
        <v>105</v>
      </c>
      <c r="AQ30" s="469">
        <f t="shared" si="27"/>
        <v>350</v>
      </c>
      <c r="AR30" s="469"/>
      <c r="AS30" s="5">
        <f t="shared" si="55"/>
        <v>2.8571428571428572</v>
      </c>
      <c r="AT30" s="5">
        <f t="shared" si="28"/>
        <v>0.82663978450914954</v>
      </c>
      <c r="AU30" s="5">
        <f t="shared" si="56"/>
        <v>2.0305030726337074</v>
      </c>
      <c r="AV30" s="5">
        <f t="shared" si="29"/>
        <v>0.60485837890913385</v>
      </c>
      <c r="AW30" s="177">
        <f t="shared" si="57"/>
        <v>0.28932392457820233</v>
      </c>
      <c r="AX30" s="177">
        <f t="shared" si="30"/>
        <v>1.9133333333333327</v>
      </c>
      <c r="AY30" s="177">
        <f t="shared" si="31"/>
        <v>0.39164874522832194</v>
      </c>
      <c r="AZ30" s="177">
        <f t="shared" si="58"/>
        <v>4.8853299203547929</v>
      </c>
      <c r="BA30" s="469">
        <f t="shared" si="32"/>
        <v>19.587372721622344</v>
      </c>
      <c r="BB30" s="469">
        <f t="shared" si="33"/>
        <v>2.2378240469208217</v>
      </c>
      <c r="BC30" s="5">
        <f t="shared" si="34"/>
        <v>0.50997588745545641</v>
      </c>
      <c r="BD30" s="469">
        <f t="shared" si="35"/>
        <v>31.050636580660726</v>
      </c>
      <c r="BE30" s="5"/>
      <c r="BF30" s="177">
        <f t="shared" si="59"/>
        <v>0.34228399020791889</v>
      </c>
      <c r="BG30" s="177">
        <f t="shared" si="36"/>
        <v>0.536451248159871</v>
      </c>
      <c r="BH30" s="177"/>
      <c r="BI30" s="538">
        <f t="shared" si="37"/>
        <v>1.2887416294792018E-2</v>
      </c>
      <c r="BJ30" s="538">
        <f t="shared" si="38"/>
        <v>5.4778663053472974E-2</v>
      </c>
      <c r="BK30" s="538">
        <f t="shared" si="39"/>
        <v>1.7499999999999998E-2</v>
      </c>
      <c r="BL30" s="538">
        <f t="shared" si="40"/>
        <v>6.3516599999999993E-2</v>
      </c>
      <c r="BM30">
        <f t="shared" si="41"/>
        <v>3.48E-3</v>
      </c>
      <c r="BN30">
        <f t="shared" si="42"/>
        <v>2.4500000000000003E-5</v>
      </c>
      <c r="BO30" s="538">
        <f t="shared" si="43"/>
        <v>0.15254990156735856</v>
      </c>
      <c r="BP30" s="469">
        <f t="shared" si="60"/>
        <v>152.54990156735857</v>
      </c>
      <c r="BQ30" s="538">
        <f t="shared" si="44"/>
        <v>9.4500000000000001E-2</v>
      </c>
      <c r="BR30" s="538"/>
      <c r="BT30" s="469">
        <f t="shared" si="61"/>
        <v>94.5</v>
      </c>
      <c r="BU30" s="538">
        <f t="shared" si="45"/>
        <v>5.6235998377274264E-3</v>
      </c>
      <c r="BV30" s="538">
        <f t="shared" si="46"/>
        <v>6.9067185996548028E-2</v>
      </c>
      <c r="BW30" s="538">
        <f t="shared" si="47"/>
        <v>0</v>
      </c>
      <c r="BX30" s="538">
        <f t="shared" si="48"/>
        <v>7.5139765685994675E-2</v>
      </c>
      <c r="BY30" s="538">
        <f t="shared" si="49"/>
        <v>2.1259259259259256E-2</v>
      </c>
      <c r="BZ30" s="469">
        <f t="shared" si="62"/>
        <v>96.399024945253927</v>
      </c>
      <c r="CA30" s="177">
        <f t="shared" si="63"/>
        <v>0.3434489265126125</v>
      </c>
      <c r="CB30" s="5">
        <f t="shared" si="64"/>
        <v>1.6274999999999999</v>
      </c>
      <c r="CC30" s="177">
        <f t="shared" si="65"/>
        <v>0.82574438033749087</v>
      </c>
      <c r="CD30" s="5">
        <f t="shared" si="66"/>
        <v>82.57443803374909</v>
      </c>
      <c r="CG30" s="571">
        <f t="shared" si="50"/>
        <v>-50</v>
      </c>
      <c r="CH30">
        <f t="shared" si="51"/>
        <v>-50</v>
      </c>
    </row>
    <row r="31" spans="5:86" x14ac:dyDescent="0.2">
      <c r="E31" s="174">
        <v>26</v>
      </c>
      <c r="F31" s="221">
        <f t="shared" si="52"/>
        <v>0.10920000000000001</v>
      </c>
      <c r="G31" s="221"/>
      <c r="H31" s="221">
        <f t="shared" si="0"/>
        <v>1.6926000000000001</v>
      </c>
      <c r="I31" s="551">
        <f t="shared" si="1"/>
        <v>12</v>
      </c>
      <c r="J31" s="176">
        <f t="shared" si="2"/>
        <v>16.399999999999999</v>
      </c>
      <c r="K31" s="451">
        <f t="shared" si="3"/>
        <v>28.4</v>
      </c>
      <c r="L31" s="451"/>
      <c r="M31" s="221">
        <f t="shared" si="4"/>
        <v>0.57746478873239437</v>
      </c>
      <c r="N31" s="176">
        <f t="shared" si="5"/>
        <v>12.78507042253521</v>
      </c>
      <c r="O31" s="176">
        <f t="shared" si="53"/>
        <v>1.6926000000000001</v>
      </c>
      <c r="P31" s="221">
        <f t="shared" si="6"/>
        <v>0.82484325306678774</v>
      </c>
      <c r="Q31" s="221">
        <f t="shared" si="7"/>
        <v>15.5</v>
      </c>
      <c r="R31" s="221">
        <f t="shared" si="8"/>
        <v>0.91649250340754196</v>
      </c>
      <c r="S31" s="176">
        <f t="shared" si="9"/>
        <v>190.80358972047139</v>
      </c>
      <c r="T31" s="176">
        <f t="shared" si="10"/>
        <v>15.5</v>
      </c>
      <c r="U31" s="221">
        <f t="shared" si="11"/>
        <v>0.54279403794037939</v>
      </c>
      <c r="V31" s="221">
        <f t="shared" si="12"/>
        <v>0.40709552845528457</v>
      </c>
      <c r="W31" s="221">
        <f t="shared" si="13"/>
        <v>0.29787477691850089</v>
      </c>
      <c r="X31" s="201">
        <f t="shared" si="14"/>
        <v>350</v>
      </c>
      <c r="Y31" s="451">
        <f t="shared" si="54"/>
        <v>350</v>
      </c>
      <c r="AA31" s="221">
        <f t="shared" si="15"/>
        <v>2.1998658618376927</v>
      </c>
      <c r="AB31" s="177">
        <f t="shared" si="16"/>
        <v>1.2072434607645877</v>
      </c>
      <c r="AC31" s="177">
        <f t="shared" si="17"/>
        <v>0.46476039334599145</v>
      </c>
      <c r="AD31" s="177"/>
      <c r="AE31" s="177">
        <f t="shared" si="18"/>
        <v>0.45</v>
      </c>
      <c r="AF31" s="555">
        <f t="shared" si="19"/>
        <v>591.869918699187</v>
      </c>
      <c r="AG31" s="538">
        <f t="shared" si="20"/>
        <v>6.4574999999999994E-2</v>
      </c>
      <c r="AI31" s="177">
        <f t="shared" si="21"/>
        <v>1.1240139711798103</v>
      </c>
      <c r="AJ31" s="177">
        <f t="shared" si="22"/>
        <v>1.1240139711798103</v>
      </c>
      <c r="AK31" s="177">
        <f t="shared" si="23"/>
        <v>1.4026759807865403</v>
      </c>
      <c r="AM31" s="555">
        <f t="shared" si="24"/>
        <v>109.2</v>
      </c>
      <c r="AN31" s="469">
        <f t="shared" si="25"/>
        <v>350</v>
      </c>
      <c r="AP31">
        <f t="shared" si="26"/>
        <v>109.2</v>
      </c>
      <c r="AQ31" s="469">
        <f t="shared" si="27"/>
        <v>350</v>
      </c>
      <c r="AR31" s="469"/>
      <c r="AS31" s="5">
        <f t="shared" si="55"/>
        <v>2.8571428571428572</v>
      </c>
      <c r="AT31" s="5">
        <f t="shared" si="28"/>
        <v>0.84301047838485776</v>
      </c>
      <c r="AU31" s="5">
        <f t="shared" si="56"/>
        <v>2.0141323787579992</v>
      </c>
      <c r="AV31" s="5">
        <f t="shared" si="29"/>
        <v>0.61683693540355455</v>
      </c>
      <c r="AW31" s="177">
        <f t="shared" si="57"/>
        <v>0.29505366743470018</v>
      </c>
      <c r="AX31" s="177">
        <f t="shared" si="30"/>
        <v>1.9898666666666667</v>
      </c>
      <c r="AY31" s="177">
        <f t="shared" si="31"/>
        <v>0.39618476336768293</v>
      </c>
      <c r="AZ31" s="177">
        <f t="shared" si="58"/>
        <v>5.0225724224027077</v>
      </c>
      <c r="BA31" s="469">
        <f t="shared" si="32"/>
        <v>19.587372721622344</v>
      </c>
      <c r="BB31" s="469">
        <f t="shared" si="33"/>
        <v>2.4116944891495611</v>
      </c>
      <c r="BC31" s="5">
        <f t="shared" si="34"/>
        <v>0.52609883708114025</v>
      </c>
      <c r="BD31" s="469">
        <f t="shared" si="35"/>
        <v>32.036096891535088</v>
      </c>
      <c r="BE31" s="5"/>
      <c r="BF31" s="177">
        <f t="shared" si="59"/>
        <v>0.35250200425894601</v>
      </c>
      <c r="BG31" s="177">
        <f t="shared" si="36"/>
        <v>0.54486524890339794</v>
      </c>
      <c r="BH31" s="177"/>
      <c r="BI31" s="538">
        <f t="shared" si="37"/>
        <v>1.3668342930723139E-2</v>
      </c>
      <c r="BJ31" s="538">
        <f t="shared" si="38"/>
        <v>5.5863494367636567E-2</v>
      </c>
      <c r="BK31" s="538">
        <f t="shared" si="39"/>
        <v>1.7499999999999998E-2</v>
      </c>
      <c r="BL31" s="538">
        <f t="shared" si="40"/>
        <v>6.3516599999999993E-2</v>
      </c>
      <c r="BM31">
        <f t="shared" si="41"/>
        <v>3.48E-3</v>
      </c>
      <c r="BN31">
        <f t="shared" si="42"/>
        <v>2.4500000000000003E-5</v>
      </c>
      <c r="BO31" s="538">
        <f t="shared" si="43"/>
        <v>0.15444241160373412</v>
      </c>
      <c r="BP31" s="469">
        <f t="shared" si="60"/>
        <v>154.44241160373412</v>
      </c>
      <c r="BQ31" s="538">
        <f t="shared" si="44"/>
        <v>9.8280000000000006E-2</v>
      </c>
      <c r="BR31" s="538"/>
      <c r="BT31" s="469">
        <f t="shared" si="61"/>
        <v>98.28</v>
      </c>
      <c r="BU31" s="538">
        <f t="shared" si="45"/>
        <v>5.9643678243155515E-3</v>
      </c>
      <c r="BV31" s="538">
        <f t="shared" si="46"/>
        <v>7.1250753471014824E-2</v>
      </c>
      <c r="BW31" s="538">
        <f t="shared" si="47"/>
        <v>0</v>
      </c>
      <c r="BX31" s="538">
        <f t="shared" si="48"/>
        <v>7.769505997372389E-2</v>
      </c>
      <c r="BY31" s="538">
        <f t="shared" si="49"/>
        <v>2.2109629629629628E-2</v>
      </c>
      <c r="BZ31" s="469">
        <f t="shared" si="62"/>
        <v>99.804689603353523</v>
      </c>
      <c r="CA31" s="177">
        <f t="shared" si="63"/>
        <v>0.35252710120708763</v>
      </c>
      <c r="CB31" s="5">
        <f t="shared" si="64"/>
        <v>1.6926000000000001</v>
      </c>
      <c r="CC31" s="177">
        <f t="shared" si="65"/>
        <v>0.8276258228649862</v>
      </c>
      <c r="CD31" s="5">
        <f t="shared" si="66"/>
        <v>82.762582286498628</v>
      </c>
      <c r="CG31" s="571">
        <f t="shared" si="50"/>
        <v>-50</v>
      </c>
      <c r="CH31">
        <f t="shared" si="51"/>
        <v>-50</v>
      </c>
    </row>
    <row r="32" spans="5:86" x14ac:dyDescent="0.2">
      <c r="E32" s="174">
        <v>27</v>
      </c>
      <c r="F32" s="221">
        <f t="shared" si="52"/>
        <v>0.1134</v>
      </c>
      <c r="G32" s="221"/>
      <c r="H32" s="221">
        <f t="shared" si="0"/>
        <v>1.7577</v>
      </c>
      <c r="I32" s="551">
        <f t="shared" si="1"/>
        <v>12</v>
      </c>
      <c r="J32" s="176">
        <f t="shared" si="2"/>
        <v>16.399999999999999</v>
      </c>
      <c r="K32" s="451">
        <f t="shared" si="3"/>
        <v>28.4</v>
      </c>
      <c r="L32" s="451"/>
      <c r="M32" s="221">
        <f t="shared" si="4"/>
        <v>0.57746478873239437</v>
      </c>
      <c r="N32" s="176">
        <f t="shared" si="5"/>
        <v>12.78507042253521</v>
      </c>
      <c r="O32" s="176">
        <f t="shared" si="53"/>
        <v>1.7577</v>
      </c>
      <c r="P32" s="221">
        <f t="shared" si="6"/>
        <v>0.82484325306678774</v>
      </c>
      <c r="Q32" s="221">
        <f t="shared" si="7"/>
        <v>15.5</v>
      </c>
      <c r="R32" s="221">
        <f t="shared" si="8"/>
        <v>0.91649250340754196</v>
      </c>
      <c r="S32" s="176">
        <f t="shared" si="9"/>
        <v>183.2967282013702</v>
      </c>
      <c r="T32" s="176">
        <f t="shared" si="10"/>
        <v>15.5</v>
      </c>
      <c r="U32" s="221">
        <f t="shared" si="11"/>
        <v>0.56367073170731707</v>
      </c>
      <c r="V32" s="221">
        <f t="shared" si="12"/>
        <v>0.42275304878048781</v>
      </c>
      <c r="W32" s="221">
        <f t="shared" si="13"/>
        <v>0.30933149910767399</v>
      </c>
      <c r="X32" s="201">
        <f t="shared" si="14"/>
        <v>350</v>
      </c>
      <c r="Y32" s="451">
        <f t="shared" si="54"/>
        <v>350</v>
      </c>
      <c r="AA32" s="221">
        <f t="shared" si="15"/>
        <v>2.1998658618376927</v>
      </c>
      <c r="AB32" s="177">
        <f t="shared" si="16"/>
        <v>1.2072434607645877</v>
      </c>
      <c r="AC32" s="177">
        <f t="shared" si="17"/>
        <v>0.46476039334599145</v>
      </c>
      <c r="AD32" s="177"/>
      <c r="AE32" s="177">
        <f t="shared" si="18"/>
        <v>0.45</v>
      </c>
      <c r="AF32" s="555">
        <f t="shared" si="19"/>
        <v>614.63414634146341</v>
      </c>
      <c r="AG32" s="538">
        <f t="shared" si="20"/>
        <v>6.4574999999999994E-2</v>
      </c>
      <c r="AI32" s="177">
        <f t="shared" si="21"/>
        <v>1.1454256850621083</v>
      </c>
      <c r="AJ32" s="177">
        <f t="shared" si="22"/>
        <v>1.1454256850621083</v>
      </c>
      <c r="AK32" s="177">
        <f t="shared" si="23"/>
        <v>1.4169504567080722</v>
      </c>
      <c r="AM32" s="555">
        <f t="shared" si="24"/>
        <v>113.4</v>
      </c>
      <c r="AN32" s="469">
        <f t="shared" si="25"/>
        <v>350</v>
      </c>
      <c r="AP32">
        <f t="shared" si="26"/>
        <v>113.4</v>
      </c>
      <c r="AQ32" s="469">
        <f t="shared" si="27"/>
        <v>350</v>
      </c>
      <c r="AR32" s="469"/>
      <c r="AS32" s="5">
        <f t="shared" si="55"/>
        <v>2.8571428571428572</v>
      </c>
      <c r="AT32" s="5">
        <f t="shared" si="28"/>
        <v>0.85906926379658122</v>
      </c>
      <c r="AU32" s="5">
        <f t="shared" si="56"/>
        <v>1.9980735933462759</v>
      </c>
      <c r="AV32" s="5">
        <f t="shared" si="29"/>
        <v>0.62858726619262051</v>
      </c>
      <c r="AW32" s="177">
        <f t="shared" si="57"/>
        <v>0.30067424232880341</v>
      </c>
      <c r="AX32" s="177">
        <f t="shared" si="30"/>
        <v>2.0664000000000002</v>
      </c>
      <c r="AY32" s="177">
        <f t="shared" si="31"/>
        <v>0.40051284253105418</v>
      </c>
      <c r="AZ32" s="177">
        <f t="shared" si="58"/>
        <v>5.1593851196913363</v>
      </c>
      <c r="BA32" s="469">
        <f t="shared" si="32"/>
        <v>19.587372721622344</v>
      </c>
      <c r="BB32" s="469">
        <f t="shared" si="33"/>
        <v>2.5920539683284463</v>
      </c>
      <c r="BC32" s="5">
        <f t="shared" si="34"/>
        <v>0.54197746219517728</v>
      </c>
      <c r="BD32" s="469">
        <f t="shared" si="35"/>
        <v>33.006897731710637</v>
      </c>
      <c r="BE32" s="5"/>
      <c r="BF32" s="177">
        <f t="shared" si="59"/>
        <v>0.36262221201290196</v>
      </c>
      <c r="BG32" s="177">
        <f t="shared" si="36"/>
        <v>0.55302664012523239</v>
      </c>
      <c r="BH32" s="177"/>
      <c r="BI32" s="538">
        <f t="shared" si="37"/>
        <v>1.4464435550964301E-2</v>
      </c>
      <c r="BJ32" s="538">
        <f t="shared" si="38"/>
        <v>5.6927656547586782E-2</v>
      </c>
      <c r="BK32" s="538">
        <f t="shared" si="39"/>
        <v>1.7499999999999998E-2</v>
      </c>
      <c r="BL32" s="538">
        <f t="shared" si="40"/>
        <v>6.3516599999999993E-2</v>
      </c>
      <c r="BM32">
        <f t="shared" si="41"/>
        <v>3.48E-3</v>
      </c>
      <c r="BN32">
        <f t="shared" si="42"/>
        <v>2.4500000000000003E-5</v>
      </c>
      <c r="BO32" s="538">
        <f t="shared" si="43"/>
        <v>0.1563303891883599</v>
      </c>
      <c r="BP32" s="469">
        <f t="shared" si="60"/>
        <v>156.3303891883599</v>
      </c>
      <c r="BQ32" s="538">
        <f t="shared" si="44"/>
        <v>0.10206</v>
      </c>
      <c r="BR32" s="538"/>
      <c r="BT32" s="469">
        <f t="shared" si="61"/>
        <v>102.06</v>
      </c>
      <c r="BU32" s="538">
        <f t="shared" si="45"/>
        <v>6.3117536949662415E-3</v>
      </c>
      <c r="BV32" s="538">
        <f t="shared" si="46"/>
        <v>7.3401231525168795E-2</v>
      </c>
      <c r="BW32" s="538">
        <f t="shared" si="47"/>
        <v>0</v>
      </c>
      <c r="BX32" s="538">
        <f t="shared" si="48"/>
        <v>8.0224580484008087E-2</v>
      </c>
      <c r="BY32" s="538">
        <f t="shared" si="49"/>
        <v>2.2960000000000001E-2</v>
      </c>
      <c r="BZ32" s="469">
        <f t="shared" si="62"/>
        <v>103.18458048400808</v>
      </c>
      <c r="CA32" s="177">
        <f t="shared" si="63"/>
        <v>0.36157496967236796</v>
      </c>
      <c r="CB32" s="5">
        <f t="shared" si="64"/>
        <v>1.7577</v>
      </c>
      <c r="CC32" s="177">
        <f t="shared" si="65"/>
        <v>0.82938742029861934</v>
      </c>
      <c r="CD32" s="5">
        <f t="shared" si="66"/>
        <v>82.938742029861928</v>
      </c>
      <c r="CG32" s="571">
        <f t="shared" si="50"/>
        <v>-50</v>
      </c>
      <c r="CH32">
        <f t="shared" si="51"/>
        <v>-50</v>
      </c>
    </row>
    <row r="33" spans="5:86" x14ac:dyDescent="0.2">
      <c r="E33" s="174">
        <v>28</v>
      </c>
      <c r="F33" s="221">
        <f t="shared" si="52"/>
        <v>0.11760000000000001</v>
      </c>
      <c r="G33" s="221"/>
      <c r="H33" s="221">
        <f t="shared" si="0"/>
        <v>1.8228000000000002</v>
      </c>
      <c r="I33" s="551">
        <f t="shared" si="1"/>
        <v>12</v>
      </c>
      <c r="J33" s="176">
        <f t="shared" si="2"/>
        <v>16.399999999999999</v>
      </c>
      <c r="K33" s="451">
        <f t="shared" si="3"/>
        <v>28.4</v>
      </c>
      <c r="L33" s="451"/>
      <c r="M33" s="221">
        <f t="shared" si="4"/>
        <v>0.57746478873239437</v>
      </c>
      <c r="N33" s="176">
        <f t="shared" si="5"/>
        <v>12.78507042253521</v>
      </c>
      <c r="O33" s="176">
        <f t="shared" si="53"/>
        <v>1.8228000000000002</v>
      </c>
      <c r="P33" s="221">
        <f t="shared" si="6"/>
        <v>0.82484325306678774</v>
      </c>
      <c r="Q33" s="221">
        <f t="shared" si="7"/>
        <v>15.5</v>
      </c>
      <c r="R33" s="221">
        <f t="shared" si="8"/>
        <v>0.91649250340754196</v>
      </c>
      <c r="S33" s="176">
        <f t="shared" si="9"/>
        <v>176.32624517799997</v>
      </c>
      <c r="T33" s="176">
        <f t="shared" si="10"/>
        <v>15.5</v>
      </c>
      <c r="U33" s="221">
        <f t="shared" si="11"/>
        <v>0.58454742547425476</v>
      </c>
      <c r="V33" s="221">
        <f t="shared" si="12"/>
        <v>0.43841056910569109</v>
      </c>
      <c r="W33" s="221">
        <f t="shared" si="13"/>
        <v>0.32078822129684714</v>
      </c>
      <c r="X33" s="201">
        <f t="shared" si="14"/>
        <v>350</v>
      </c>
      <c r="Y33" s="451">
        <f t="shared" si="54"/>
        <v>350</v>
      </c>
      <c r="AA33" s="221">
        <f t="shared" si="15"/>
        <v>2.1998658618376927</v>
      </c>
      <c r="AB33" s="177">
        <f t="shared" si="16"/>
        <v>1.2072434607645877</v>
      </c>
      <c r="AC33" s="177">
        <f t="shared" si="17"/>
        <v>0.46476039334599145</v>
      </c>
      <c r="AD33" s="177"/>
      <c r="AE33" s="177">
        <f t="shared" si="18"/>
        <v>0.45</v>
      </c>
      <c r="AF33" s="555">
        <f t="shared" si="19"/>
        <v>637.39837398373993</v>
      </c>
      <c r="AG33" s="538">
        <f t="shared" si="20"/>
        <v>6.4574999999999994E-2</v>
      </c>
      <c r="AI33" s="177">
        <f t="shared" si="21"/>
        <v>1.1664444232763911</v>
      </c>
      <c r="AJ33" s="177">
        <f t="shared" si="22"/>
        <v>1.1664444232763911</v>
      </c>
      <c r="AK33" s="177">
        <f t="shared" si="23"/>
        <v>1.4309629488509275</v>
      </c>
      <c r="AM33" s="555">
        <f t="shared" si="24"/>
        <v>117.60000000000001</v>
      </c>
      <c r="AN33" s="469">
        <f t="shared" si="25"/>
        <v>350</v>
      </c>
      <c r="AP33">
        <f t="shared" si="26"/>
        <v>117.60000000000001</v>
      </c>
      <c r="AQ33" s="469">
        <f t="shared" si="27"/>
        <v>350</v>
      </c>
      <c r="AR33" s="469"/>
      <c r="AS33" s="5">
        <f t="shared" si="55"/>
        <v>2.8571428571428572</v>
      </c>
      <c r="AT33" s="5">
        <f t="shared" si="28"/>
        <v>0.87483331745729331</v>
      </c>
      <c r="AU33" s="5">
        <f t="shared" si="56"/>
        <v>1.9823095396855639</v>
      </c>
      <c r="AV33" s="5">
        <f t="shared" si="29"/>
        <v>0.64012193960289765</v>
      </c>
      <c r="AW33" s="177">
        <f t="shared" si="57"/>
        <v>0.30619166111005264</v>
      </c>
      <c r="AX33" s="177">
        <f t="shared" si="30"/>
        <v>2.1429333333333331</v>
      </c>
      <c r="AY33" s="177">
        <f t="shared" si="31"/>
        <v>0.40464443386041782</v>
      </c>
      <c r="AZ33" s="177">
        <f t="shared" si="58"/>
        <v>5.2958428536608473</v>
      </c>
      <c r="BA33" s="469">
        <f t="shared" si="32"/>
        <v>19.587372721622344</v>
      </c>
      <c r="BB33" s="469">
        <f t="shared" si="33"/>
        <v>2.778902484457479</v>
      </c>
      <c r="BC33" s="5">
        <f t="shared" si="34"/>
        <v>0.55761633162636515</v>
      </c>
      <c r="BD33" s="469">
        <f t="shared" si="35"/>
        <v>33.96331323091524</v>
      </c>
      <c r="BE33" s="5"/>
      <c r="BF33" s="177">
        <f t="shared" si="59"/>
        <v>0.37264912273252393</v>
      </c>
      <c r="BG33" s="177">
        <f t="shared" si="36"/>
        <v>0.56094874589770782</v>
      </c>
      <c r="BH33" s="177"/>
      <c r="BI33" s="538">
        <f t="shared" si="37"/>
        <v>1.5275410554065167E-2</v>
      </c>
      <c r="BJ33" s="538">
        <f t="shared" si="38"/>
        <v>5.7972287836836646E-2</v>
      </c>
      <c r="BK33" s="538">
        <f t="shared" si="39"/>
        <v>1.7499999999999998E-2</v>
      </c>
      <c r="BL33" s="538">
        <f t="shared" si="40"/>
        <v>6.3516599999999993E-2</v>
      </c>
      <c r="BM33">
        <f t="shared" si="41"/>
        <v>3.48E-3</v>
      </c>
      <c r="BN33">
        <f t="shared" si="42"/>
        <v>2.4500000000000003E-5</v>
      </c>
      <c r="BO33" s="538">
        <f t="shared" si="43"/>
        <v>0.15821469696727039</v>
      </c>
      <c r="BP33" s="469">
        <f t="shared" si="60"/>
        <v>158.21469696727038</v>
      </c>
      <c r="BQ33" s="538">
        <f t="shared" si="44"/>
        <v>0.10584000000000002</v>
      </c>
      <c r="BR33" s="538"/>
      <c r="BT33" s="469">
        <f t="shared" si="61"/>
        <v>105.84000000000002</v>
      </c>
      <c r="BU33" s="538">
        <f t="shared" si="45"/>
        <v>6.6656336963193457E-3</v>
      </c>
      <c r="BV33" s="538">
        <f t="shared" si="46"/>
        <v>7.5519238925810681E-2</v>
      </c>
      <c r="BW33" s="538">
        <f t="shared" si="47"/>
        <v>0</v>
      </c>
      <c r="BX33" s="538">
        <f t="shared" si="48"/>
        <v>8.2728797074107435E-2</v>
      </c>
      <c r="BY33" s="538">
        <f t="shared" si="49"/>
        <v>2.3810370370370371E-2</v>
      </c>
      <c r="BZ33" s="469">
        <f t="shared" si="62"/>
        <v>106.53916744447781</v>
      </c>
      <c r="CA33" s="177">
        <f t="shared" si="63"/>
        <v>0.37059386441174824</v>
      </c>
      <c r="CB33" s="5">
        <f t="shared" si="64"/>
        <v>1.8228000000000002</v>
      </c>
      <c r="CC33" s="177">
        <f t="shared" si="65"/>
        <v>0.83104089492329336</v>
      </c>
      <c r="CD33" s="5">
        <f t="shared" si="66"/>
        <v>83.104089492329337</v>
      </c>
      <c r="CG33" s="571">
        <f t="shared" si="50"/>
        <v>-50</v>
      </c>
      <c r="CH33">
        <f t="shared" si="51"/>
        <v>-50</v>
      </c>
    </row>
    <row r="34" spans="5:86" x14ac:dyDescent="0.2">
      <c r="E34" s="174">
        <v>29</v>
      </c>
      <c r="F34" s="221">
        <f t="shared" si="52"/>
        <v>0.12179999999999999</v>
      </c>
      <c r="G34" s="221"/>
      <c r="H34" s="221">
        <f t="shared" si="0"/>
        <v>1.8878999999999999</v>
      </c>
      <c r="I34" s="551">
        <f t="shared" si="1"/>
        <v>12</v>
      </c>
      <c r="J34" s="176">
        <f t="shared" si="2"/>
        <v>16.399999999999999</v>
      </c>
      <c r="K34" s="451">
        <f t="shared" si="3"/>
        <v>28.4</v>
      </c>
      <c r="L34" s="451"/>
      <c r="M34" s="221">
        <f t="shared" si="4"/>
        <v>0.57746478873239437</v>
      </c>
      <c r="N34" s="176">
        <f t="shared" si="5"/>
        <v>12.78507042253521</v>
      </c>
      <c r="O34" s="176">
        <f t="shared" si="53"/>
        <v>1.8878999999999999</v>
      </c>
      <c r="P34" s="221">
        <f t="shared" si="6"/>
        <v>0.82484325306678774</v>
      </c>
      <c r="Q34" s="221">
        <f t="shared" si="7"/>
        <v>15.5</v>
      </c>
      <c r="R34" s="221">
        <f t="shared" si="8"/>
        <v>0.91649250340754196</v>
      </c>
      <c r="S34" s="176">
        <f t="shared" si="9"/>
        <v>169.83665432479194</v>
      </c>
      <c r="T34" s="176">
        <f t="shared" si="10"/>
        <v>15.5</v>
      </c>
      <c r="U34" s="221">
        <f t="shared" si="11"/>
        <v>0.60542411924119233</v>
      </c>
      <c r="V34" s="221">
        <f t="shared" si="12"/>
        <v>0.45406808943089427</v>
      </c>
      <c r="W34" s="221">
        <f t="shared" si="13"/>
        <v>0.33224494348602018</v>
      </c>
      <c r="X34" s="201">
        <f t="shared" si="14"/>
        <v>350</v>
      </c>
      <c r="Y34" s="451">
        <f t="shared" si="54"/>
        <v>350</v>
      </c>
      <c r="AA34" s="221">
        <f t="shared" si="15"/>
        <v>2.1998658618376927</v>
      </c>
      <c r="AB34" s="177">
        <f t="shared" si="16"/>
        <v>1.2072434607645877</v>
      </c>
      <c r="AC34" s="177">
        <f t="shared" si="17"/>
        <v>0.46476039334599145</v>
      </c>
      <c r="AD34" s="177"/>
      <c r="AE34" s="177">
        <f t="shared" si="18"/>
        <v>0.45</v>
      </c>
      <c r="AF34" s="555">
        <f t="shared" si="19"/>
        <v>660.16260162601623</v>
      </c>
      <c r="AG34" s="538">
        <f t="shared" si="20"/>
        <v>6.4574999999999994E-2</v>
      </c>
      <c r="AI34" s="177">
        <f t="shared" si="21"/>
        <v>1.1870910601909126</v>
      </c>
      <c r="AJ34" s="177">
        <f t="shared" si="22"/>
        <v>1.1870910601909126</v>
      </c>
      <c r="AK34" s="177">
        <f t="shared" si="23"/>
        <v>1.4447273734606085</v>
      </c>
      <c r="AM34" s="555">
        <f t="shared" si="24"/>
        <v>121.8</v>
      </c>
      <c r="AN34" s="469">
        <f t="shared" si="25"/>
        <v>350</v>
      </c>
      <c r="AP34">
        <f t="shared" si="26"/>
        <v>121.8</v>
      </c>
      <c r="AQ34" s="469">
        <f t="shared" si="27"/>
        <v>350</v>
      </c>
      <c r="AR34" s="469"/>
      <c r="AS34" s="5">
        <f t="shared" si="55"/>
        <v>2.8571428571428572</v>
      </c>
      <c r="AT34" s="5">
        <f t="shared" si="28"/>
        <v>0.89031829514318439</v>
      </c>
      <c r="AU34" s="5">
        <f t="shared" si="56"/>
        <v>1.9668245619996729</v>
      </c>
      <c r="AV34" s="5">
        <f t="shared" si="29"/>
        <v>0.65145241108037899</v>
      </c>
      <c r="AW34" s="177">
        <f t="shared" si="57"/>
        <v>0.31161140330011455</v>
      </c>
      <c r="AX34" s="177">
        <f t="shared" si="30"/>
        <v>2.219466666666666</v>
      </c>
      <c r="AY34" s="177">
        <f t="shared" si="31"/>
        <v>0.40858997453990081</v>
      </c>
      <c r="AZ34" s="177">
        <f t="shared" si="58"/>
        <v>5.4320145010066181</v>
      </c>
      <c r="BA34" s="469">
        <f t="shared" si="32"/>
        <v>19.587372721622344</v>
      </c>
      <c r="BB34" s="469">
        <f t="shared" si="33"/>
        <v>2.9722400375366571</v>
      </c>
      <c r="BC34" s="5">
        <f t="shared" si="34"/>
        <v>0.57301976706777491</v>
      </c>
      <c r="BD34" s="469">
        <f t="shared" si="35"/>
        <v>34.905602690733168</v>
      </c>
      <c r="BE34" s="5"/>
      <c r="BF34" s="177">
        <f t="shared" si="59"/>
        <v>0.38258688471391139</v>
      </c>
      <c r="BG34" s="177">
        <f t="shared" si="36"/>
        <v>0.56864371156870497</v>
      </c>
      <c r="BH34" s="177"/>
      <c r="BI34" s="538">
        <f t="shared" si="37"/>
        <v>1.6100999679060528E-2</v>
      </c>
      <c r="BJ34" s="538">
        <f t="shared" si="38"/>
        <v>5.899842569148836E-2</v>
      </c>
      <c r="BK34" s="538">
        <f t="shared" si="39"/>
        <v>1.7499999999999998E-2</v>
      </c>
      <c r="BL34" s="538">
        <f t="shared" si="40"/>
        <v>6.3516599999999993E-2</v>
      </c>
      <c r="BM34">
        <f t="shared" si="41"/>
        <v>3.48E-3</v>
      </c>
      <c r="BN34">
        <f t="shared" si="42"/>
        <v>2.4500000000000003E-5</v>
      </c>
      <c r="BO34" s="538">
        <f t="shared" si="43"/>
        <v>0.16009611239586813</v>
      </c>
      <c r="BP34" s="469">
        <f t="shared" si="60"/>
        <v>160.09611239586812</v>
      </c>
      <c r="BQ34" s="538">
        <f t="shared" si="44"/>
        <v>0.10962</v>
      </c>
      <c r="BR34" s="538"/>
      <c r="BT34" s="469">
        <f t="shared" si="61"/>
        <v>109.61999999999999</v>
      </c>
      <c r="BU34" s="538">
        <f t="shared" si="45"/>
        <v>7.0258907690445944E-3</v>
      </c>
      <c r="BV34" s="538">
        <f t="shared" si="46"/>
        <v>7.7605360969591794E-2</v>
      </c>
      <c r="BW34" s="538">
        <f t="shared" si="47"/>
        <v>0</v>
      </c>
      <c r="BX34" s="538">
        <f t="shared" si="48"/>
        <v>8.5208153554126281E-2</v>
      </c>
      <c r="BY34" s="538">
        <f t="shared" si="49"/>
        <v>2.4660740740740737E-2</v>
      </c>
      <c r="BZ34" s="469">
        <f t="shared" si="62"/>
        <v>109.86889429486702</v>
      </c>
      <c r="CA34" s="177">
        <f t="shared" si="63"/>
        <v>0.37958500669073514</v>
      </c>
      <c r="CB34" s="5">
        <f t="shared" si="64"/>
        <v>1.8878999999999999</v>
      </c>
      <c r="CC34" s="177">
        <f t="shared" si="65"/>
        <v>0.83259646455404013</v>
      </c>
      <c r="CD34" s="5">
        <f t="shared" si="66"/>
        <v>83.25964645540401</v>
      </c>
      <c r="CG34" s="571">
        <f t="shared" si="50"/>
        <v>-50</v>
      </c>
      <c r="CH34">
        <f t="shared" si="51"/>
        <v>-50</v>
      </c>
    </row>
    <row r="35" spans="5:86" x14ac:dyDescent="0.2">
      <c r="E35" s="174">
        <v>30</v>
      </c>
      <c r="F35" s="221">
        <f t="shared" si="52"/>
        <v>0.126</v>
      </c>
      <c r="G35" s="221"/>
      <c r="H35" s="221">
        <f t="shared" si="0"/>
        <v>1.9530000000000001</v>
      </c>
      <c r="I35" s="551">
        <f t="shared" si="1"/>
        <v>12</v>
      </c>
      <c r="J35" s="176">
        <f t="shared" si="2"/>
        <v>16.399999999999999</v>
      </c>
      <c r="K35" s="451">
        <f t="shared" si="3"/>
        <v>28.4</v>
      </c>
      <c r="L35" s="451"/>
      <c r="M35" s="221">
        <f t="shared" si="4"/>
        <v>0.57746478873239437</v>
      </c>
      <c r="N35" s="176">
        <f t="shared" si="5"/>
        <v>12.78507042253521</v>
      </c>
      <c r="O35" s="176">
        <f t="shared" si="53"/>
        <v>1.9530000000000001</v>
      </c>
      <c r="P35" s="221">
        <f t="shared" si="6"/>
        <v>0.82484325306678774</v>
      </c>
      <c r="Q35" s="221">
        <f t="shared" si="7"/>
        <v>15.5</v>
      </c>
      <c r="R35" s="221">
        <f t="shared" si="8"/>
        <v>0.91649250340754196</v>
      </c>
      <c r="S35" s="176">
        <f t="shared" si="9"/>
        <v>163.77986750132422</v>
      </c>
      <c r="T35" s="176">
        <f t="shared" si="10"/>
        <v>15.5</v>
      </c>
      <c r="U35" s="221">
        <f t="shared" si="11"/>
        <v>0.62630081300813001</v>
      </c>
      <c r="V35" s="221">
        <f t="shared" si="12"/>
        <v>0.46972560975609751</v>
      </c>
      <c r="W35" s="221">
        <f t="shared" si="13"/>
        <v>0.34370166567519328</v>
      </c>
      <c r="X35" s="201">
        <f t="shared" si="14"/>
        <v>350</v>
      </c>
      <c r="Y35" s="451">
        <f t="shared" si="54"/>
        <v>350</v>
      </c>
      <c r="AA35" s="221">
        <f t="shared" si="15"/>
        <v>2.1998658618376927</v>
      </c>
      <c r="AB35" s="177">
        <f t="shared" si="16"/>
        <v>1.2072434607645877</v>
      </c>
      <c r="AC35" s="177">
        <f t="shared" si="17"/>
        <v>0.46476039334599145</v>
      </c>
      <c r="AD35" s="177"/>
      <c r="AE35" s="177">
        <f t="shared" si="18"/>
        <v>0.45</v>
      </c>
      <c r="AF35" s="555">
        <f t="shared" si="19"/>
        <v>682.92682926829275</v>
      </c>
      <c r="AG35" s="538">
        <f t="shared" si="20"/>
        <v>6.4574999999999994E-2</v>
      </c>
      <c r="AI35" s="177">
        <f t="shared" si="21"/>
        <v>1.2073846850849888</v>
      </c>
      <c r="AJ35" s="177">
        <f t="shared" si="22"/>
        <v>1.2073846850849888</v>
      </c>
      <c r="AK35" s="177">
        <f t="shared" si="23"/>
        <v>1.4582564567233258</v>
      </c>
      <c r="AM35" s="555">
        <f t="shared" si="24"/>
        <v>126</v>
      </c>
      <c r="AN35" s="469">
        <f t="shared" si="25"/>
        <v>350</v>
      </c>
      <c r="AP35">
        <f t="shared" si="26"/>
        <v>126</v>
      </c>
      <c r="AQ35" s="469">
        <f t="shared" si="27"/>
        <v>350</v>
      </c>
      <c r="AR35" s="469"/>
      <c r="AS35" s="5">
        <f t="shared" si="55"/>
        <v>2.8571428571428572</v>
      </c>
      <c r="AT35" s="5">
        <f t="shared" si="28"/>
        <v>0.90553851381374162</v>
      </c>
      <c r="AU35" s="5">
        <f t="shared" si="56"/>
        <v>1.9516043433291155</v>
      </c>
      <c r="AV35" s="5">
        <f t="shared" si="29"/>
        <v>0.66258915644907923</v>
      </c>
      <c r="AW35" s="177">
        <f t="shared" si="57"/>
        <v>0.31693847983480955</v>
      </c>
      <c r="AX35" s="177">
        <f t="shared" si="30"/>
        <v>2.2959999999999994</v>
      </c>
      <c r="AY35" s="177">
        <f t="shared" si="31"/>
        <v>0.41235900920916108</v>
      </c>
      <c r="AZ35" s="177">
        <f t="shared" si="58"/>
        <v>5.5679637129872868</v>
      </c>
      <c r="BA35" s="469">
        <f t="shared" si="32"/>
        <v>19.587372721622344</v>
      </c>
      <c r="BB35" s="469">
        <f t="shared" si="33"/>
        <v>3.1720666275659841</v>
      </c>
      <c r="BC35" s="5">
        <f t="shared" si="34"/>
        <v>0.58819186458669159</v>
      </c>
      <c r="BD35" s="469">
        <f t="shared" si="35"/>
        <v>35.834011875201504</v>
      </c>
      <c r="BE35" s="5"/>
      <c r="BF35" s="177">
        <f t="shared" si="59"/>
        <v>0.39243932559732747</v>
      </c>
      <c r="BG35" s="177">
        <f t="shared" si="36"/>
        <v>0.57612264462581286</v>
      </c>
      <c r="BH35" s="177"/>
      <c r="BI35" s="538">
        <f t="shared" si="37"/>
        <v>1.6940948670281373E-2</v>
      </c>
      <c r="BJ35" s="538">
        <f t="shared" si="38"/>
        <v>6.0007018848723941E-2</v>
      </c>
      <c r="BK35" s="538">
        <f t="shared" si="39"/>
        <v>1.7499999999999998E-2</v>
      </c>
      <c r="BL35" s="538">
        <f t="shared" si="40"/>
        <v>6.3516599999999993E-2</v>
      </c>
      <c r="BM35">
        <f t="shared" si="41"/>
        <v>3.48E-3</v>
      </c>
      <c r="BN35">
        <f t="shared" si="42"/>
        <v>2.4500000000000003E-5</v>
      </c>
      <c r="BO35" s="538">
        <f t="shared" si="43"/>
        <v>0.16197533845155151</v>
      </c>
      <c r="BP35" s="469">
        <f t="shared" si="60"/>
        <v>161.97533845155152</v>
      </c>
      <c r="BQ35" s="538">
        <f t="shared" si="44"/>
        <v>0.1134</v>
      </c>
      <c r="BR35" s="538"/>
      <c r="BT35" s="469">
        <f t="shared" si="61"/>
        <v>113.4</v>
      </c>
      <c r="BU35" s="538">
        <f t="shared" si="45"/>
        <v>7.3924139652136898E-3</v>
      </c>
      <c r="BV35" s="538">
        <f t="shared" si="46"/>
        <v>7.9660152396153747E-2</v>
      </c>
      <c r="BW35" s="538">
        <f t="shared" si="47"/>
        <v>0</v>
      </c>
      <c r="BX35" s="538">
        <f t="shared" si="48"/>
        <v>8.7663069978708458E-2</v>
      </c>
      <c r="BY35" s="538">
        <f t="shared" si="49"/>
        <v>2.5511111111111106E-2</v>
      </c>
      <c r="BZ35" s="469">
        <f t="shared" si="62"/>
        <v>113.17418108981957</v>
      </c>
      <c r="CA35" s="177">
        <f t="shared" si="63"/>
        <v>0.38854951954137101</v>
      </c>
      <c r="CB35" s="5">
        <f t="shared" si="64"/>
        <v>1.9530000000000001</v>
      </c>
      <c r="CC35" s="177">
        <f t="shared" si="65"/>
        <v>0.8340630781887225</v>
      </c>
      <c r="CD35" s="5">
        <f t="shared" si="66"/>
        <v>83.40630781887225</v>
      </c>
      <c r="CG35" s="571">
        <f t="shared" si="50"/>
        <v>-50</v>
      </c>
      <c r="CH35">
        <f t="shared" si="51"/>
        <v>-50</v>
      </c>
    </row>
    <row r="36" spans="5:86" x14ac:dyDescent="0.2">
      <c r="E36" s="174">
        <v>31</v>
      </c>
      <c r="F36" s="221">
        <f t="shared" si="52"/>
        <v>0.13019999999999998</v>
      </c>
      <c r="G36" s="221"/>
      <c r="H36" s="221">
        <f t="shared" si="0"/>
        <v>2.0180999999999996</v>
      </c>
      <c r="I36" s="551">
        <f t="shared" si="1"/>
        <v>12</v>
      </c>
      <c r="J36" s="176">
        <f t="shared" si="2"/>
        <v>16.399999999999999</v>
      </c>
      <c r="K36" s="451">
        <f t="shared" si="3"/>
        <v>28.4</v>
      </c>
      <c r="L36" s="451"/>
      <c r="M36" s="221">
        <f t="shared" si="4"/>
        <v>0.57746478873239437</v>
      </c>
      <c r="N36" s="176">
        <f t="shared" si="5"/>
        <v>12.78507042253521</v>
      </c>
      <c r="O36" s="176">
        <f t="shared" si="53"/>
        <v>2.0180999999999996</v>
      </c>
      <c r="P36" s="221">
        <f t="shared" si="6"/>
        <v>0.82484325306678774</v>
      </c>
      <c r="Q36" s="221">
        <f t="shared" si="7"/>
        <v>15.5</v>
      </c>
      <c r="R36" s="221">
        <f t="shared" si="8"/>
        <v>0.91649250340754196</v>
      </c>
      <c r="S36" s="176">
        <f t="shared" si="9"/>
        <v>158.11400149672187</v>
      </c>
      <c r="T36" s="176">
        <f t="shared" si="10"/>
        <v>15.5</v>
      </c>
      <c r="U36" s="221">
        <f t="shared" si="11"/>
        <v>0.64717750677506758</v>
      </c>
      <c r="V36" s="221">
        <f t="shared" si="12"/>
        <v>0.48538313008130068</v>
      </c>
      <c r="W36" s="221">
        <f t="shared" si="13"/>
        <v>0.35515838786436638</v>
      </c>
      <c r="X36" s="201">
        <f t="shared" si="14"/>
        <v>350</v>
      </c>
      <c r="Y36" s="451">
        <f t="shared" si="54"/>
        <v>350</v>
      </c>
      <c r="AA36" s="221">
        <f t="shared" si="15"/>
        <v>2.1998658618376927</v>
      </c>
      <c r="AB36" s="177">
        <f t="shared" si="16"/>
        <v>1.2072434607645877</v>
      </c>
      <c r="AC36" s="177">
        <f t="shared" si="17"/>
        <v>0.46476039334599145</v>
      </c>
      <c r="AD36" s="177"/>
      <c r="AE36" s="177">
        <f t="shared" si="18"/>
        <v>0.45</v>
      </c>
      <c r="AF36" s="555">
        <f t="shared" si="19"/>
        <v>705.69105691056905</v>
      </c>
      <c r="AG36" s="538">
        <f t="shared" si="20"/>
        <v>6.4574999999999994E-2</v>
      </c>
      <c r="AI36" s="177">
        <f t="shared" si="21"/>
        <v>1.2273428088233418</v>
      </c>
      <c r="AJ36" s="177">
        <f t="shared" si="22"/>
        <v>1.2273428088233418</v>
      </c>
      <c r="AK36" s="177">
        <f t="shared" si="23"/>
        <v>1.4715618725488946</v>
      </c>
      <c r="AM36" s="555">
        <f t="shared" si="24"/>
        <v>130.19999999999999</v>
      </c>
      <c r="AN36" s="469">
        <f t="shared" si="25"/>
        <v>350</v>
      </c>
      <c r="AP36">
        <f t="shared" si="26"/>
        <v>130.19999999999999</v>
      </c>
      <c r="AQ36" s="469">
        <f t="shared" si="27"/>
        <v>350</v>
      </c>
      <c r="AR36" s="469"/>
      <c r="AS36" s="5">
        <f t="shared" si="55"/>
        <v>2.8571428571428572</v>
      </c>
      <c r="AT36" s="5">
        <f t="shared" si="28"/>
        <v>0.92050710661750645</v>
      </c>
      <c r="AU36" s="5">
        <f t="shared" si="56"/>
        <v>1.9366357505253506</v>
      </c>
      <c r="AV36" s="5">
        <f t="shared" si="29"/>
        <v>0.67354178532988285</v>
      </c>
      <c r="AW36" s="177">
        <f t="shared" si="57"/>
        <v>0.32217748731612728</v>
      </c>
      <c r="AX36" s="177">
        <f t="shared" si="30"/>
        <v>2.3725333333333332</v>
      </c>
      <c r="AY36" s="177">
        <f t="shared" si="31"/>
        <v>0.41596029330055978</v>
      </c>
      <c r="AZ36" s="177">
        <f t="shared" si="58"/>
        <v>5.7037495442359818</v>
      </c>
      <c r="BA36" s="469">
        <f t="shared" si="32"/>
        <v>19.587372721622344</v>
      </c>
      <c r="BB36" s="469">
        <f t="shared" si="33"/>
        <v>3.3783822545454543</v>
      </c>
      <c r="BC36" s="5">
        <f t="shared" si="34"/>
        <v>0.60313651360111242</v>
      </c>
      <c r="BD36" s="469">
        <f t="shared" si="35"/>
        <v>36.748774149400084</v>
      </c>
      <c r="BE36" s="5"/>
      <c r="BF36" s="177">
        <f t="shared" si="59"/>
        <v>0.40220998698581556</v>
      </c>
      <c r="BG36" s="177">
        <f t="shared" si="36"/>
        <v>0.58339573460815897</v>
      </c>
      <c r="BH36" s="177"/>
      <c r="BI36" s="538">
        <f t="shared" si="37"/>
        <v>1.7795016099424289E-2</v>
      </c>
      <c r="BJ36" s="538">
        <f t="shared" si="38"/>
        <v>6.0998937598520091E-2</v>
      </c>
      <c r="BK36" s="538">
        <f t="shared" si="39"/>
        <v>1.7499999999999998E-2</v>
      </c>
      <c r="BL36" s="538">
        <f t="shared" si="40"/>
        <v>6.3516599999999993E-2</v>
      </c>
      <c r="BM36">
        <f t="shared" si="41"/>
        <v>3.48E-3</v>
      </c>
      <c r="BN36">
        <f t="shared" si="42"/>
        <v>2.4500000000000003E-5</v>
      </c>
      <c r="BO36" s="538">
        <f t="shared" si="43"/>
        <v>0.16385301270927852</v>
      </c>
      <c r="BP36" s="469">
        <f t="shared" si="60"/>
        <v>163.85301270927852</v>
      </c>
      <c r="BQ36" s="538">
        <f t="shared" si="44"/>
        <v>0.11717999999999999</v>
      </c>
      <c r="BR36" s="538"/>
      <c r="BT36" s="469">
        <f t="shared" si="61"/>
        <v>117.17999999999999</v>
      </c>
      <c r="BU36" s="538">
        <f t="shared" si="45"/>
        <v>7.765097934294236E-3</v>
      </c>
      <c r="BV36" s="538">
        <f t="shared" si="46"/>
        <v>8.168413995815843E-2</v>
      </c>
      <c r="BW36" s="538">
        <f t="shared" si="47"/>
        <v>0</v>
      </c>
      <c r="BX36" s="538">
        <f t="shared" si="48"/>
        <v>9.0093944667591935E-2</v>
      </c>
      <c r="BY36" s="538">
        <f t="shared" si="49"/>
        <v>2.6361481481481479E-2</v>
      </c>
      <c r="BZ36" s="469">
        <f t="shared" si="62"/>
        <v>116.45542614907342</v>
      </c>
      <c r="CA36" s="177">
        <f t="shared" si="63"/>
        <v>0.39748843885835189</v>
      </c>
      <c r="CB36" s="5">
        <f t="shared" si="64"/>
        <v>2.0180999999999996</v>
      </c>
      <c r="CC36" s="177">
        <f t="shared" si="65"/>
        <v>0.83544860851949942</v>
      </c>
      <c r="CD36" s="5">
        <f t="shared" si="66"/>
        <v>83.544860851949949</v>
      </c>
      <c r="CG36" s="571">
        <f t="shared" si="50"/>
        <v>-50</v>
      </c>
      <c r="CH36">
        <f t="shared" si="51"/>
        <v>-50</v>
      </c>
    </row>
    <row r="37" spans="5:86" x14ac:dyDescent="0.2">
      <c r="E37" s="174">
        <v>32</v>
      </c>
      <c r="F37" s="221">
        <f t="shared" si="52"/>
        <v>0.13439999999999999</v>
      </c>
      <c r="G37" s="221"/>
      <c r="H37" s="221">
        <f t="shared" ref="H37:H68" si="67">F37*Vout</f>
        <v>2.0831999999999997</v>
      </c>
      <c r="I37" s="551">
        <f t="shared" ref="I37:I68" si="68">Vin</f>
        <v>12</v>
      </c>
      <c r="J37" s="176">
        <f t="shared" ref="J37:J68" si="69">(T37+Vfwd1)*Nps</f>
        <v>16.399999999999999</v>
      </c>
      <c r="K37" s="451">
        <f t="shared" ref="K37:K68" si="70">(Vout+Vfwd1)*Nps+I37</f>
        <v>28.4</v>
      </c>
      <c r="L37" s="451"/>
      <c r="M37" s="221">
        <f t="shared" ref="M37:M68" si="71">(Vout+Vfwd1)*Nps/((Vout+Vfwd1)*Nps+I37)</f>
        <v>0.57746478873239437</v>
      </c>
      <c r="N37" s="176">
        <f t="shared" ref="N37:N68" si="72">M37*I37*Isw_max*0.5*Efficiency</f>
        <v>12.78507042253521</v>
      </c>
      <c r="O37" s="176">
        <f t="shared" si="53"/>
        <v>2.0831999999999997</v>
      </c>
      <c r="P37" s="221">
        <f t="shared" ref="P37:P68" si="73">N37/Vout</f>
        <v>0.82484325306678774</v>
      </c>
      <c r="Q37" s="221">
        <f t="shared" ref="Q37:Q68" si="74">MIN(Vout,N37/F37)</f>
        <v>15.5</v>
      </c>
      <c r="R37" s="221">
        <f t="shared" ref="R37:R68" si="75">Isw_max/2*I37*Nps*(Q37+Vfwd1)/Q37/(I37+Nps*(Q37+Vfwd1))</f>
        <v>0.91649250340754196</v>
      </c>
      <c r="S37" s="176">
        <f t="shared" ref="S37:S68" si="76">(SQRT(Isw_max^2*Nps^2*I37^2+4*Isw_max*F37/Efficiency*(Nps^2*Vfwd1*I37-Nps*I37^2)+4*(F37/Efficiency)^2*Nps^2*Vfwd1^2+8*(F37/Efficiency)^2*Nps*Vfwd1*I37+4*(F37/Efficiency)^2*I37^2)-2*F37/Efficiency*I37-2*F37/Efficiency*Nps*Vfwd1+Isw_max*Nps*I37)/(4*F37/Efficiency*Nps)</f>
        <v>152.80240850948192</v>
      </c>
      <c r="T37" s="176">
        <f t="shared" ref="T37:T68" si="77">MIN(Vout, S37)</f>
        <v>15.5</v>
      </c>
      <c r="U37" s="221">
        <f t="shared" ref="U37:U68" si="78">MIN(2*Vout*F37/(Efficiency*I37*M37), Isw_max)</f>
        <v>0.66805420054200526</v>
      </c>
      <c r="V37" s="221">
        <f t="shared" ref="V37:V68" si="79">L*U37/I37*1000000</f>
        <v>0.50104065040650392</v>
      </c>
      <c r="W37" s="221">
        <f t="shared" ref="W37:W68" si="80">L*U37/J37*1000000</f>
        <v>0.36661511005353953</v>
      </c>
      <c r="X37" s="201">
        <f t="shared" ref="X37:X68" si="81">IF(1/((350000*L)*(1/I37+1/J37))&gt;Isw_min, 350, 0.001/((Isw_min*L)*(1/I37+1/J37)))</f>
        <v>350</v>
      </c>
      <c r="Y37" s="451">
        <f t="shared" si="54"/>
        <v>350</v>
      </c>
      <c r="AA37" s="221">
        <f t="shared" ref="AA37:AA68" si="82">1/((X37*1000*L)*(1/I37+1/J37))</f>
        <v>2.1998658618376927</v>
      </c>
      <c r="AB37" s="177">
        <f t="shared" ref="AB37:AB68" si="83">L*AA37/J37*1000000</f>
        <v>1.2072434607645877</v>
      </c>
      <c r="AC37" s="177">
        <f t="shared" ref="AC37:AC68" si="84">0.5*AB37*AA37*Nps*X37/1000</f>
        <v>0.46476039334599145</v>
      </c>
      <c r="AD37" s="177"/>
      <c r="AE37" s="177">
        <f t="shared" ref="AE37:AE68" si="85">L*Isw_min/J37*1000000</f>
        <v>0.45</v>
      </c>
      <c r="AF37" s="555">
        <f t="shared" ref="AF37:AF68" si="86">MAX(12, F37/(0.5*AE37/1000000*Isw_min*Nps)/1000)</f>
        <v>728.45528455284557</v>
      </c>
      <c r="AG37" s="538">
        <f t="shared" ref="AG37:AG68" si="87">0.5*AE37/1000000*Isw_min*Nps*X37*1000</f>
        <v>6.4574999999999994E-2</v>
      </c>
      <c r="AI37" s="177">
        <f t="shared" ref="AI37:AI68" si="88">SQRT(F37/Efficiency/(0.5*L/J37*Fsw_DCM*Nps))</f>
        <v>1.2469815407466793</v>
      </c>
      <c r="AJ37" s="177">
        <f t="shared" ref="AJ37:AJ71" si="89">MAX(IF(F37&gt;AC37,U37,AI37),Isw_min)</f>
        <v>1.2469815407466793</v>
      </c>
      <c r="AK37" s="177">
        <f t="shared" ref="AK37:AK68" si="90">IF(F37&gt;AG37, (AJ37-Isw_min)/1.2*0.8+1.2, AF37*0.2/350+1)</f>
        <v>1.4846543604977862</v>
      </c>
      <c r="AM37" s="555">
        <f t="shared" ref="AM37:AM68" si="91">F37*1000</f>
        <v>134.4</v>
      </c>
      <c r="AN37" s="469">
        <f t="shared" ref="AN37:AN68" si="92">IF(F37&gt;AG37, Y37, AF37)</f>
        <v>350</v>
      </c>
      <c r="AP37">
        <f t="shared" ref="AP37:AP68" si="93">IF(H37&gt;N37, "",AM37)</f>
        <v>134.4</v>
      </c>
      <c r="AQ37" s="469">
        <f t="shared" ref="AQ37:AQ68" si="94">IF(H37&gt;N37, "",AN37)</f>
        <v>350</v>
      </c>
      <c r="AR37" s="469"/>
      <c r="AS37" s="5">
        <f t="shared" si="55"/>
        <v>2.8571428571428572</v>
      </c>
      <c r="AT37" s="5">
        <f t="shared" ref="AT37:AT68" si="95">L*AJ37/I37*1000000</f>
        <v>0.9352361555600095</v>
      </c>
      <c r="AU37" s="5">
        <f t="shared" si="56"/>
        <v>1.9219067015828477</v>
      </c>
      <c r="AV37" s="5">
        <f t="shared" ref="AV37:AV68" si="96">L*AJ37/J37*1000000</f>
        <v>0.68431913821464119</v>
      </c>
      <c r="AW37" s="177">
        <f t="shared" si="57"/>
        <v>0.32733265444600329</v>
      </c>
      <c r="AX37" s="177">
        <f t="shared" ref="AX37:AX68" si="97">0.5*L*AJ37^2*AN37*1000</f>
        <v>2.4490666666666656</v>
      </c>
      <c r="AY37" s="177">
        <f t="shared" ref="AY37:AY68" si="98">AJ37*Nps/2*(1-AW37)</f>
        <v>0.41940188148445084</v>
      </c>
      <c r="AZ37" s="177">
        <f t="shared" si="58"/>
        <v>5.8394269906427771</v>
      </c>
      <c r="BA37" s="469">
        <f t="shared" ref="BA37:BA68" si="99">L*Isw_max^2/(2*Vout_ripple*Vout)*1000000000*((1+M37)/2)^2</f>
        <v>19.587372721622344</v>
      </c>
      <c r="BB37" s="469">
        <f t="shared" ref="BB37:BB68" si="100">L*F37^2/(2*Cout*Vout*Nps^2)*1000000000*((1+M37)/(1-M37))^2+F37*RCoutEsr</f>
        <v>3.5911869184750738</v>
      </c>
      <c r="BC37" s="5">
        <f t="shared" ref="BC37:BC68" si="101">H37/Efficiency/I37*AU37/Vinripple1</f>
        <v>0.61785741369404124</v>
      </c>
      <c r="BD37" s="469">
        <f t="shared" ref="BD37:BD68" si="102">((CB37/I37/Efficiency)*AU37/Cin+(CB37/I37/Efficiency)*RCinEsr)*1000</f>
        <v>37.650111488309143</v>
      </c>
      <c r="BE37" s="5"/>
      <c r="BF37" s="177">
        <f t="shared" si="59"/>
        <v>0.41190215433275279</v>
      </c>
      <c r="BG37" s="177">
        <f t="shared" ref="BG37:BG68" si="103">AJ37*Nps*SQRT((1-AW37)/3)</f>
        <v>0.59047235575457535</v>
      </c>
      <c r="BH37" s="177"/>
      <c r="BI37" s="538">
        <f t="shared" ref="BI37:BI68" si="104">Rdson*BF37^2</f>
        <v>1.8662972321835919E-2</v>
      </c>
      <c r="BJ37" s="538">
        <f t="shared" ref="BJ37:BJ68" si="105">0.5*K37*AJ37*AN37*1000*Trise</f>
        <v>6.1974982575109964E-2</v>
      </c>
      <c r="BK37" s="538">
        <f t="shared" ref="BK37:BK68" si="106">Qg*Vdd*AN37*1000</f>
        <v>1.7499999999999998E-2</v>
      </c>
      <c r="BL37" s="538">
        <f t="shared" ref="BL37:BL68" si="107">0.5*(Coss+Csw)*K37^2*AN37*1000</f>
        <v>6.3516599999999993E-2</v>
      </c>
      <c r="BM37">
        <f t="shared" ref="BM37:BM68" si="108">I37*IQ</f>
        <v>3.48E-3</v>
      </c>
      <c r="BN37">
        <f t="shared" ref="BN37:BN68" si="109">(I37-Vdd)*Qg*AN37</f>
        <v>2.4500000000000003E-5</v>
      </c>
      <c r="BO37" s="538">
        <f t="shared" ref="BO37:BO68" si="110">(BJ37+BK37+BL37+BM37+BN37+BI37*(1+RdsonTC*(Ta-25)))/(1-BI37*RdsonTC*ThetaJA)</f>
        <v>0.16572971507318682</v>
      </c>
      <c r="BP37" s="469">
        <f t="shared" si="60"/>
        <v>165.72971507318681</v>
      </c>
      <c r="BQ37" s="538">
        <f t="shared" ref="BQ37:BQ68" si="111">(Vfwd2*F37+BG37^2*Rdiode)*(1+Diode_TC/1000*(Ta-25))</f>
        <v>0.12096</v>
      </c>
      <c r="BR37" s="538"/>
      <c r="BT37" s="469">
        <f t="shared" si="61"/>
        <v>120.96</v>
      </c>
      <c r="BU37" s="538">
        <f t="shared" ref="BU37:BU68" si="112">Rdcr_pri*BF37^2</f>
        <v>8.1438424677102196E-3</v>
      </c>
      <c r="BV37" s="538">
        <f t="shared" ref="BV37:BV68" si="113">Rdcr_sec*BG37^2</f>
        <v>8.3677824698485864E-2</v>
      </c>
      <c r="BW37" s="538">
        <f t="shared" ref="BW37:BW68" si="114">AJ37^2.5*AN37^2.5*k_core</f>
        <v>0</v>
      </c>
      <c r="BX37" s="538">
        <f t="shared" ref="BX37:BX68" si="115">(BW37+(BU37+BV37)*(1+Ltc*(Ta-25)))/(1-(BU37+BV37)*Ltc*ThetaCa)</f>
        <v>9.2501155994855921E-2</v>
      </c>
      <c r="BY37" s="538">
        <f t="shared" ref="BY37:BY68" si="116">0.5*Lleak*0.000000001*AJ37^2*AN37*1000</f>
        <v>2.7211851851851841E-2</v>
      </c>
      <c r="BZ37" s="469">
        <f t="shared" si="62"/>
        <v>119.71300784670777</v>
      </c>
      <c r="CA37" s="177">
        <f t="shared" si="63"/>
        <v>0.40640272291989454</v>
      </c>
      <c r="CB37" s="5">
        <f t="shared" si="64"/>
        <v>2.0831999999999997</v>
      </c>
      <c r="CC37" s="177">
        <f t="shared" si="65"/>
        <v>0.83676001027053382</v>
      </c>
      <c r="CD37" s="5">
        <f t="shared" si="66"/>
        <v>83.676001027053388</v>
      </c>
      <c r="CG37" s="571">
        <f t="shared" ref="CG37:CG68" si="117">IF(ABS(F37-Ioutmax_Vinnom)&lt;Iout/200, AN37, -50)</f>
        <v>-50</v>
      </c>
      <c r="CH37">
        <f t="shared" ref="CH37:CH68" si="118">IF(ABS(F37-Ioutmax_Vinnom)&lt;Iout/200, N37*CC37, -50)</f>
        <v>-50</v>
      </c>
    </row>
    <row r="38" spans="5:86" x14ac:dyDescent="0.2">
      <c r="E38" s="174">
        <v>33</v>
      </c>
      <c r="F38" s="221">
        <f t="shared" ref="F38:F69" si="119">IF(PLOT_TYPE=1, E38/100*Iout_max, min_I*EXP(N38*rr/100))</f>
        <v>0.1386</v>
      </c>
      <c r="G38" s="221"/>
      <c r="H38" s="221">
        <f t="shared" si="67"/>
        <v>2.1482999999999999</v>
      </c>
      <c r="I38" s="551">
        <f t="shared" si="68"/>
        <v>12</v>
      </c>
      <c r="J38" s="176">
        <f t="shared" si="69"/>
        <v>16.399999999999999</v>
      </c>
      <c r="K38" s="451">
        <f t="shared" si="70"/>
        <v>28.4</v>
      </c>
      <c r="L38" s="451"/>
      <c r="M38" s="221">
        <f t="shared" si="71"/>
        <v>0.57746478873239437</v>
      </c>
      <c r="N38" s="176">
        <f t="shared" si="72"/>
        <v>12.78507042253521</v>
      </c>
      <c r="O38" s="176">
        <f t="shared" si="53"/>
        <v>2.1482999999999999</v>
      </c>
      <c r="P38" s="221">
        <f t="shared" si="73"/>
        <v>0.82484325306678774</v>
      </c>
      <c r="Q38" s="221">
        <f t="shared" si="74"/>
        <v>15.5</v>
      </c>
      <c r="R38" s="221">
        <f t="shared" si="75"/>
        <v>0.91649250340754196</v>
      </c>
      <c r="S38" s="176">
        <f t="shared" si="76"/>
        <v>147.81288290369471</v>
      </c>
      <c r="T38" s="176">
        <f t="shared" si="77"/>
        <v>15.5</v>
      </c>
      <c r="U38" s="221">
        <f t="shared" si="78"/>
        <v>0.68893089430894294</v>
      </c>
      <c r="V38" s="221">
        <f t="shared" si="79"/>
        <v>0.51669817073170721</v>
      </c>
      <c r="W38" s="221">
        <f t="shared" si="80"/>
        <v>0.37807183224271262</v>
      </c>
      <c r="X38" s="201">
        <f t="shared" si="81"/>
        <v>350</v>
      </c>
      <c r="Y38" s="451">
        <f t="shared" si="54"/>
        <v>350</v>
      </c>
      <c r="AA38" s="221">
        <f t="shared" si="82"/>
        <v>2.1998658618376927</v>
      </c>
      <c r="AB38" s="177">
        <f t="shared" si="83"/>
        <v>1.2072434607645877</v>
      </c>
      <c r="AC38" s="177">
        <f t="shared" si="84"/>
        <v>0.46476039334599145</v>
      </c>
      <c r="AD38" s="177"/>
      <c r="AE38" s="177">
        <f t="shared" si="85"/>
        <v>0.45</v>
      </c>
      <c r="AF38" s="555">
        <f t="shared" si="86"/>
        <v>751.21951219512198</v>
      </c>
      <c r="AG38" s="538">
        <f t="shared" si="87"/>
        <v>6.4574999999999994E-2</v>
      </c>
      <c r="AI38" s="177">
        <f t="shared" si="88"/>
        <v>1.2663157408622683</v>
      </c>
      <c r="AJ38" s="177">
        <f t="shared" si="89"/>
        <v>1.2663157408622683</v>
      </c>
      <c r="AK38" s="177">
        <f t="shared" si="90"/>
        <v>1.4975438272415122</v>
      </c>
      <c r="AM38" s="555">
        <f t="shared" si="91"/>
        <v>138.6</v>
      </c>
      <c r="AN38" s="469">
        <f t="shared" si="92"/>
        <v>350</v>
      </c>
      <c r="AP38">
        <f t="shared" si="93"/>
        <v>138.6</v>
      </c>
      <c r="AQ38" s="469">
        <f t="shared" si="94"/>
        <v>350</v>
      </c>
      <c r="AR38" s="469"/>
      <c r="AS38" s="5">
        <f t="shared" si="55"/>
        <v>2.8571428571428572</v>
      </c>
      <c r="AT38" s="5">
        <f t="shared" si="95"/>
        <v>0.94973680564670115</v>
      </c>
      <c r="AU38" s="5">
        <f t="shared" si="56"/>
        <v>1.9074060514961562</v>
      </c>
      <c r="AV38" s="5">
        <f t="shared" si="96"/>
        <v>0.69492936998539112</v>
      </c>
      <c r="AW38" s="177">
        <f t="shared" si="57"/>
        <v>0.33240788197634541</v>
      </c>
      <c r="AX38" s="177">
        <f t="shared" si="97"/>
        <v>2.5255999999999998</v>
      </c>
      <c r="AY38" s="177">
        <f t="shared" si="98"/>
        <v>0.4226912037644675</v>
      </c>
      <c r="AZ38" s="177">
        <f t="shared" si="58"/>
        <v>5.9750474519155539</v>
      </c>
      <c r="BA38" s="469">
        <f t="shared" si="99"/>
        <v>19.587372721622344</v>
      </c>
      <c r="BB38" s="469">
        <f t="shared" si="100"/>
        <v>3.8104806193548413</v>
      </c>
      <c r="BC38" s="5">
        <f t="shared" si="101"/>
        <v>0.63235808957240602</v>
      </c>
      <c r="BD38" s="469">
        <f t="shared" si="102"/>
        <v>38.538235374344374</v>
      </c>
      <c r="BE38" s="5"/>
      <c r="BF38" s="177">
        <f t="shared" si="59"/>
        <v>0.42151888287225597</v>
      </c>
      <c r="BG38" s="177">
        <f t="shared" si="103"/>
        <v>0.59736115533288892</v>
      </c>
      <c r="BH38" s="177"/>
      <c r="BI38" s="538">
        <f t="shared" si="104"/>
        <v>1.954459854796621E-2</v>
      </c>
      <c r="BJ38" s="538">
        <f t="shared" si="105"/>
        <v>6.2935892320854725E-2</v>
      </c>
      <c r="BK38" s="538">
        <f t="shared" si="106"/>
        <v>1.7499999999999998E-2</v>
      </c>
      <c r="BL38" s="538">
        <f t="shared" si="107"/>
        <v>6.3516599999999993E-2</v>
      </c>
      <c r="BM38">
        <f t="shared" si="108"/>
        <v>3.48E-3</v>
      </c>
      <c r="BN38">
        <f t="shared" si="109"/>
        <v>2.4500000000000003E-5</v>
      </c>
      <c r="BO38" s="538">
        <f t="shared" si="110"/>
        <v>0.1676059743975897</v>
      </c>
      <c r="BP38" s="469">
        <f t="shared" si="60"/>
        <v>167.6059743975897</v>
      </c>
      <c r="BQ38" s="538">
        <f t="shared" si="111"/>
        <v>0.12474</v>
      </c>
      <c r="BR38" s="538"/>
      <c r="BT38" s="469">
        <f t="shared" si="61"/>
        <v>124.74000000000001</v>
      </c>
      <c r="BU38" s="538">
        <f t="shared" si="112"/>
        <v>8.5285520936579824E-3</v>
      </c>
      <c r="BV38" s="538">
        <f t="shared" si="113"/>
        <v>8.5641683976154515E-2</v>
      </c>
      <c r="BW38" s="538">
        <f t="shared" si="114"/>
        <v>0</v>
      </c>
      <c r="BX38" s="538">
        <f t="shared" si="115"/>
        <v>9.4885063979770437E-2</v>
      </c>
      <c r="BY38" s="538">
        <f t="shared" si="116"/>
        <v>2.8062222222222221E-2</v>
      </c>
      <c r="BZ38" s="469">
        <f t="shared" si="62"/>
        <v>122.94728620199267</v>
      </c>
      <c r="CA38" s="177">
        <f t="shared" si="63"/>
        <v>0.41529326059958233</v>
      </c>
      <c r="CB38" s="5">
        <f t="shared" si="64"/>
        <v>2.1482999999999999</v>
      </c>
      <c r="CC38" s="177">
        <f t="shared" si="65"/>
        <v>0.83800345125636189</v>
      </c>
      <c r="CD38" s="5">
        <f t="shared" si="66"/>
        <v>83.800345125636184</v>
      </c>
      <c r="CG38" s="571">
        <f t="shared" si="117"/>
        <v>-50</v>
      </c>
      <c r="CH38">
        <f t="shared" si="118"/>
        <v>-50</v>
      </c>
    </row>
    <row r="39" spans="5:86" x14ac:dyDescent="0.2">
      <c r="E39" s="174">
        <v>34</v>
      </c>
      <c r="F39" s="221">
        <f t="shared" si="119"/>
        <v>0.14280000000000001</v>
      </c>
      <c r="G39" s="221"/>
      <c r="H39" s="221">
        <f t="shared" si="67"/>
        <v>2.2134</v>
      </c>
      <c r="I39" s="551">
        <f t="shared" si="68"/>
        <v>12</v>
      </c>
      <c r="J39" s="176">
        <f t="shared" si="69"/>
        <v>16.399999999999999</v>
      </c>
      <c r="K39" s="451">
        <f t="shared" si="70"/>
        <v>28.4</v>
      </c>
      <c r="L39" s="451"/>
      <c r="M39" s="221">
        <f t="shared" si="71"/>
        <v>0.57746478873239437</v>
      </c>
      <c r="N39" s="176">
        <f t="shared" si="72"/>
        <v>12.78507042253521</v>
      </c>
      <c r="O39" s="176">
        <f t="shared" si="53"/>
        <v>2.2134</v>
      </c>
      <c r="P39" s="221">
        <f t="shared" si="73"/>
        <v>0.82484325306678774</v>
      </c>
      <c r="Q39" s="221">
        <f t="shared" si="74"/>
        <v>15.5</v>
      </c>
      <c r="R39" s="221">
        <f t="shared" si="75"/>
        <v>0.91649250340754196</v>
      </c>
      <c r="S39" s="176">
        <f t="shared" si="76"/>
        <v>143.11700794946179</v>
      </c>
      <c r="T39" s="176">
        <f t="shared" si="77"/>
        <v>15.5</v>
      </c>
      <c r="U39" s="221">
        <f t="shared" si="78"/>
        <v>0.70980758807588074</v>
      </c>
      <c r="V39" s="221">
        <f t="shared" si="79"/>
        <v>0.53235569105691061</v>
      </c>
      <c r="W39" s="221">
        <f t="shared" si="80"/>
        <v>0.38952855443188583</v>
      </c>
      <c r="X39" s="201">
        <f t="shared" si="81"/>
        <v>350</v>
      </c>
      <c r="Y39" s="451">
        <f t="shared" si="54"/>
        <v>350</v>
      </c>
      <c r="AA39" s="221">
        <f t="shared" si="82"/>
        <v>2.1998658618376927</v>
      </c>
      <c r="AB39" s="177">
        <f t="shared" si="83"/>
        <v>1.2072434607645877</v>
      </c>
      <c r="AC39" s="177">
        <f t="shared" si="84"/>
        <v>0.46476039334599145</v>
      </c>
      <c r="AD39" s="177"/>
      <c r="AE39" s="177">
        <f t="shared" si="85"/>
        <v>0.45</v>
      </c>
      <c r="AF39" s="555">
        <f t="shared" si="86"/>
        <v>773.9837398373985</v>
      </c>
      <c r="AG39" s="538">
        <f t="shared" si="87"/>
        <v>6.4574999999999994E-2</v>
      </c>
      <c r="AI39" s="177">
        <f t="shared" si="88"/>
        <v>1.285359151423503</v>
      </c>
      <c r="AJ39" s="177">
        <f t="shared" si="89"/>
        <v>1.285359151423503</v>
      </c>
      <c r="AK39" s="177">
        <f t="shared" si="90"/>
        <v>1.5102394342823353</v>
      </c>
      <c r="AM39" s="555">
        <f t="shared" si="91"/>
        <v>142.80000000000001</v>
      </c>
      <c r="AN39" s="469">
        <f t="shared" si="92"/>
        <v>350</v>
      </c>
      <c r="AP39">
        <f t="shared" si="93"/>
        <v>142.80000000000001</v>
      </c>
      <c r="AQ39" s="469">
        <f t="shared" si="94"/>
        <v>350</v>
      </c>
      <c r="AR39" s="469"/>
      <c r="AS39" s="5">
        <f t="shared" si="55"/>
        <v>2.8571428571428572</v>
      </c>
      <c r="AT39" s="5">
        <f t="shared" si="95"/>
        <v>0.9640193635676273</v>
      </c>
      <c r="AU39" s="5">
        <f t="shared" si="56"/>
        <v>1.8931234935752299</v>
      </c>
      <c r="AV39" s="5">
        <f t="shared" si="96"/>
        <v>0.70538002212265416</v>
      </c>
      <c r="AW39" s="177">
        <f t="shared" si="57"/>
        <v>0.33740677724866952</v>
      </c>
      <c r="AX39" s="177">
        <f t="shared" si="97"/>
        <v>2.6021333333333327</v>
      </c>
      <c r="AY39" s="177">
        <f t="shared" si="98"/>
        <v>0.4258351312673071</v>
      </c>
      <c r="AZ39" s="177">
        <f t="shared" si="58"/>
        <v>6.1106591313620626</v>
      </c>
      <c r="BA39" s="469">
        <f t="shared" si="99"/>
        <v>19.587372721622344</v>
      </c>
      <c r="BB39" s="469">
        <f t="shared" si="100"/>
        <v>4.0362633571847519</v>
      </c>
      <c r="BC39" s="5">
        <f t="shared" si="101"/>
        <v>0.64664190442583547</v>
      </c>
      <c r="BD39" s="469">
        <f t="shared" si="102"/>
        <v>39.413347598883462</v>
      </c>
      <c r="BE39" s="5"/>
      <c r="BF39" s="177">
        <f t="shared" si="59"/>
        <v>0.43106302022017767</v>
      </c>
      <c r="BG39" s="177">
        <f t="shared" si="103"/>
        <v>0.60407013001916809</v>
      </c>
      <c r="BH39" s="177"/>
      <c r="BI39" s="538">
        <f t="shared" si="104"/>
        <v>2.0439686014147543E-2</v>
      </c>
      <c r="BJ39" s="538">
        <f t="shared" si="105"/>
        <v>6.3882349825748086E-2</v>
      </c>
      <c r="BK39" s="538">
        <f t="shared" si="106"/>
        <v>1.7499999999999998E-2</v>
      </c>
      <c r="BL39" s="538">
        <f t="shared" si="107"/>
        <v>6.3516599999999993E-2</v>
      </c>
      <c r="BM39">
        <f t="shared" si="108"/>
        <v>3.48E-3</v>
      </c>
      <c r="BN39">
        <f t="shared" si="109"/>
        <v>2.4500000000000003E-5</v>
      </c>
      <c r="BO39" s="538">
        <f t="shared" si="110"/>
        <v>0.16948227418448045</v>
      </c>
      <c r="BP39" s="469">
        <f t="shared" si="60"/>
        <v>169.48227418448045</v>
      </c>
      <c r="BQ39" s="538">
        <f t="shared" si="111"/>
        <v>0.12852000000000002</v>
      </c>
      <c r="BR39" s="538"/>
      <c r="BT39" s="469">
        <f t="shared" si="61"/>
        <v>128.52000000000001</v>
      </c>
      <c r="BU39" s="538">
        <f t="shared" si="112"/>
        <v>8.9191357152643824E-3</v>
      </c>
      <c r="BV39" s="538">
        <f t="shared" si="113"/>
        <v>8.7576173275529912E-2</v>
      </c>
      <c r="BW39" s="538">
        <f t="shared" si="114"/>
        <v>0</v>
      </c>
      <c r="BX39" s="538">
        <f t="shared" si="115"/>
        <v>9.7246011706614469E-2</v>
      </c>
      <c r="BY39" s="538">
        <f t="shared" si="116"/>
        <v>2.8912592592592587E-2</v>
      </c>
      <c r="BZ39" s="469">
        <f t="shared" si="62"/>
        <v>126.15860429920706</v>
      </c>
      <c r="CA39" s="177">
        <f t="shared" si="63"/>
        <v>0.4241608784836875</v>
      </c>
      <c r="CB39" s="5">
        <f t="shared" si="64"/>
        <v>2.2134</v>
      </c>
      <c r="CC39" s="177">
        <f t="shared" si="65"/>
        <v>0.83918442150706518</v>
      </c>
      <c r="CD39" s="5">
        <f t="shared" si="66"/>
        <v>83.918442150706511</v>
      </c>
      <c r="CG39" s="571">
        <f t="shared" si="117"/>
        <v>-50</v>
      </c>
      <c r="CH39">
        <f t="shared" si="118"/>
        <v>-50</v>
      </c>
    </row>
    <row r="40" spans="5:86" x14ac:dyDescent="0.2">
      <c r="E40" s="174">
        <v>35</v>
      </c>
      <c r="F40" s="221">
        <f t="shared" si="119"/>
        <v>0.14699999999999999</v>
      </c>
      <c r="G40" s="221"/>
      <c r="H40" s="221">
        <f t="shared" si="67"/>
        <v>2.2784999999999997</v>
      </c>
      <c r="I40" s="551">
        <f t="shared" si="68"/>
        <v>12</v>
      </c>
      <c r="J40" s="176">
        <f t="shared" si="69"/>
        <v>16.399999999999999</v>
      </c>
      <c r="K40" s="451">
        <f t="shared" si="70"/>
        <v>28.4</v>
      </c>
      <c r="L40" s="451"/>
      <c r="M40" s="221">
        <f t="shared" si="71"/>
        <v>0.57746478873239437</v>
      </c>
      <c r="N40" s="176">
        <f t="shared" si="72"/>
        <v>12.78507042253521</v>
      </c>
      <c r="O40" s="176">
        <f t="shared" si="53"/>
        <v>2.2784999999999997</v>
      </c>
      <c r="P40" s="221">
        <f t="shared" si="73"/>
        <v>0.82484325306678774</v>
      </c>
      <c r="Q40" s="221">
        <f t="shared" si="74"/>
        <v>15.5</v>
      </c>
      <c r="R40" s="221">
        <f t="shared" si="75"/>
        <v>0.91649250340754196</v>
      </c>
      <c r="S40" s="176">
        <f t="shared" si="76"/>
        <v>138.68961455067128</v>
      </c>
      <c r="T40" s="176">
        <f t="shared" si="77"/>
        <v>15.5</v>
      </c>
      <c r="U40" s="221">
        <f t="shared" si="78"/>
        <v>0.73068428184281831</v>
      </c>
      <c r="V40" s="221">
        <f t="shared" si="79"/>
        <v>0.54801321138211379</v>
      </c>
      <c r="W40" s="221">
        <f t="shared" si="80"/>
        <v>0.40098527662105893</v>
      </c>
      <c r="X40" s="201">
        <f t="shared" si="81"/>
        <v>350</v>
      </c>
      <c r="Y40" s="451">
        <f t="shared" si="54"/>
        <v>350</v>
      </c>
      <c r="AA40" s="221">
        <f t="shared" si="82"/>
        <v>2.1998658618376927</v>
      </c>
      <c r="AB40" s="177">
        <f t="shared" si="83"/>
        <v>1.2072434607645877</v>
      </c>
      <c r="AC40" s="177">
        <f t="shared" si="84"/>
        <v>0.46476039334599145</v>
      </c>
      <c r="AD40" s="177"/>
      <c r="AE40" s="177">
        <f t="shared" si="85"/>
        <v>0.45</v>
      </c>
      <c r="AF40" s="555">
        <f t="shared" si="86"/>
        <v>796.7479674796748</v>
      </c>
      <c r="AG40" s="538">
        <f t="shared" si="87"/>
        <v>6.4574999999999994E-2</v>
      </c>
      <c r="AI40" s="177">
        <f t="shared" si="88"/>
        <v>1.304124511210774</v>
      </c>
      <c r="AJ40" s="177">
        <f t="shared" si="89"/>
        <v>1.304124511210774</v>
      </c>
      <c r="AK40" s="177">
        <f t="shared" si="90"/>
        <v>1.522749674140516</v>
      </c>
      <c r="AM40" s="555">
        <f t="shared" si="91"/>
        <v>147</v>
      </c>
      <c r="AN40" s="469">
        <f t="shared" si="92"/>
        <v>350</v>
      </c>
      <c r="AP40">
        <f t="shared" si="93"/>
        <v>147</v>
      </c>
      <c r="AQ40" s="469">
        <f t="shared" si="94"/>
        <v>350</v>
      </c>
      <c r="AR40" s="469"/>
      <c r="AS40" s="5">
        <f t="shared" si="55"/>
        <v>2.8571428571428572</v>
      </c>
      <c r="AT40" s="5">
        <f t="shared" si="95"/>
        <v>0.97809338340808061</v>
      </c>
      <c r="AU40" s="5">
        <f t="shared" si="56"/>
        <v>1.8790494737347765</v>
      </c>
      <c r="AV40" s="5">
        <f t="shared" si="96"/>
        <v>0.71567808542054678</v>
      </c>
      <c r="AW40" s="177">
        <f t="shared" si="57"/>
        <v>0.3423326841928282</v>
      </c>
      <c r="AX40" s="177">
        <f t="shared" si="97"/>
        <v>2.6786666666666661</v>
      </c>
      <c r="AY40" s="177">
        <f t="shared" si="98"/>
        <v>0.42884003338316479</v>
      </c>
      <c r="AZ40" s="177">
        <f t="shared" si="58"/>
        <v>6.246307383045326</v>
      </c>
      <c r="BA40" s="469">
        <f t="shared" si="99"/>
        <v>19.587372721622344</v>
      </c>
      <c r="BB40" s="469">
        <f t="shared" si="100"/>
        <v>4.2685351319648097</v>
      </c>
      <c r="BC40" s="5">
        <f t="shared" si="101"/>
        <v>0.66071207189887149</v>
      </c>
      <c r="BD40" s="469">
        <f t="shared" si="102"/>
        <v>40.275640980598958</v>
      </c>
      <c r="BE40" s="5"/>
      <c r="BF40" s="177">
        <f t="shared" si="59"/>
        <v>0.44053722615834878</v>
      </c>
      <c r="BG40" s="177">
        <f t="shared" si="103"/>
        <v>0.61060669224601627</v>
      </c>
      <c r="BH40" s="177"/>
      <c r="BI40" s="538">
        <f t="shared" si="104"/>
        <v>2.1348035239442138E-2</v>
      </c>
      <c r="BJ40" s="538">
        <f t="shared" si="105"/>
        <v>6.4814988207175461E-2</v>
      </c>
      <c r="BK40" s="538">
        <f t="shared" si="106"/>
        <v>1.7499999999999998E-2</v>
      </c>
      <c r="BL40" s="538">
        <f t="shared" si="107"/>
        <v>6.3516599999999993E-2</v>
      </c>
      <c r="BM40">
        <f t="shared" si="108"/>
        <v>3.48E-3</v>
      </c>
      <c r="BN40">
        <f t="shared" si="109"/>
        <v>2.4500000000000003E-5</v>
      </c>
      <c r="BO40" s="538">
        <f t="shared" si="110"/>
        <v>0.17135905750870276</v>
      </c>
      <c r="BP40" s="469">
        <f t="shared" si="60"/>
        <v>171.35905750870276</v>
      </c>
      <c r="BQ40" s="538">
        <f t="shared" si="111"/>
        <v>0.1323</v>
      </c>
      <c r="BR40" s="538"/>
      <c r="BT40" s="469">
        <f t="shared" si="61"/>
        <v>132.30000000000001</v>
      </c>
      <c r="BU40" s="538">
        <f t="shared" si="112"/>
        <v>9.3155062863020232E-3</v>
      </c>
      <c r="BV40" s="538">
        <f t="shared" si="113"/>
        <v>8.9481727827749089E-2</v>
      </c>
      <c r="BW40" s="538">
        <f t="shared" si="114"/>
        <v>0</v>
      </c>
      <c r="BX40" s="538">
        <f t="shared" si="115"/>
        <v>9.9584326596357547E-2</v>
      </c>
      <c r="BY40" s="538">
        <f t="shared" si="116"/>
        <v>2.9762962962962953E-2</v>
      </c>
      <c r="BZ40" s="469">
        <f t="shared" si="62"/>
        <v>129.3472895593205</v>
      </c>
      <c r="CA40" s="177">
        <f t="shared" si="63"/>
        <v>0.43300634706802327</v>
      </c>
      <c r="CB40" s="5">
        <f t="shared" si="64"/>
        <v>2.2784999999999997</v>
      </c>
      <c r="CC40" s="177">
        <f t="shared" si="65"/>
        <v>0.84030782463915776</v>
      </c>
      <c r="CD40" s="5">
        <f t="shared" si="66"/>
        <v>84.03078246391577</v>
      </c>
      <c r="CG40" s="571">
        <f t="shared" si="117"/>
        <v>-50</v>
      </c>
      <c r="CH40">
        <f t="shared" si="118"/>
        <v>-50</v>
      </c>
    </row>
    <row r="41" spans="5:86" x14ac:dyDescent="0.2">
      <c r="E41" s="174">
        <v>36</v>
      </c>
      <c r="F41" s="221">
        <f t="shared" si="119"/>
        <v>0.1512</v>
      </c>
      <c r="G41" s="221"/>
      <c r="H41" s="221">
        <f t="shared" si="67"/>
        <v>2.3435999999999999</v>
      </c>
      <c r="I41" s="551">
        <f t="shared" si="68"/>
        <v>12</v>
      </c>
      <c r="J41" s="176">
        <f t="shared" si="69"/>
        <v>16.399999999999999</v>
      </c>
      <c r="K41" s="451">
        <f t="shared" si="70"/>
        <v>28.4</v>
      </c>
      <c r="L41" s="451"/>
      <c r="M41" s="221">
        <f t="shared" si="71"/>
        <v>0.57746478873239437</v>
      </c>
      <c r="N41" s="176">
        <f t="shared" si="72"/>
        <v>12.78507042253521</v>
      </c>
      <c r="O41" s="176">
        <f t="shared" si="53"/>
        <v>2.3435999999999999</v>
      </c>
      <c r="P41" s="221">
        <f t="shared" si="73"/>
        <v>0.82484325306678774</v>
      </c>
      <c r="Q41" s="221">
        <f t="shared" si="74"/>
        <v>15.5</v>
      </c>
      <c r="R41" s="221">
        <f t="shared" si="75"/>
        <v>0.91649250340754196</v>
      </c>
      <c r="S41" s="176">
        <f t="shared" si="76"/>
        <v>134.50833018481086</v>
      </c>
      <c r="T41" s="176">
        <f t="shared" si="77"/>
        <v>15.5</v>
      </c>
      <c r="U41" s="221">
        <f t="shared" si="78"/>
        <v>0.75156097560975599</v>
      </c>
      <c r="V41" s="221">
        <f t="shared" si="79"/>
        <v>0.56367073170731696</v>
      </c>
      <c r="W41" s="221">
        <f t="shared" si="80"/>
        <v>0.41244199881023202</v>
      </c>
      <c r="X41" s="201">
        <f t="shared" si="81"/>
        <v>350</v>
      </c>
      <c r="Y41" s="451">
        <f t="shared" si="54"/>
        <v>350</v>
      </c>
      <c r="AA41" s="221">
        <f t="shared" si="82"/>
        <v>2.1998658618376927</v>
      </c>
      <c r="AB41" s="177">
        <f t="shared" si="83"/>
        <v>1.2072434607645877</v>
      </c>
      <c r="AC41" s="177">
        <f t="shared" si="84"/>
        <v>0.46476039334599145</v>
      </c>
      <c r="AD41" s="177"/>
      <c r="AE41" s="177">
        <f t="shared" si="85"/>
        <v>0.45</v>
      </c>
      <c r="AF41" s="555">
        <f t="shared" si="86"/>
        <v>819.51219512195132</v>
      </c>
      <c r="AG41" s="538">
        <f t="shared" si="87"/>
        <v>6.4574999999999994E-2</v>
      </c>
      <c r="AI41" s="177">
        <f t="shared" si="88"/>
        <v>1.3226236552146393</v>
      </c>
      <c r="AJ41" s="177">
        <f t="shared" si="89"/>
        <v>1.3226236552146393</v>
      </c>
      <c r="AK41" s="177">
        <f t="shared" si="90"/>
        <v>1.5350824368097595</v>
      </c>
      <c r="AM41" s="555">
        <f t="shared" si="91"/>
        <v>151.19999999999999</v>
      </c>
      <c r="AN41" s="469">
        <f t="shared" si="92"/>
        <v>350</v>
      </c>
      <c r="AP41">
        <f t="shared" si="93"/>
        <v>151.19999999999999</v>
      </c>
      <c r="AQ41" s="469">
        <f t="shared" si="94"/>
        <v>350</v>
      </c>
      <c r="AR41" s="469"/>
      <c r="AS41" s="5">
        <f t="shared" si="55"/>
        <v>2.8571428571428572</v>
      </c>
      <c r="AT41" s="5">
        <f t="shared" si="95"/>
        <v>0.99196774141097954</v>
      </c>
      <c r="AU41" s="5">
        <f t="shared" si="56"/>
        <v>1.8651751157318777</v>
      </c>
      <c r="AV41" s="5">
        <f t="shared" si="96"/>
        <v>0.72583005469096074</v>
      </c>
      <c r="AW41" s="177">
        <f t="shared" si="57"/>
        <v>0.34718870949384284</v>
      </c>
      <c r="AX41" s="177">
        <f t="shared" si="97"/>
        <v>2.7552000000000003</v>
      </c>
      <c r="AY41" s="177">
        <f t="shared" si="98"/>
        <v>0.43171182760731969</v>
      </c>
      <c r="AZ41" s="177">
        <f t="shared" si="58"/>
        <v>6.3820350145840798</v>
      </c>
      <c r="BA41" s="469">
        <f t="shared" si="99"/>
        <v>19.587372721622344</v>
      </c>
      <c r="BB41" s="469">
        <f t="shared" si="100"/>
        <v>4.5072959436950164</v>
      </c>
      <c r="BC41" s="5">
        <f t="shared" si="101"/>
        <v>0.67457166685636227</v>
      </c>
      <c r="BD41" s="469">
        <f t="shared" si="102"/>
        <v>41.125300011381746</v>
      </c>
      <c r="BE41" s="5"/>
      <c r="BF41" s="177">
        <f t="shared" si="59"/>
        <v>0.44994399002341107</v>
      </c>
      <c r="BG41" s="177">
        <f t="shared" si="103"/>
        <v>0.61697772808499629</v>
      </c>
      <c r="BH41" s="177"/>
      <c r="BI41" s="538">
        <f t="shared" si="104"/>
        <v>2.226945535740062E-2</v>
      </c>
      <c r="BJ41" s="538">
        <f t="shared" si="105"/>
        <v>6.5734395664167583E-2</v>
      </c>
      <c r="BK41" s="538">
        <f t="shared" si="106"/>
        <v>1.7499999999999998E-2</v>
      </c>
      <c r="BL41" s="538">
        <f t="shared" si="107"/>
        <v>6.3516599999999993E-2</v>
      </c>
      <c r="BM41">
        <f t="shared" si="108"/>
        <v>3.48E-3</v>
      </c>
      <c r="BN41">
        <f t="shared" si="109"/>
        <v>2.4500000000000003E-5</v>
      </c>
      <c r="BO41" s="538">
        <f t="shared" si="110"/>
        <v>0.1732367312936956</v>
      </c>
      <c r="BP41" s="469">
        <f t="shared" si="60"/>
        <v>173.23673129369561</v>
      </c>
      <c r="BQ41" s="538">
        <f t="shared" si="111"/>
        <v>0.13608000000000001</v>
      </c>
      <c r="BR41" s="538"/>
      <c r="BT41" s="469">
        <f t="shared" si="61"/>
        <v>136.08000000000001</v>
      </c>
      <c r="BU41" s="538">
        <f t="shared" si="112"/>
        <v>9.7175805195929971E-3</v>
      </c>
      <c r="BV41" s="538">
        <f t="shared" si="113"/>
        <v>9.1358764068701664E-2</v>
      </c>
      <c r="BW41" s="538">
        <f t="shared" si="114"/>
        <v>0</v>
      </c>
      <c r="BX41" s="538">
        <f t="shared" si="115"/>
        <v>0.10190032154946198</v>
      </c>
      <c r="BY41" s="538">
        <f t="shared" si="116"/>
        <v>3.0613333333333333E-2</v>
      </c>
      <c r="BZ41" s="469">
        <f t="shared" si="62"/>
        <v>132.51365488279532</v>
      </c>
      <c r="CA41" s="177">
        <f t="shared" si="63"/>
        <v>0.44183038617649095</v>
      </c>
      <c r="CB41" s="5">
        <f t="shared" si="64"/>
        <v>2.3435999999999999</v>
      </c>
      <c r="CC41" s="177">
        <f t="shared" si="65"/>
        <v>0.84137805476338501</v>
      </c>
      <c r="CD41" s="5">
        <f t="shared" si="66"/>
        <v>84.137805476338499</v>
      </c>
      <c r="CG41" s="571">
        <f t="shared" si="117"/>
        <v>-50</v>
      </c>
      <c r="CH41">
        <f t="shared" si="118"/>
        <v>-50</v>
      </c>
    </row>
    <row r="42" spans="5:86" x14ac:dyDescent="0.2">
      <c r="E42" s="174">
        <v>37</v>
      </c>
      <c r="F42" s="221">
        <f t="shared" si="119"/>
        <v>0.15539999999999998</v>
      </c>
      <c r="G42" s="221"/>
      <c r="H42" s="221">
        <f t="shared" si="67"/>
        <v>2.4086999999999996</v>
      </c>
      <c r="I42" s="551">
        <f t="shared" si="68"/>
        <v>12</v>
      </c>
      <c r="J42" s="176">
        <f t="shared" si="69"/>
        <v>16.399999999999999</v>
      </c>
      <c r="K42" s="451">
        <f t="shared" si="70"/>
        <v>28.4</v>
      </c>
      <c r="L42" s="451"/>
      <c r="M42" s="221">
        <f t="shared" si="71"/>
        <v>0.57746478873239437</v>
      </c>
      <c r="N42" s="176">
        <f t="shared" si="72"/>
        <v>12.78507042253521</v>
      </c>
      <c r="O42" s="176">
        <f t="shared" si="53"/>
        <v>2.4086999999999996</v>
      </c>
      <c r="P42" s="221">
        <f t="shared" si="73"/>
        <v>0.82484325306678774</v>
      </c>
      <c r="Q42" s="221">
        <f t="shared" si="74"/>
        <v>15.5</v>
      </c>
      <c r="R42" s="221">
        <f t="shared" si="75"/>
        <v>0.91649250340754196</v>
      </c>
      <c r="S42" s="176">
        <f t="shared" si="76"/>
        <v>130.55320098767695</v>
      </c>
      <c r="T42" s="176">
        <f t="shared" si="77"/>
        <v>15.5</v>
      </c>
      <c r="U42" s="221">
        <f t="shared" si="78"/>
        <v>0.77243766937669356</v>
      </c>
      <c r="V42" s="221">
        <f t="shared" si="79"/>
        <v>0.57932825203252014</v>
      </c>
      <c r="W42" s="221">
        <f t="shared" si="80"/>
        <v>0.42389872099940507</v>
      </c>
      <c r="X42" s="201">
        <f t="shared" si="81"/>
        <v>350</v>
      </c>
      <c r="Y42" s="451">
        <f t="shared" si="54"/>
        <v>350</v>
      </c>
      <c r="AA42" s="221">
        <f t="shared" si="82"/>
        <v>2.1998658618376927</v>
      </c>
      <c r="AB42" s="177">
        <f t="shared" si="83"/>
        <v>1.2072434607645877</v>
      </c>
      <c r="AC42" s="177">
        <f t="shared" si="84"/>
        <v>0.46476039334599145</v>
      </c>
      <c r="AD42" s="177"/>
      <c r="AE42" s="177">
        <f t="shared" si="85"/>
        <v>0.45</v>
      </c>
      <c r="AF42" s="555">
        <f t="shared" si="86"/>
        <v>842.27642276422762</v>
      </c>
      <c r="AG42" s="538">
        <f t="shared" si="87"/>
        <v>6.4574999999999994E-2</v>
      </c>
      <c r="AI42" s="177">
        <f t="shared" si="88"/>
        <v>1.3408676019376131</v>
      </c>
      <c r="AJ42" s="177">
        <f t="shared" si="89"/>
        <v>1.3408676019376131</v>
      </c>
      <c r="AK42" s="177">
        <f t="shared" si="90"/>
        <v>1.5472450679584089</v>
      </c>
      <c r="AM42" s="555">
        <f t="shared" si="91"/>
        <v>155.39999999999998</v>
      </c>
      <c r="AN42" s="469">
        <f t="shared" si="92"/>
        <v>350</v>
      </c>
      <c r="AP42">
        <f t="shared" si="93"/>
        <v>155.39999999999998</v>
      </c>
      <c r="AQ42" s="469">
        <f t="shared" si="94"/>
        <v>350</v>
      </c>
      <c r="AR42" s="469"/>
      <c r="AS42" s="5">
        <f t="shared" si="55"/>
        <v>2.8571428571428572</v>
      </c>
      <c r="AT42" s="5">
        <f t="shared" si="95"/>
        <v>1.0056507014532099</v>
      </c>
      <c r="AU42" s="5">
        <f t="shared" si="56"/>
        <v>1.8514921556896473</v>
      </c>
      <c r="AV42" s="5">
        <f t="shared" si="96"/>
        <v>0.73584197667308049</v>
      </c>
      <c r="AW42" s="177">
        <f t="shared" si="57"/>
        <v>0.35197774550862343</v>
      </c>
      <c r="AX42" s="177">
        <f t="shared" si="97"/>
        <v>2.8317333333333323</v>
      </c>
      <c r="AY42" s="177">
        <f t="shared" si="98"/>
        <v>0.43445602319102883</v>
      </c>
      <c r="AZ42" s="177">
        <f t="shared" si="58"/>
        <v>6.5178825523802875</v>
      </c>
      <c r="BA42" s="469">
        <f t="shared" si="99"/>
        <v>19.587372721622344</v>
      </c>
      <c r="BB42" s="469">
        <f t="shared" si="100"/>
        <v>4.7525457923753667</v>
      </c>
      <c r="BC42" s="5">
        <f t="shared" si="101"/>
        <v>0.68822363509408213</v>
      </c>
      <c r="BD42" s="469">
        <f t="shared" si="102"/>
        <v>41.962501438978265</v>
      </c>
      <c r="BE42" s="5"/>
      <c r="BF42" s="177">
        <f t="shared" si="59"/>
        <v>0.45928564604862604</v>
      </c>
      <c r="BG42" s="177">
        <f t="shared" si="103"/>
        <v>0.62318964794756071</v>
      </c>
      <c r="BH42" s="177"/>
      <c r="BI42" s="538">
        <f t="shared" si="104"/>
        <v>2.3203763513293417E-2</v>
      </c>
      <c r="BJ42" s="538">
        <f t="shared" si="105"/>
        <v>6.6641119816299374E-2</v>
      </c>
      <c r="BK42" s="538">
        <f t="shared" si="106"/>
        <v>1.7499999999999998E-2</v>
      </c>
      <c r="BL42" s="538">
        <f t="shared" si="107"/>
        <v>6.3516599999999993E-2</v>
      </c>
      <c r="BM42">
        <f t="shared" si="108"/>
        <v>3.48E-3</v>
      </c>
      <c r="BN42">
        <f t="shared" si="109"/>
        <v>2.4500000000000003E-5</v>
      </c>
      <c r="BO42" s="538">
        <f t="shared" si="110"/>
        <v>0.17511567003837816</v>
      </c>
      <c r="BP42" s="469">
        <f t="shared" si="60"/>
        <v>175.11567003837817</v>
      </c>
      <c r="BQ42" s="538">
        <f t="shared" si="111"/>
        <v>0.13985999999999998</v>
      </c>
      <c r="BR42" s="538"/>
      <c r="BT42" s="469">
        <f t="shared" si="61"/>
        <v>139.85999999999999</v>
      </c>
      <c r="BU42" s="538">
        <f t="shared" si="112"/>
        <v>1.0125278623982582E-2</v>
      </c>
      <c r="BV42" s="538">
        <f t="shared" si="113"/>
        <v>9.3207680954161112E-2</v>
      </c>
      <c r="BW42" s="538">
        <f t="shared" si="114"/>
        <v>0</v>
      </c>
      <c r="BX42" s="538">
        <f t="shared" si="115"/>
        <v>0.10419429597609337</v>
      </c>
      <c r="BY42" s="538">
        <f t="shared" si="116"/>
        <v>3.1463703703703695E-2</v>
      </c>
      <c r="BZ42" s="469">
        <f t="shared" si="62"/>
        <v>135.65799967979706</v>
      </c>
      <c r="CA42" s="177">
        <f t="shared" si="63"/>
        <v>0.4506336697181752</v>
      </c>
      <c r="CB42" s="5">
        <f t="shared" si="64"/>
        <v>2.4086999999999996</v>
      </c>
      <c r="CC42" s="177">
        <f t="shared" si="65"/>
        <v>0.84239906153988986</v>
      </c>
      <c r="CD42" s="5">
        <f t="shared" si="66"/>
        <v>84.239906153988983</v>
      </c>
      <c r="CG42" s="571">
        <f t="shared" si="117"/>
        <v>-50</v>
      </c>
      <c r="CH42">
        <f t="shared" si="118"/>
        <v>-50</v>
      </c>
    </row>
    <row r="43" spans="5:86" x14ac:dyDescent="0.2">
      <c r="E43" s="174">
        <v>38</v>
      </c>
      <c r="F43" s="221">
        <f t="shared" si="119"/>
        <v>0.15959999999999999</v>
      </c>
      <c r="G43" s="221"/>
      <c r="H43" s="221">
        <f t="shared" si="67"/>
        <v>2.4737999999999998</v>
      </c>
      <c r="I43" s="551">
        <f t="shared" si="68"/>
        <v>12</v>
      </c>
      <c r="J43" s="176">
        <f t="shared" si="69"/>
        <v>16.399999999999999</v>
      </c>
      <c r="K43" s="451">
        <f t="shared" si="70"/>
        <v>28.4</v>
      </c>
      <c r="L43" s="451"/>
      <c r="M43" s="221">
        <f t="shared" si="71"/>
        <v>0.57746478873239437</v>
      </c>
      <c r="N43" s="176">
        <f t="shared" si="72"/>
        <v>12.78507042253521</v>
      </c>
      <c r="O43" s="176">
        <f t="shared" si="53"/>
        <v>2.4737999999999998</v>
      </c>
      <c r="P43" s="221">
        <f t="shared" si="73"/>
        <v>0.82484325306678774</v>
      </c>
      <c r="Q43" s="221">
        <f t="shared" si="74"/>
        <v>15.5</v>
      </c>
      <c r="R43" s="221">
        <f t="shared" si="75"/>
        <v>0.91649250340754196</v>
      </c>
      <c r="S43" s="176">
        <f t="shared" si="76"/>
        <v>126.80637350891908</v>
      </c>
      <c r="T43" s="176">
        <f t="shared" si="77"/>
        <v>15.5</v>
      </c>
      <c r="U43" s="221">
        <f t="shared" si="78"/>
        <v>0.79331436314363124</v>
      </c>
      <c r="V43" s="221">
        <f t="shared" si="79"/>
        <v>0.59498577235772343</v>
      </c>
      <c r="W43" s="221">
        <f t="shared" si="80"/>
        <v>0.43535544318857822</v>
      </c>
      <c r="X43" s="201">
        <f t="shared" si="81"/>
        <v>350</v>
      </c>
      <c r="Y43" s="451">
        <f t="shared" si="54"/>
        <v>350</v>
      </c>
      <c r="AA43" s="221">
        <f t="shared" si="82"/>
        <v>2.1998658618376927</v>
      </c>
      <c r="AB43" s="177">
        <f t="shared" si="83"/>
        <v>1.2072434607645877</v>
      </c>
      <c r="AC43" s="177">
        <f t="shared" si="84"/>
        <v>0.46476039334599145</v>
      </c>
      <c r="AD43" s="177"/>
      <c r="AE43" s="177">
        <f t="shared" si="85"/>
        <v>0.45</v>
      </c>
      <c r="AF43" s="555">
        <f t="shared" si="86"/>
        <v>865.04065040650403</v>
      </c>
      <c r="AG43" s="538">
        <f t="shared" si="87"/>
        <v>6.4574999999999994E-2</v>
      </c>
      <c r="AI43" s="177">
        <f t="shared" si="88"/>
        <v>1.3588666301438557</v>
      </c>
      <c r="AJ43" s="177">
        <f t="shared" si="89"/>
        <v>1.3588666301438557</v>
      </c>
      <c r="AK43" s="177">
        <f t="shared" si="90"/>
        <v>1.5592444200959039</v>
      </c>
      <c r="AM43" s="555">
        <f t="shared" si="91"/>
        <v>159.6</v>
      </c>
      <c r="AN43" s="469">
        <f t="shared" si="92"/>
        <v>350</v>
      </c>
      <c r="AP43">
        <f t="shared" si="93"/>
        <v>159.6</v>
      </c>
      <c r="AQ43" s="469">
        <f t="shared" si="94"/>
        <v>350</v>
      </c>
      <c r="AR43" s="469"/>
      <c r="AS43" s="5">
        <f t="shared" si="55"/>
        <v>2.8571428571428572</v>
      </c>
      <c r="AT43" s="5">
        <f t="shared" si="95"/>
        <v>1.0191499726078916</v>
      </c>
      <c r="AU43" s="5">
        <f t="shared" si="56"/>
        <v>1.8379928845349656</v>
      </c>
      <c r="AV43" s="5">
        <f t="shared" si="96"/>
        <v>0.74571949215211597</v>
      </c>
      <c r="AW43" s="177">
        <f t="shared" si="57"/>
        <v>0.35670249041276209</v>
      </c>
      <c r="AX43" s="177">
        <f t="shared" si="97"/>
        <v>2.9082666666666666</v>
      </c>
      <c r="AY43" s="177">
        <f t="shared" si="98"/>
        <v>0.4370777595163724</v>
      </c>
      <c r="AZ43" s="177">
        <f t="shared" si="58"/>
        <v>6.6538884748669682</v>
      </c>
      <c r="BA43" s="469">
        <f t="shared" si="99"/>
        <v>19.587372721622344</v>
      </c>
      <c r="BB43" s="469">
        <f t="shared" si="100"/>
        <v>5.0042846780058667</v>
      </c>
      <c r="BC43" s="5">
        <f t="shared" si="101"/>
        <v>0.70167080212385757</v>
      </c>
      <c r="BD43" s="469">
        <f t="shared" si="102"/>
        <v>42.787414794098126</v>
      </c>
      <c r="BE43" s="5"/>
      <c r="BF43" s="177">
        <f t="shared" si="59"/>
        <v>0.46856438694834651</v>
      </c>
      <c r="BG43" s="177">
        <f t="shared" si="103"/>
        <v>0.6292484311646922</v>
      </c>
      <c r="BH43" s="177"/>
      <c r="BI43" s="538">
        <f t="shared" si="104"/>
        <v>2.415078431879078E-2</v>
      </c>
      <c r="BJ43" s="538">
        <f t="shared" si="105"/>
        <v>6.7535671518149626E-2</v>
      </c>
      <c r="BK43" s="538">
        <f t="shared" si="106"/>
        <v>1.7499999999999998E-2</v>
      </c>
      <c r="BL43" s="538">
        <f t="shared" si="107"/>
        <v>6.3516599999999993E-2</v>
      </c>
      <c r="BM43">
        <f t="shared" si="108"/>
        <v>3.48E-3</v>
      </c>
      <c r="BN43">
        <f t="shared" si="109"/>
        <v>2.4500000000000003E-5</v>
      </c>
      <c r="BO43" s="538">
        <f t="shared" si="110"/>
        <v>0.17699621907793997</v>
      </c>
      <c r="BP43" s="469">
        <f t="shared" si="60"/>
        <v>176.99621907793997</v>
      </c>
      <c r="BQ43" s="538">
        <f t="shared" si="111"/>
        <v>0.14363999999999999</v>
      </c>
      <c r="BR43" s="538"/>
      <c r="BT43" s="469">
        <f t="shared" si="61"/>
        <v>143.63999999999999</v>
      </c>
      <c r="BU43" s="538">
        <f t="shared" si="112"/>
        <v>1.053852406638143E-2</v>
      </c>
      <c r="BV43" s="538">
        <f t="shared" si="113"/>
        <v>9.5028861149574331E-2</v>
      </c>
      <c r="BW43" s="538">
        <f t="shared" si="114"/>
        <v>0</v>
      </c>
      <c r="BX43" s="538">
        <f t="shared" si="115"/>
        <v>0.10646653672758212</v>
      </c>
      <c r="BY43" s="538">
        <f t="shared" si="116"/>
        <v>3.2314074074074071E-2</v>
      </c>
      <c r="BZ43" s="469">
        <f t="shared" si="62"/>
        <v>138.7806108016562</v>
      </c>
      <c r="CA43" s="177">
        <f t="shared" si="63"/>
        <v>0.45941682987959609</v>
      </c>
      <c r="CB43" s="5">
        <f t="shared" si="64"/>
        <v>2.4737999999999998</v>
      </c>
      <c r="CC43" s="177">
        <f t="shared" si="65"/>
        <v>0.84337440546512388</v>
      </c>
      <c r="CD43" s="5">
        <f t="shared" si="66"/>
        <v>84.337440546512383</v>
      </c>
      <c r="CG43" s="571">
        <f t="shared" si="117"/>
        <v>-50</v>
      </c>
      <c r="CH43">
        <f t="shared" si="118"/>
        <v>-50</v>
      </c>
    </row>
    <row r="44" spans="5:86" x14ac:dyDescent="0.2">
      <c r="E44" s="174">
        <v>39</v>
      </c>
      <c r="F44" s="221">
        <f t="shared" si="119"/>
        <v>0.1638</v>
      </c>
      <c r="G44" s="221"/>
      <c r="H44" s="221">
        <f t="shared" si="67"/>
        <v>2.5388999999999999</v>
      </c>
      <c r="I44" s="551">
        <f t="shared" si="68"/>
        <v>12</v>
      </c>
      <c r="J44" s="176">
        <f t="shared" si="69"/>
        <v>16.399999999999999</v>
      </c>
      <c r="K44" s="451">
        <f t="shared" si="70"/>
        <v>28.4</v>
      </c>
      <c r="L44" s="451"/>
      <c r="M44" s="221">
        <f t="shared" si="71"/>
        <v>0.57746478873239437</v>
      </c>
      <c r="N44" s="176">
        <f t="shared" si="72"/>
        <v>12.78507042253521</v>
      </c>
      <c r="O44" s="176">
        <f t="shared" si="53"/>
        <v>2.5388999999999999</v>
      </c>
      <c r="P44" s="221">
        <f t="shared" si="73"/>
        <v>0.82484325306678774</v>
      </c>
      <c r="Q44" s="221">
        <f t="shared" si="74"/>
        <v>15.5</v>
      </c>
      <c r="R44" s="221">
        <f t="shared" si="75"/>
        <v>0.91649250340754196</v>
      </c>
      <c r="S44" s="176">
        <f t="shared" si="76"/>
        <v>123.25182542827065</v>
      </c>
      <c r="T44" s="176">
        <f t="shared" si="77"/>
        <v>15.5</v>
      </c>
      <c r="U44" s="221">
        <f t="shared" si="78"/>
        <v>0.81419105691056903</v>
      </c>
      <c r="V44" s="221">
        <f t="shared" si="79"/>
        <v>0.61064329268292683</v>
      </c>
      <c r="W44" s="221">
        <f t="shared" si="80"/>
        <v>0.44681216537775137</v>
      </c>
      <c r="X44" s="201">
        <f t="shared" si="81"/>
        <v>350</v>
      </c>
      <c r="Y44" s="451">
        <f t="shared" si="54"/>
        <v>350</v>
      </c>
      <c r="AA44" s="221">
        <f t="shared" si="82"/>
        <v>2.1998658618376927</v>
      </c>
      <c r="AB44" s="177">
        <f t="shared" si="83"/>
        <v>1.2072434607645877</v>
      </c>
      <c r="AC44" s="177">
        <f t="shared" si="84"/>
        <v>0.46476039334599145</v>
      </c>
      <c r="AD44" s="177"/>
      <c r="AE44" s="177">
        <f t="shared" si="85"/>
        <v>0.45</v>
      </c>
      <c r="AF44" s="555">
        <f t="shared" si="86"/>
        <v>887.80487804878044</v>
      </c>
      <c r="AG44" s="538">
        <f t="shared" si="87"/>
        <v>6.4574999999999994E-2</v>
      </c>
      <c r="AI44" s="177">
        <f t="shared" si="88"/>
        <v>1.3766303465749659</v>
      </c>
      <c r="AJ44" s="177">
        <f t="shared" si="89"/>
        <v>1.3766303465749659</v>
      </c>
      <c r="AK44" s="177">
        <f t="shared" si="90"/>
        <v>1.5710868977166439</v>
      </c>
      <c r="AM44" s="555">
        <f t="shared" si="91"/>
        <v>163.80000000000001</v>
      </c>
      <c r="AN44" s="469">
        <f t="shared" si="92"/>
        <v>350</v>
      </c>
      <c r="AP44">
        <f t="shared" si="93"/>
        <v>163.80000000000001</v>
      </c>
      <c r="AQ44" s="469">
        <f t="shared" si="94"/>
        <v>350</v>
      </c>
      <c r="AR44" s="469"/>
      <c r="AS44" s="5">
        <f t="shared" si="55"/>
        <v>2.8571428571428572</v>
      </c>
      <c r="AT44" s="5">
        <f t="shared" si="95"/>
        <v>1.0324727599312244</v>
      </c>
      <c r="AU44" s="5">
        <f t="shared" si="56"/>
        <v>1.8246700972116328</v>
      </c>
      <c r="AV44" s="5">
        <f t="shared" si="96"/>
        <v>0.7554678731204082</v>
      </c>
      <c r="AW44" s="177">
        <f t="shared" si="57"/>
        <v>0.36136546597592856</v>
      </c>
      <c r="AX44" s="177">
        <f t="shared" si="97"/>
        <v>2.984799999999999</v>
      </c>
      <c r="AY44" s="177">
        <f t="shared" si="98"/>
        <v>0.43958183995414962</v>
      </c>
      <c r="AZ44" s="177">
        <f t="shared" si="58"/>
        <v>6.7900894184148441</v>
      </c>
      <c r="BA44" s="469">
        <f t="shared" si="99"/>
        <v>19.587372721622344</v>
      </c>
      <c r="BB44" s="469">
        <f t="shared" si="100"/>
        <v>5.2625126005865122</v>
      </c>
      <c r="BC44" s="5">
        <f t="shared" si="101"/>
        <v>0.71491588114361315</v>
      </c>
      <c r="BD44" s="469">
        <f t="shared" si="102"/>
        <v>43.600202868616798</v>
      </c>
      <c r="BE44" s="5"/>
      <c r="BF44" s="177">
        <f t="shared" si="59"/>
        <v>0.47778227598730444</v>
      </c>
      <c r="BG44" s="177">
        <f t="shared" si="103"/>
        <v>0.6351596653252588</v>
      </c>
      <c r="BH44" s="177"/>
      <c r="BI44" s="538">
        <f t="shared" si="104"/>
        <v>2.5110349357236963E-2</v>
      </c>
      <c r="BJ44" s="538">
        <f t="shared" si="105"/>
        <v>6.8418528224775801E-2</v>
      </c>
      <c r="BK44" s="538">
        <f t="shared" si="106"/>
        <v>1.7499999999999998E-2</v>
      </c>
      <c r="BL44" s="538">
        <f t="shared" si="107"/>
        <v>6.3516599999999993E-2</v>
      </c>
      <c r="BM44">
        <f t="shared" si="108"/>
        <v>3.48E-3</v>
      </c>
      <c r="BN44">
        <f t="shared" si="109"/>
        <v>2.4500000000000003E-5</v>
      </c>
      <c r="BO44" s="538">
        <f t="shared" si="110"/>
        <v>0.17887869744703058</v>
      </c>
      <c r="BP44" s="469">
        <f t="shared" si="60"/>
        <v>178.87869744703059</v>
      </c>
      <c r="BQ44" s="538">
        <f t="shared" si="111"/>
        <v>0.14742</v>
      </c>
      <c r="BR44" s="538"/>
      <c r="BT44" s="469">
        <f t="shared" si="61"/>
        <v>147.41999999999999</v>
      </c>
      <c r="BU44" s="538">
        <f t="shared" si="112"/>
        <v>1.0957243355885219E-2</v>
      </c>
      <c r="BV44" s="538">
        <f t="shared" si="113"/>
        <v>9.6822672109462743E-2</v>
      </c>
      <c r="BW44" s="538">
        <f t="shared" si="114"/>
        <v>0</v>
      </c>
      <c r="BX44" s="538">
        <f t="shared" si="115"/>
        <v>0.10871731894095397</v>
      </c>
      <c r="BY44" s="538">
        <f t="shared" si="116"/>
        <v>3.3164444444444441E-2</v>
      </c>
      <c r="BZ44" s="469">
        <f t="shared" si="62"/>
        <v>141.88176338539844</v>
      </c>
      <c r="CA44" s="177">
        <f t="shared" si="63"/>
        <v>0.46818046083242898</v>
      </c>
      <c r="CB44" s="5">
        <f t="shared" si="64"/>
        <v>2.5388999999999999</v>
      </c>
      <c r="CC44" s="177">
        <f t="shared" si="65"/>
        <v>0.84430730506531715</v>
      </c>
      <c r="CD44" s="5">
        <f t="shared" si="66"/>
        <v>84.430730506531717</v>
      </c>
      <c r="CG44" s="571">
        <f t="shared" si="117"/>
        <v>-50</v>
      </c>
      <c r="CH44">
        <f t="shared" si="118"/>
        <v>-50</v>
      </c>
    </row>
    <row r="45" spans="5:86" x14ac:dyDescent="0.2">
      <c r="E45" s="174">
        <v>40</v>
      </c>
      <c r="F45" s="221">
        <f t="shared" si="119"/>
        <v>0.16800000000000001</v>
      </c>
      <c r="G45" s="221"/>
      <c r="H45" s="221">
        <f t="shared" si="67"/>
        <v>2.6040000000000001</v>
      </c>
      <c r="I45" s="551">
        <f t="shared" si="68"/>
        <v>12</v>
      </c>
      <c r="J45" s="176">
        <f t="shared" si="69"/>
        <v>16.399999999999999</v>
      </c>
      <c r="K45" s="451">
        <f t="shared" si="70"/>
        <v>28.4</v>
      </c>
      <c r="L45" s="451"/>
      <c r="M45" s="221">
        <f t="shared" si="71"/>
        <v>0.57746478873239437</v>
      </c>
      <c r="N45" s="176">
        <f t="shared" si="72"/>
        <v>12.78507042253521</v>
      </c>
      <c r="O45" s="176">
        <f t="shared" si="53"/>
        <v>2.6040000000000001</v>
      </c>
      <c r="P45" s="221">
        <f t="shared" si="73"/>
        <v>0.82484325306678774</v>
      </c>
      <c r="Q45" s="221">
        <f t="shared" si="74"/>
        <v>15.5</v>
      </c>
      <c r="R45" s="221">
        <f t="shared" si="75"/>
        <v>0.91649250340754196</v>
      </c>
      <c r="S45" s="176">
        <f t="shared" si="76"/>
        <v>119.87513666434519</v>
      </c>
      <c r="T45" s="176">
        <f t="shared" si="77"/>
        <v>15.5</v>
      </c>
      <c r="U45" s="221">
        <f t="shared" si="78"/>
        <v>0.83506775067750671</v>
      </c>
      <c r="V45" s="221">
        <f t="shared" si="79"/>
        <v>0.62630081300813001</v>
      </c>
      <c r="W45" s="221">
        <f t="shared" si="80"/>
        <v>0.45826888756692447</v>
      </c>
      <c r="X45" s="201">
        <f t="shared" si="81"/>
        <v>350</v>
      </c>
      <c r="Y45" s="451">
        <f t="shared" si="54"/>
        <v>350</v>
      </c>
      <c r="AA45" s="221">
        <f t="shared" si="82"/>
        <v>2.1998658618376927</v>
      </c>
      <c r="AB45" s="177">
        <f t="shared" si="83"/>
        <v>1.2072434607645877</v>
      </c>
      <c r="AC45" s="177">
        <f t="shared" si="84"/>
        <v>0.46476039334599145</v>
      </c>
      <c r="AD45" s="177"/>
      <c r="AE45" s="177">
        <f t="shared" si="85"/>
        <v>0.45</v>
      </c>
      <c r="AF45" s="555">
        <f t="shared" si="86"/>
        <v>910.56910569105708</v>
      </c>
      <c r="AG45" s="538">
        <f t="shared" si="87"/>
        <v>6.4574999999999994E-2</v>
      </c>
      <c r="AI45" s="177">
        <f t="shared" si="88"/>
        <v>1.3941677458984996</v>
      </c>
      <c r="AJ45" s="177">
        <f t="shared" si="89"/>
        <v>1.3941677458984996</v>
      </c>
      <c r="AK45" s="177">
        <f t="shared" si="90"/>
        <v>1.5827784972656664</v>
      </c>
      <c r="AM45" s="555">
        <f t="shared" si="91"/>
        <v>168</v>
      </c>
      <c r="AN45" s="469">
        <f t="shared" si="92"/>
        <v>350</v>
      </c>
      <c r="AP45">
        <f t="shared" si="93"/>
        <v>168</v>
      </c>
      <c r="AQ45" s="469">
        <f t="shared" si="94"/>
        <v>350</v>
      </c>
      <c r="AR45" s="469"/>
      <c r="AS45" s="5">
        <f t="shared" si="55"/>
        <v>2.8571428571428572</v>
      </c>
      <c r="AT45" s="5">
        <f t="shared" si="95"/>
        <v>1.0456258094238746</v>
      </c>
      <c r="AU45" s="5">
        <f t="shared" si="56"/>
        <v>1.8115170477189826</v>
      </c>
      <c r="AV45" s="5">
        <f t="shared" si="96"/>
        <v>0.76509205567600591</v>
      </c>
      <c r="AW45" s="177">
        <f t="shared" si="57"/>
        <v>0.36596903329835612</v>
      </c>
      <c r="AX45" s="177">
        <f t="shared" si="97"/>
        <v>3.0613333333333328</v>
      </c>
      <c r="AY45" s="177">
        <f t="shared" si="98"/>
        <v>0.44197276183813877</v>
      </c>
      <c r="AZ45" s="177">
        <f t="shared" si="58"/>
        <v>6.9265203597647673</v>
      </c>
      <c r="BA45" s="469">
        <f t="shared" si="99"/>
        <v>19.587372721622344</v>
      </c>
      <c r="BB45" s="469">
        <f t="shared" si="100"/>
        <v>5.5272295601173047</v>
      </c>
      <c r="BC45" s="5">
        <f t="shared" si="101"/>
        <v>0.72796148028707264</v>
      </c>
      <c r="BD45" s="469">
        <f t="shared" si="102"/>
        <v>44.401022150557687</v>
      </c>
      <c r="BE45" s="5"/>
      <c r="BF45" s="177">
        <f t="shared" si="59"/>
        <v>0.48694125773816521</v>
      </c>
      <c r="BG45" s="177">
        <f t="shared" si="103"/>
        <v>0.6409285811073453</v>
      </c>
      <c r="BH45" s="177"/>
      <c r="BI45" s="538">
        <f t="shared" si="104"/>
        <v>2.6082296733638887E-2</v>
      </c>
      <c r="BJ45" s="538">
        <f t="shared" si="105"/>
        <v>6.9290136971155422E-2</v>
      </c>
      <c r="BK45" s="538">
        <f t="shared" si="106"/>
        <v>1.7499999999999998E-2</v>
      </c>
      <c r="BL45" s="538">
        <f t="shared" si="107"/>
        <v>6.3516599999999993E-2</v>
      </c>
      <c r="BM45">
        <f t="shared" si="108"/>
        <v>3.48E-3</v>
      </c>
      <c r="BN45">
        <f t="shared" si="109"/>
        <v>2.4500000000000003E-5</v>
      </c>
      <c r="BO45" s="538">
        <f t="shared" si="110"/>
        <v>0.18076340040232727</v>
      </c>
      <c r="BP45" s="469">
        <f t="shared" si="60"/>
        <v>180.76340040232728</v>
      </c>
      <c r="BQ45" s="538">
        <f t="shared" si="111"/>
        <v>0.1512</v>
      </c>
      <c r="BR45" s="538"/>
      <c r="BT45" s="469">
        <f t="shared" si="61"/>
        <v>151.19999999999999</v>
      </c>
      <c r="BU45" s="538">
        <f t="shared" si="112"/>
        <v>1.1381365847406059E-2</v>
      </c>
      <c r="BV45" s="538">
        <f t="shared" si="113"/>
        <v>9.8589467059265967E-2</v>
      </c>
      <c r="BW45" s="538">
        <f t="shared" si="114"/>
        <v>0</v>
      </c>
      <c r="BX45" s="538">
        <f t="shared" si="115"/>
        <v>0.1109469068066679</v>
      </c>
      <c r="BY45" s="538">
        <f t="shared" si="116"/>
        <v>3.401481481481481E-2</v>
      </c>
      <c r="BZ45" s="469">
        <f t="shared" si="62"/>
        <v>144.96172162148272</v>
      </c>
      <c r="CA45" s="177">
        <f t="shared" si="63"/>
        <v>0.47692512202381004</v>
      </c>
      <c r="CB45" s="5">
        <f t="shared" si="64"/>
        <v>2.6040000000000001</v>
      </c>
      <c r="CC45" s="177">
        <f t="shared" si="65"/>
        <v>0.84520067735027404</v>
      </c>
      <c r="CD45" s="5">
        <f t="shared" si="66"/>
        <v>84.520067735027411</v>
      </c>
      <c r="CG45" s="571">
        <f t="shared" si="117"/>
        <v>-50</v>
      </c>
      <c r="CH45">
        <f t="shared" si="118"/>
        <v>-50</v>
      </c>
    </row>
    <row r="46" spans="5:86" x14ac:dyDescent="0.2">
      <c r="E46" s="174">
        <v>41</v>
      </c>
      <c r="F46" s="221">
        <f t="shared" si="119"/>
        <v>0.17219999999999999</v>
      </c>
      <c r="G46" s="221"/>
      <c r="H46" s="221">
        <f t="shared" si="67"/>
        <v>2.6690999999999998</v>
      </c>
      <c r="I46" s="551">
        <f t="shared" si="68"/>
        <v>12</v>
      </c>
      <c r="J46" s="176">
        <f t="shared" si="69"/>
        <v>16.399999999999999</v>
      </c>
      <c r="K46" s="451">
        <f t="shared" si="70"/>
        <v>28.4</v>
      </c>
      <c r="L46" s="451"/>
      <c r="M46" s="221">
        <f t="shared" si="71"/>
        <v>0.57746478873239437</v>
      </c>
      <c r="N46" s="176">
        <f t="shared" si="72"/>
        <v>12.78507042253521</v>
      </c>
      <c r="O46" s="176">
        <f t="shared" si="53"/>
        <v>2.6690999999999998</v>
      </c>
      <c r="P46" s="221">
        <f t="shared" si="73"/>
        <v>0.82484325306678774</v>
      </c>
      <c r="Q46" s="221">
        <f t="shared" si="74"/>
        <v>15.5</v>
      </c>
      <c r="R46" s="221">
        <f t="shared" si="75"/>
        <v>0.91649250340754196</v>
      </c>
      <c r="S46" s="176">
        <f t="shared" si="76"/>
        <v>116.66329397970696</v>
      </c>
      <c r="T46" s="176">
        <f t="shared" si="77"/>
        <v>15.5</v>
      </c>
      <c r="U46" s="221">
        <f t="shared" si="78"/>
        <v>0.85594444444444429</v>
      </c>
      <c r="V46" s="221">
        <f t="shared" si="79"/>
        <v>0.64195833333333319</v>
      </c>
      <c r="W46" s="221">
        <f t="shared" si="80"/>
        <v>0.46972560975609751</v>
      </c>
      <c r="X46" s="201">
        <f t="shared" si="81"/>
        <v>350</v>
      </c>
      <c r="Y46" s="451">
        <f t="shared" si="54"/>
        <v>350</v>
      </c>
      <c r="AA46" s="221">
        <f t="shared" si="82"/>
        <v>2.1998658618376927</v>
      </c>
      <c r="AB46" s="177">
        <f t="shared" si="83"/>
        <v>1.2072434607645877</v>
      </c>
      <c r="AC46" s="177">
        <f t="shared" si="84"/>
        <v>0.46476039334599145</v>
      </c>
      <c r="AD46" s="177"/>
      <c r="AE46" s="177">
        <f t="shared" si="85"/>
        <v>0.45</v>
      </c>
      <c r="AF46" s="555">
        <f t="shared" si="86"/>
        <v>933.33333333333337</v>
      </c>
      <c r="AG46" s="538">
        <f t="shared" si="87"/>
        <v>6.4574999999999994E-2</v>
      </c>
      <c r="AI46" s="177">
        <f t="shared" si="88"/>
        <v>1.4114872639511473</v>
      </c>
      <c r="AJ46" s="177">
        <f t="shared" si="89"/>
        <v>1.4114872639511473</v>
      </c>
      <c r="AK46" s="177">
        <f t="shared" si="90"/>
        <v>1.5943248426340983</v>
      </c>
      <c r="AM46" s="555">
        <f t="shared" si="91"/>
        <v>172.2</v>
      </c>
      <c r="AN46" s="469">
        <f t="shared" si="92"/>
        <v>350</v>
      </c>
      <c r="AP46">
        <f t="shared" si="93"/>
        <v>172.2</v>
      </c>
      <c r="AQ46" s="469">
        <f t="shared" si="94"/>
        <v>350</v>
      </c>
      <c r="AR46" s="469"/>
      <c r="AS46" s="5">
        <f t="shared" si="55"/>
        <v>2.8571428571428572</v>
      </c>
      <c r="AT46" s="5">
        <f t="shared" si="95"/>
        <v>1.0586154479633605</v>
      </c>
      <c r="AU46" s="5">
        <f t="shared" si="56"/>
        <v>1.7985274091794967</v>
      </c>
      <c r="AV46" s="5">
        <f t="shared" si="96"/>
        <v>0.77459666924148329</v>
      </c>
      <c r="AW46" s="177">
        <f t="shared" si="57"/>
        <v>0.37051540678717615</v>
      </c>
      <c r="AX46" s="177">
        <f t="shared" si="97"/>
        <v>3.1378666666666661</v>
      </c>
      <c r="AY46" s="177">
        <f t="shared" si="98"/>
        <v>0.44425474308668489</v>
      </c>
      <c r="AZ46" s="177">
        <f t="shared" si="58"/>
        <v>7.0632147782255466</v>
      </c>
      <c r="BA46" s="469">
        <f t="shared" si="99"/>
        <v>19.587372721622344</v>
      </c>
      <c r="BB46" s="469">
        <f t="shared" si="100"/>
        <v>5.7984355565982417</v>
      </c>
      <c r="BC46" s="5">
        <f t="shared" si="101"/>
        <v>0.74081010923472124</v>
      </c>
      <c r="BD46" s="469">
        <f t="shared" si="102"/>
        <v>45.190023220749943</v>
      </c>
      <c r="BE46" s="5"/>
      <c r="BF46" s="177">
        <f t="shared" si="59"/>
        <v>0.49604316769907786</v>
      </c>
      <c r="BG46" s="177">
        <f t="shared" si="103"/>
        <v>0.646560083218229</v>
      </c>
      <c r="BH46" s="177"/>
      <c r="BI46" s="538">
        <f t="shared" si="104"/>
        <v>2.7066470664302903E-2</v>
      </c>
      <c r="BJ46" s="538">
        <f t="shared" si="105"/>
        <v>7.0150917018372019E-2</v>
      </c>
      <c r="BK46" s="538">
        <f t="shared" si="106"/>
        <v>1.7499999999999998E-2</v>
      </c>
      <c r="BL46" s="538">
        <f t="shared" si="107"/>
        <v>6.3516599999999993E-2</v>
      </c>
      <c r="BM46">
        <f t="shared" si="108"/>
        <v>3.48E-3</v>
      </c>
      <c r="BN46">
        <f t="shared" si="109"/>
        <v>2.4500000000000003E-5</v>
      </c>
      <c r="BO46" s="538">
        <f t="shared" si="110"/>
        <v>0.18265060165211452</v>
      </c>
      <c r="BP46" s="469">
        <f t="shared" si="60"/>
        <v>182.65060165211452</v>
      </c>
      <c r="BQ46" s="538">
        <f t="shared" si="111"/>
        <v>0.15498000000000001</v>
      </c>
      <c r="BR46" s="538"/>
      <c r="BT46" s="469">
        <f t="shared" si="61"/>
        <v>154.98000000000002</v>
      </c>
      <c r="BU46" s="538">
        <f t="shared" si="112"/>
        <v>1.1810823562604903E-2</v>
      </c>
      <c r="BV46" s="538">
        <f t="shared" si="113"/>
        <v>0.10032958589067917</v>
      </c>
      <c r="BW46" s="538">
        <f t="shared" si="114"/>
        <v>0</v>
      </c>
      <c r="BX46" s="538">
        <f t="shared" si="115"/>
        <v>0.11315555426828881</v>
      </c>
      <c r="BY46" s="538">
        <f t="shared" si="116"/>
        <v>3.486518518518518E-2</v>
      </c>
      <c r="BZ46" s="469">
        <f t="shared" si="62"/>
        <v>148.02073945347399</v>
      </c>
      <c r="CA46" s="177">
        <f t="shared" si="63"/>
        <v>0.48565134110558855</v>
      </c>
      <c r="CB46" s="5">
        <f t="shared" si="64"/>
        <v>2.6690999999999998</v>
      </c>
      <c r="CC46" s="177">
        <f t="shared" si="65"/>
        <v>0.84605717262794122</v>
      </c>
      <c r="CD46" s="5">
        <f t="shared" si="66"/>
        <v>84.605717262794116</v>
      </c>
      <c r="CG46" s="571">
        <f t="shared" si="117"/>
        <v>-50</v>
      </c>
      <c r="CH46">
        <f t="shared" si="118"/>
        <v>-50</v>
      </c>
    </row>
    <row r="47" spans="5:86" x14ac:dyDescent="0.2">
      <c r="E47" s="174">
        <v>42</v>
      </c>
      <c r="F47" s="221">
        <f t="shared" si="119"/>
        <v>0.17639999999999997</v>
      </c>
      <c r="G47" s="221"/>
      <c r="H47" s="221">
        <f t="shared" si="67"/>
        <v>2.7341999999999995</v>
      </c>
      <c r="I47" s="551">
        <f t="shared" si="68"/>
        <v>12</v>
      </c>
      <c r="J47" s="176">
        <f t="shared" si="69"/>
        <v>16.399999999999999</v>
      </c>
      <c r="K47" s="451">
        <f t="shared" si="70"/>
        <v>28.4</v>
      </c>
      <c r="L47" s="451"/>
      <c r="M47" s="221">
        <f t="shared" si="71"/>
        <v>0.57746478873239437</v>
      </c>
      <c r="N47" s="176">
        <f t="shared" si="72"/>
        <v>12.78507042253521</v>
      </c>
      <c r="O47" s="176">
        <f t="shared" si="53"/>
        <v>2.7341999999999995</v>
      </c>
      <c r="P47" s="221">
        <f t="shared" si="73"/>
        <v>0.82484325306678774</v>
      </c>
      <c r="Q47" s="221">
        <f t="shared" si="74"/>
        <v>15.5</v>
      </c>
      <c r="R47" s="221">
        <f t="shared" si="75"/>
        <v>0.91649250340754196</v>
      </c>
      <c r="S47" s="176">
        <f t="shared" si="76"/>
        <v>113.60452349950307</v>
      </c>
      <c r="T47" s="176">
        <f t="shared" si="77"/>
        <v>15.5</v>
      </c>
      <c r="U47" s="221">
        <f t="shared" si="78"/>
        <v>0.87682113821138186</v>
      </c>
      <c r="V47" s="221">
        <f t="shared" si="79"/>
        <v>0.65761585365853648</v>
      </c>
      <c r="W47" s="221">
        <f t="shared" si="80"/>
        <v>0.48118233194527055</v>
      </c>
      <c r="X47" s="201">
        <f t="shared" si="81"/>
        <v>350</v>
      </c>
      <c r="Y47" s="451">
        <f t="shared" si="54"/>
        <v>350</v>
      </c>
      <c r="AA47" s="221">
        <f t="shared" si="82"/>
        <v>2.1998658618376927</v>
      </c>
      <c r="AB47" s="177">
        <f t="shared" si="83"/>
        <v>1.2072434607645877</v>
      </c>
      <c r="AC47" s="177">
        <f t="shared" si="84"/>
        <v>0.46476039334599145</v>
      </c>
      <c r="AD47" s="177"/>
      <c r="AE47" s="177">
        <f t="shared" si="85"/>
        <v>0.45</v>
      </c>
      <c r="AF47" s="555">
        <f t="shared" si="86"/>
        <v>956.09756097560967</v>
      </c>
      <c r="AG47" s="538">
        <f t="shared" si="87"/>
        <v>6.4574999999999994E-2</v>
      </c>
      <c r="AI47" s="177">
        <f t="shared" si="88"/>
        <v>1.4285968251710797</v>
      </c>
      <c r="AJ47" s="177">
        <f t="shared" si="89"/>
        <v>1.4285968251710797</v>
      </c>
      <c r="AK47" s="177">
        <f t="shared" si="90"/>
        <v>1.6057312167807198</v>
      </c>
      <c r="AM47" s="555">
        <f t="shared" si="91"/>
        <v>176.39999999999998</v>
      </c>
      <c r="AN47" s="469">
        <f t="shared" si="92"/>
        <v>350</v>
      </c>
      <c r="AP47">
        <f t="shared" si="93"/>
        <v>176.39999999999998</v>
      </c>
      <c r="AQ47" s="469">
        <f t="shared" si="94"/>
        <v>350</v>
      </c>
      <c r="AR47" s="469"/>
      <c r="AS47" s="5">
        <f t="shared" si="55"/>
        <v>2.8571428571428572</v>
      </c>
      <c r="AT47" s="5">
        <f t="shared" si="95"/>
        <v>1.0714476188783097</v>
      </c>
      <c r="AU47" s="5">
        <f t="shared" si="56"/>
        <v>1.7856952382645475</v>
      </c>
      <c r="AV47" s="5">
        <f t="shared" si="96"/>
        <v>0.78398606259388526</v>
      </c>
      <c r="AW47" s="177">
        <f t="shared" si="57"/>
        <v>0.37500666660740839</v>
      </c>
      <c r="AX47" s="177">
        <f t="shared" si="97"/>
        <v>3.2143999999999995</v>
      </c>
      <c r="AY47" s="177">
        <f t="shared" si="98"/>
        <v>0.4464317459188733</v>
      </c>
      <c r="AZ47" s="177">
        <f t="shared" si="58"/>
        <v>7.2002048003641042</v>
      </c>
      <c r="BA47" s="469">
        <f t="shared" si="99"/>
        <v>19.587372721622344</v>
      </c>
      <c r="BB47" s="469">
        <f t="shared" si="100"/>
        <v>6.0761305900293259</v>
      </c>
      <c r="BC47" s="5">
        <f t="shared" si="101"/>
        <v>0.75346418525662395</v>
      </c>
      <c r="BD47" s="469">
        <f t="shared" si="102"/>
        <v>45.967351115397456</v>
      </c>
      <c r="BE47" s="5"/>
      <c r="BF47" s="177">
        <f t="shared" si="59"/>
        <v>0.50508974091683922</v>
      </c>
      <c r="BG47" s="177">
        <f t="shared" si="103"/>
        <v>0.65205877796166223</v>
      </c>
      <c r="BH47" s="177"/>
      <c r="BI47" s="538">
        <f t="shared" si="104"/>
        <v>2.8062721101738377E-2</v>
      </c>
      <c r="BJ47" s="538">
        <f t="shared" si="105"/>
        <v>7.1001262211002669E-2</v>
      </c>
      <c r="BK47" s="538">
        <f t="shared" si="106"/>
        <v>1.7499999999999998E-2</v>
      </c>
      <c r="BL47" s="538">
        <f t="shared" si="107"/>
        <v>6.3516599999999993E-2</v>
      </c>
      <c r="BM47">
        <f t="shared" si="108"/>
        <v>3.48E-3</v>
      </c>
      <c r="BN47">
        <f t="shared" si="109"/>
        <v>2.4500000000000003E-5</v>
      </c>
      <c r="BO47" s="538">
        <f t="shared" si="110"/>
        <v>0.18454055533288224</v>
      </c>
      <c r="BP47" s="469">
        <f t="shared" si="60"/>
        <v>184.54055533288224</v>
      </c>
      <c r="BQ47" s="538">
        <f t="shared" si="111"/>
        <v>0.15875999999999998</v>
      </c>
      <c r="BR47" s="538"/>
      <c r="BT47" s="469">
        <f t="shared" si="61"/>
        <v>158.76</v>
      </c>
      <c r="BU47" s="538">
        <f t="shared" si="112"/>
        <v>1.224555102621311E-2</v>
      </c>
      <c r="BV47" s="538">
        <f t="shared" si="113"/>
        <v>0.10204335598004552</v>
      </c>
      <c r="BW47" s="538">
        <f t="shared" si="114"/>
        <v>0</v>
      </c>
      <c r="BX47" s="538">
        <f t="shared" si="115"/>
        <v>0.11534350566164581</v>
      </c>
      <c r="BY47" s="538">
        <f t="shared" si="116"/>
        <v>3.5715555555555549E-2</v>
      </c>
      <c r="BZ47" s="469">
        <f t="shared" si="62"/>
        <v>151.05906121720136</v>
      </c>
      <c r="CA47" s="177">
        <f t="shared" si="63"/>
        <v>0.49435961655008359</v>
      </c>
      <c r="CB47" s="5">
        <f t="shared" si="64"/>
        <v>2.7341999999999995</v>
      </c>
      <c r="CC47" s="177">
        <f t="shared" si="65"/>
        <v>0.84687920457905697</v>
      </c>
      <c r="CD47" s="5">
        <f t="shared" si="66"/>
        <v>84.68792045790569</v>
      </c>
      <c r="CG47" s="571">
        <f t="shared" si="117"/>
        <v>-50</v>
      </c>
      <c r="CH47">
        <f t="shared" si="118"/>
        <v>-50</v>
      </c>
    </row>
    <row r="48" spans="5:86" x14ac:dyDescent="0.2">
      <c r="E48" s="174">
        <v>43</v>
      </c>
      <c r="F48" s="221">
        <f t="shared" si="119"/>
        <v>0.18059999999999998</v>
      </c>
      <c r="G48" s="221"/>
      <c r="H48" s="221">
        <f t="shared" si="67"/>
        <v>2.7992999999999997</v>
      </c>
      <c r="I48" s="551">
        <f t="shared" si="68"/>
        <v>12</v>
      </c>
      <c r="J48" s="176">
        <f t="shared" si="69"/>
        <v>16.399999999999999</v>
      </c>
      <c r="K48" s="451">
        <f t="shared" si="70"/>
        <v>28.4</v>
      </c>
      <c r="L48" s="451"/>
      <c r="M48" s="221">
        <f t="shared" si="71"/>
        <v>0.57746478873239437</v>
      </c>
      <c r="N48" s="176">
        <f t="shared" si="72"/>
        <v>12.78507042253521</v>
      </c>
      <c r="O48" s="176">
        <f t="shared" si="53"/>
        <v>2.7992999999999997</v>
      </c>
      <c r="P48" s="221">
        <f t="shared" si="73"/>
        <v>0.82484325306678774</v>
      </c>
      <c r="Q48" s="221">
        <f t="shared" si="74"/>
        <v>15.5</v>
      </c>
      <c r="R48" s="221">
        <f t="shared" si="75"/>
        <v>0.91649250340754196</v>
      </c>
      <c r="S48" s="176">
        <f t="shared" si="76"/>
        <v>110.6881465995892</v>
      </c>
      <c r="T48" s="176">
        <f t="shared" si="77"/>
        <v>15.5</v>
      </c>
      <c r="U48" s="221">
        <f t="shared" si="78"/>
        <v>0.89769783197831965</v>
      </c>
      <c r="V48" s="221">
        <f t="shared" si="79"/>
        <v>0.67327337398373976</v>
      </c>
      <c r="W48" s="221">
        <f t="shared" si="80"/>
        <v>0.49263905413444375</v>
      </c>
      <c r="X48" s="201">
        <f t="shared" si="81"/>
        <v>350</v>
      </c>
      <c r="Y48" s="451">
        <f t="shared" si="54"/>
        <v>350</v>
      </c>
      <c r="AA48" s="221">
        <f t="shared" si="82"/>
        <v>2.1998658618376927</v>
      </c>
      <c r="AB48" s="177">
        <f t="shared" si="83"/>
        <v>1.2072434607645877</v>
      </c>
      <c r="AC48" s="177">
        <f t="shared" si="84"/>
        <v>0.46476039334599145</v>
      </c>
      <c r="AD48" s="177"/>
      <c r="AE48" s="177">
        <f t="shared" si="85"/>
        <v>0.45</v>
      </c>
      <c r="AF48" s="555">
        <f t="shared" si="86"/>
        <v>978.86178861788619</v>
      </c>
      <c r="AG48" s="538">
        <f t="shared" si="87"/>
        <v>6.4574999999999994E-2</v>
      </c>
      <c r="AI48" s="177">
        <f t="shared" si="88"/>
        <v>1.4455038849762669</v>
      </c>
      <c r="AJ48" s="177">
        <f t="shared" si="89"/>
        <v>1.4455038849762669</v>
      </c>
      <c r="AK48" s="177">
        <f t="shared" si="90"/>
        <v>1.617002589984178</v>
      </c>
      <c r="AM48" s="555">
        <f t="shared" si="91"/>
        <v>180.6</v>
      </c>
      <c r="AN48" s="469">
        <f t="shared" si="92"/>
        <v>350</v>
      </c>
      <c r="AP48">
        <f t="shared" si="93"/>
        <v>180.6</v>
      </c>
      <c r="AQ48" s="469">
        <f t="shared" si="94"/>
        <v>350</v>
      </c>
      <c r="AR48" s="469"/>
      <c r="AS48" s="5">
        <f t="shared" si="55"/>
        <v>2.8571428571428572</v>
      </c>
      <c r="AT48" s="5">
        <f t="shared" si="95"/>
        <v>1.0841279137322004</v>
      </c>
      <c r="AU48" s="5">
        <f t="shared" si="56"/>
        <v>1.7730149434106568</v>
      </c>
      <c r="AV48" s="5">
        <f t="shared" si="96"/>
        <v>0.79326432712112216</v>
      </c>
      <c r="AW48" s="177">
        <f t="shared" si="57"/>
        <v>0.37944476980627012</v>
      </c>
      <c r="AX48" s="177">
        <f t="shared" si="97"/>
        <v>3.2909333333333315</v>
      </c>
      <c r="AY48" s="177">
        <f t="shared" si="98"/>
        <v>0.44850749804368906</v>
      </c>
      <c r="AZ48" s="177">
        <f t="shared" si="58"/>
        <v>7.3375213294934971</v>
      </c>
      <c r="BA48" s="469">
        <f t="shared" si="99"/>
        <v>19.587372721622344</v>
      </c>
      <c r="BB48" s="469">
        <f t="shared" si="100"/>
        <v>6.360314660410558</v>
      </c>
      <c r="BC48" s="5">
        <f t="shared" si="101"/>
        <v>0.76592603874837195</v>
      </c>
      <c r="BD48" s="469">
        <f t="shared" si="102"/>
        <v>46.733145658235649</v>
      </c>
      <c r="BE48" s="5"/>
      <c r="BF48" s="177">
        <f t="shared" si="59"/>
        <v>0.51408261973966951</v>
      </c>
      <c r="BG48" s="177">
        <f t="shared" si="103"/>
        <v>0.65742899787132292</v>
      </c>
      <c r="BH48" s="177"/>
      <c r="BI48" s="538">
        <f t="shared" si="104"/>
        <v>2.907090339102418E-2</v>
      </c>
      <c r="BJ48" s="538">
        <f t="shared" si="105"/>
        <v>7.1841543083320455E-2</v>
      </c>
      <c r="BK48" s="538">
        <f t="shared" si="106"/>
        <v>1.7499999999999998E-2</v>
      </c>
      <c r="BL48" s="538">
        <f t="shared" si="107"/>
        <v>6.3516599999999993E-2</v>
      </c>
      <c r="BM48">
        <f t="shared" si="108"/>
        <v>3.48E-3</v>
      </c>
      <c r="BN48">
        <f t="shared" si="109"/>
        <v>2.4500000000000003E-5</v>
      </c>
      <c r="BO48" s="538">
        <f t="shared" si="110"/>
        <v>0.18643349776669232</v>
      </c>
      <c r="BP48" s="469">
        <f t="shared" si="60"/>
        <v>186.43349776669231</v>
      </c>
      <c r="BQ48" s="538">
        <f t="shared" si="111"/>
        <v>0.16253999999999999</v>
      </c>
      <c r="BR48" s="538"/>
      <c r="BT48" s="469">
        <f t="shared" si="61"/>
        <v>162.54</v>
      </c>
      <c r="BU48" s="538">
        <f t="shared" si="112"/>
        <v>1.2685485116083278E-2</v>
      </c>
      <c r="BV48" s="538">
        <f t="shared" si="113"/>
        <v>0.10373109293810205</v>
      </c>
      <c r="BW48" s="538">
        <f t="shared" si="114"/>
        <v>0</v>
      </c>
      <c r="BX48" s="538">
        <f t="shared" si="115"/>
        <v>0.11751099630002428</v>
      </c>
      <c r="BY48" s="538">
        <f t="shared" si="116"/>
        <v>3.6565925925925911E-2</v>
      </c>
      <c r="BZ48" s="469">
        <f t="shared" si="62"/>
        <v>154.07692222595017</v>
      </c>
      <c r="CA48" s="177">
        <f t="shared" si="63"/>
        <v>0.50305041999264244</v>
      </c>
      <c r="CB48" s="5">
        <f t="shared" si="64"/>
        <v>2.7992999999999997</v>
      </c>
      <c r="CC48" s="177">
        <f t="shared" si="65"/>
        <v>0.8476689763305727</v>
      </c>
      <c r="CD48" s="5">
        <f t="shared" si="66"/>
        <v>84.766897633057269</v>
      </c>
      <c r="CG48" s="571">
        <f t="shared" si="117"/>
        <v>-50</v>
      </c>
      <c r="CH48">
        <f t="shared" si="118"/>
        <v>-50</v>
      </c>
    </row>
    <row r="49" spans="5:86" x14ac:dyDescent="0.2">
      <c r="E49" s="174">
        <v>44</v>
      </c>
      <c r="F49" s="221">
        <f t="shared" si="119"/>
        <v>0.18479999999999999</v>
      </c>
      <c r="G49" s="221"/>
      <c r="H49" s="221">
        <f t="shared" si="67"/>
        <v>2.8643999999999998</v>
      </c>
      <c r="I49" s="551">
        <f t="shared" si="68"/>
        <v>12</v>
      </c>
      <c r="J49" s="176">
        <f t="shared" si="69"/>
        <v>16.399999999999999</v>
      </c>
      <c r="K49" s="451">
        <f t="shared" si="70"/>
        <v>28.4</v>
      </c>
      <c r="L49" s="451"/>
      <c r="M49" s="221">
        <f t="shared" si="71"/>
        <v>0.57746478873239437</v>
      </c>
      <c r="N49" s="176">
        <f t="shared" si="72"/>
        <v>12.78507042253521</v>
      </c>
      <c r="O49" s="176">
        <f t="shared" si="53"/>
        <v>2.8643999999999998</v>
      </c>
      <c r="P49" s="221">
        <f t="shared" si="73"/>
        <v>0.82484325306678774</v>
      </c>
      <c r="Q49" s="221">
        <f t="shared" si="74"/>
        <v>15.5</v>
      </c>
      <c r="R49" s="221">
        <f t="shared" si="75"/>
        <v>0.91649250340754196</v>
      </c>
      <c r="S49" s="176">
        <f t="shared" si="76"/>
        <v>107.90445544627522</v>
      </c>
      <c r="T49" s="176">
        <f t="shared" si="77"/>
        <v>15.5</v>
      </c>
      <c r="U49" s="221">
        <f t="shared" si="78"/>
        <v>0.91857452574525733</v>
      </c>
      <c r="V49" s="221">
        <f t="shared" si="79"/>
        <v>0.68893089430894305</v>
      </c>
      <c r="W49" s="221">
        <f t="shared" si="80"/>
        <v>0.50409577632361691</v>
      </c>
      <c r="X49" s="201">
        <f t="shared" si="81"/>
        <v>350</v>
      </c>
      <c r="Y49" s="451">
        <f t="shared" si="54"/>
        <v>350</v>
      </c>
      <c r="AA49" s="221">
        <f t="shared" si="82"/>
        <v>2.1998658618376927</v>
      </c>
      <c r="AB49" s="177">
        <f t="shared" si="83"/>
        <v>1.2072434607645877</v>
      </c>
      <c r="AC49" s="177">
        <f t="shared" si="84"/>
        <v>0.46476039334599145</v>
      </c>
      <c r="AD49" s="177"/>
      <c r="AE49" s="177">
        <f t="shared" si="85"/>
        <v>0.45</v>
      </c>
      <c r="AF49" s="555">
        <f t="shared" si="86"/>
        <v>1001.6260162601626</v>
      </c>
      <c r="AG49" s="538">
        <f t="shared" si="87"/>
        <v>6.4574999999999994E-2</v>
      </c>
      <c r="AI49" s="177">
        <f t="shared" si="88"/>
        <v>1.4622154677317818</v>
      </c>
      <c r="AJ49" s="177">
        <f t="shared" si="89"/>
        <v>1.4622154677317818</v>
      </c>
      <c r="AK49" s="177">
        <f t="shared" si="90"/>
        <v>1.6281436451545213</v>
      </c>
      <c r="AM49" s="555">
        <f t="shared" si="91"/>
        <v>184.79999999999998</v>
      </c>
      <c r="AN49" s="469">
        <f t="shared" si="92"/>
        <v>350</v>
      </c>
      <c r="AP49">
        <f t="shared" si="93"/>
        <v>184.79999999999998</v>
      </c>
      <c r="AQ49" s="469">
        <f t="shared" si="94"/>
        <v>350</v>
      </c>
      <c r="AR49" s="469"/>
      <c r="AS49" s="5">
        <f t="shared" si="55"/>
        <v>2.8571428571428572</v>
      </c>
      <c r="AT49" s="5">
        <f t="shared" si="95"/>
        <v>1.0966616007988363</v>
      </c>
      <c r="AU49" s="5">
        <f t="shared" si="56"/>
        <v>1.7604812563440209</v>
      </c>
      <c r="AV49" s="5">
        <f t="shared" si="96"/>
        <v>0.80243531765768528</v>
      </c>
      <c r="AW49" s="177">
        <f t="shared" si="57"/>
        <v>0.3838315602795927</v>
      </c>
      <c r="AX49" s="177">
        <f t="shared" si="97"/>
        <v>3.3674666666666657</v>
      </c>
      <c r="AY49" s="177">
        <f t="shared" si="98"/>
        <v>0.45048551164366873</v>
      </c>
      <c r="AZ49" s="177">
        <f t="shared" si="58"/>
        <v>7.4751941619163791</v>
      </c>
      <c r="BA49" s="469">
        <f t="shared" si="99"/>
        <v>19.587372721622344</v>
      </c>
      <c r="BB49" s="469">
        <f t="shared" si="100"/>
        <v>6.6509877677419373</v>
      </c>
      <c r="BC49" s="5">
        <f t="shared" si="101"/>
        <v>0.77819791831355123</v>
      </c>
      <c r="BD49" s="469">
        <f t="shared" si="102"/>
        <v>47.48754176547974</v>
      </c>
      <c r="BE49" s="5"/>
      <c r="BF49" s="177">
        <f t="shared" si="59"/>
        <v>0.52302336080561351</v>
      </c>
      <c r="BG49" s="177">
        <f t="shared" si="103"/>
        <v>0.66267482378334852</v>
      </c>
      <c r="BH49" s="177"/>
      <c r="BI49" s="538">
        <f t="shared" si="104"/>
        <v>3.0090877954323889E-2</v>
      </c>
      <c r="BJ49" s="538">
        <f t="shared" si="105"/>
        <v>7.2672108746269545E-2</v>
      </c>
      <c r="BK49" s="538">
        <f t="shared" si="106"/>
        <v>1.7499999999999998E-2</v>
      </c>
      <c r="BL49" s="538">
        <f t="shared" si="107"/>
        <v>6.3516599999999993E-2</v>
      </c>
      <c r="BM49">
        <f t="shared" si="108"/>
        <v>3.48E-3</v>
      </c>
      <c r="BN49">
        <f t="shared" si="109"/>
        <v>2.4500000000000003E-5</v>
      </c>
      <c r="BO49" s="538">
        <f t="shared" si="110"/>
        <v>0.18832964902790611</v>
      </c>
      <c r="BP49" s="469">
        <f t="shared" si="60"/>
        <v>188.3296490279061</v>
      </c>
      <c r="BQ49" s="538">
        <f t="shared" si="111"/>
        <v>0.16632</v>
      </c>
      <c r="BR49" s="538"/>
      <c r="BT49" s="469">
        <f t="shared" si="61"/>
        <v>166.32</v>
      </c>
      <c r="BU49" s="538">
        <f t="shared" si="112"/>
        <v>1.3130564925523152E-2</v>
      </c>
      <c r="BV49" s="538">
        <f t="shared" si="113"/>
        <v>0.10539310129831009</v>
      </c>
      <c r="BW49" s="538">
        <f t="shared" si="114"/>
        <v>0</v>
      </c>
      <c r="BX49" s="538">
        <f t="shared" si="115"/>
        <v>0.11965825301109839</v>
      </c>
      <c r="BY49" s="538">
        <f t="shared" si="116"/>
        <v>3.7416296296296288E-2</v>
      </c>
      <c r="BZ49" s="469">
        <f t="shared" si="62"/>
        <v>157.07454930739468</v>
      </c>
      <c r="CA49" s="177">
        <f t="shared" si="63"/>
        <v>0.51172419833530081</v>
      </c>
      <c r="CB49" s="5">
        <f t="shared" si="64"/>
        <v>2.8643999999999998</v>
      </c>
      <c r="CC49" s="177">
        <f t="shared" si="65"/>
        <v>0.84842850313752627</v>
      </c>
      <c r="CD49" s="5">
        <f t="shared" si="66"/>
        <v>84.842850313752621</v>
      </c>
      <c r="CG49" s="571">
        <f t="shared" si="117"/>
        <v>-50</v>
      </c>
      <c r="CH49">
        <f t="shared" si="118"/>
        <v>-50</v>
      </c>
    </row>
    <row r="50" spans="5:86" x14ac:dyDescent="0.2">
      <c r="E50" s="174">
        <v>45</v>
      </c>
      <c r="F50" s="221">
        <f t="shared" si="119"/>
        <v>0.189</v>
      </c>
      <c r="G50" s="221"/>
      <c r="H50" s="221">
        <f t="shared" si="67"/>
        <v>2.9295</v>
      </c>
      <c r="I50" s="551">
        <f t="shared" si="68"/>
        <v>12</v>
      </c>
      <c r="J50" s="176">
        <f t="shared" si="69"/>
        <v>16.399999999999999</v>
      </c>
      <c r="K50" s="451">
        <f t="shared" si="70"/>
        <v>28.4</v>
      </c>
      <c r="L50" s="451"/>
      <c r="M50" s="221">
        <f t="shared" si="71"/>
        <v>0.57746478873239437</v>
      </c>
      <c r="N50" s="176">
        <f t="shared" si="72"/>
        <v>12.78507042253521</v>
      </c>
      <c r="O50" s="176">
        <f t="shared" si="53"/>
        <v>2.9295</v>
      </c>
      <c r="P50" s="221">
        <f t="shared" si="73"/>
        <v>0.82484325306678774</v>
      </c>
      <c r="Q50" s="221">
        <f t="shared" si="74"/>
        <v>15.5</v>
      </c>
      <c r="R50" s="221">
        <f t="shared" si="75"/>
        <v>0.91649250340754196</v>
      </c>
      <c r="S50" s="176">
        <f t="shared" si="76"/>
        <v>105.2446051307713</v>
      </c>
      <c r="T50" s="176">
        <f t="shared" si="77"/>
        <v>15.5</v>
      </c>
      <c r="U50" s="221">
        <f t="shared" si="78"/>
        <v>0.93945121951219501</v>
      </c>
      <c r="V50" s="221">
        <f t="shared" si="79"/>
        <v>0.70458841463414623</v>
      </c>
      <c r="W50" s="221">
        <f t="shared" si="80"/>
        <v>0.51555249851278995</v>
      </c>
      <c r="X50" s="201">
        <f t="shared" si="81"/>
        <v>350</v>
      </c>
      <c r="Y50" s="451">
        <f t="shared" si="54"/>
        <v>350</v>
      </c>
      <c r="AA50" s="221">
        <f t="shared" si="82"/>
        <v>2.1998658618376927</v>
      </c>
      <c r="AB50" s="177">
        <f t="shared" si="83"/>
        <v>1.2072434607645877</v>
      </c>
      <c r="AC50" s="177">
        <f t="shared" si="84"/>
        <v>0.46476039334599145</v>
      </c>
      <c r="AD50" s="177"/>
      <c r="AE50" s="177">
        <f t="shared" si="85"/>
        <v>0.45</v>
      </c>
      <c r="AF50" s="555">
        <f t="shared" si="86"/>
        <v>1024.3902439024391</v>
      </c>
      <c r="AG50" s="538">
        <f t="shared" si="87"/>
        <v>6.4574999999999994E-2</v>
      </c>
      <c r="AI50" s="177">
        <f t="shared" si="88"/>
        <v>1.4787382008545888</v>
      </c>
      <c r="AJ50" s="177">
        <f t="shared" si="89"/>
        <v>1.4787382008545888</v>
      </c>
      <c r="AK50" s="177">
        <f t="shared" si="90"/>
        <v>1.639158800569726</v>
      </c>
      <c r="AM50" s="555">
        <f t="shared" si="91"/>
        <v>189</v>
      </c>
      <c r="AN50" s="469">
        <f t="shared" si="92"/>
        <v>350</v>
      </c>
      <c r="AP50">
        <f t="shared" si="93"/>
        <v>189</v>
      </c>
      <c r="AQ50" s="469">
        <f t="shared" si="94"/>
        <v>350</v>
      </c>
      <c r="AR50" s="469"/>
      <c r="AS50" s="5">
        <f t="shared" si="55"/>
        <v>2.8571428571428572</v>
      </c>
      <c r="AT50" s="5">
        <f t="shared" si="95"/>
        <v>1.1090536506409416</v>
      </c>
      <c r="AU50" s="5">
        <f t="shared" si="56"/>
        <v>1.7480892065019156</v>
      </c>
      <c r="AV50" s="5">
        <f t="shared" si="96"/>
        <v>0.81150267120068909</v>
      </c>
      <c r="AW50" s="177">
        <f t="shared" si="57"/>
        <v>0.38816877772432956</v>
      </c>
      <c r="AX50" s="177">
        <f t="shared" si="97"/>
        <v>3.4439999999999995</v>
      </c>
      <c r="AY50" s="177">
        <f t="shared" si="98"/>
        <v>0.45236910042729445</v>
      </c>
      <c r="AZ50" s="177">
        <f t="shared" si="58"/>
        <v>7.613252091592682</v>
      </c>
      <c r="BA50" s="469">
        <f t="shared" si="99"/>
        <v>19.587372721622344</v>
      </c>
      <c r="BB50" s="469">
        <f t="shared" si="100"/>
        <v>6.9481499120234629</v>
      </c>
      <c r="BC50" s="5">
        <f t="shared" si="101"/>
        <v>0.79028199543940758</v>
      </c>
      <c r="BD50" s="469">
        <f t="shared" si="102"/>
        <v>48.230669726364461</v>
      </c>
      <c r="BE50" s="5"/>
      <c r="BF50" s="177">
        <f t="shared" si="59"/>
        <v>0.53191344135756213</v>
      </c>
      <c r="BG50" s="177">
        <f t="shared" si="103"/>
        <v>0.66780010466609252</v>
      </c>
      <c r="BH50" s="177"/>
      <c r="BI50" s="538">
        <f t="shared" si="104"/>
        <v>3.1122510000652914E-2</v>
      </c>
      <c r="BJ50" s="538">
        <f t="shared" si="105"/>
        <v>7.3493288582473074E-2</v>
      </c>
      <c r="BK50" s="538">
        <f t="shared" si="106"/>
        <v>1.7499999999999998E-2</v>
      </c>
      <c r="BL50" s="538">
        <f t="shared" si="107"/>
        <v>6.3516599999999993E-2</v>
      </c>
      <c r="BM50">
        <f t="shared" si="108"/>
        <v>3.48E-3</v>
      </c>
      <c r="BN50">
        <f t="shared" si="109"/>
        <v>2.4500000000000003E-5</v>
      </c>
      <c r="BO50" s="538">
        <f t="shared" si="110"/>
        <v>0.19022921434359066</v>
      </c>
      <c r="BP50" s="469">
        <f t="shared" si="60"/>
        <v>190.22921434359066</v>
      </c>
      <c r="BQ50" s="538">
        <f t="shared" si="111"/>
        <v>0.1701</v>
      </c>
      <c r="BR50" s="538"/>
      <c r="BT50" s="469">
        <f t="shared" si="61"/>
        <v>170.1</v>
      </c>
      <c r="BU50" s="538">
        <f t="shared" si="112"/>
        <v>1.3580731636648545E-2</v>
      </c>
      <c r="BV50" s="538">
        <f t="shared" si="113"/>
        <v>0.10702967515009058</v>
      </c>
      <c r="BW50" s="538">
        <f t="shared" si="114"/>
        <v>0</v>
      </c>
      <c r="BX50" s="538">
        <f t="shared" si="115"/>
        <v>0.12178549463058869</v>
      </c>
      <c r="BY50" s="538">
        <f t="shared" si="116"/>
        <v>3.8266666666666664E-2</v>
      </c>
      <c r="BZ50" s="469">
        <f t="shared" si="62"/>
        <v>160.05216129725537</v>
      </c>
      <c r="CA50" s="177">
        <f t="shared" si="63"/>
        <v>0.52038137564084597</v>
      </c>
      <c r="CB50" s="5">
        <f t="shared" si="64"/>
        <v>2.9295</v>
      </c>
      <c r="CC50" s="177">
        <f t="shared" si="65"/>
        <v>0.84915963217889467</v>
      </c>
      <c r="CD50" s="5">
        <f t="shared" si="66"/>
        <v>84.91596321788947</v>
      </c>
      <c r="CG50" s="571">
        <f t="shared" si="117"/>
        <v>-50</v>
      </c>
      <c r="CH50">
        <f t="shared" si="118"/>
        <v>-50</v>
      </c>
    </row>
    <row r="51" spans="5:86" x14ac:dyDescent="0.2">
      <c r="E51" s="174">
        <v>46</v>
      </c>
      <c r="F51" s="221">
        <f t="shared" si="119"/>
        <v>0.19320000000000001</v>
      </c>
      <c r="G51" s="221"/>
      <c r="H51" s="221">
        <f t="shared" si="67"/>
        <v>2.9946000000000002</v>
      </c>
      <c r="I51" s="551">
        <f t="shared" si="68"/>
        <v>12</v>
      </c>
      <c r="J51" s="176">
        <f t="shared" si="69"/>
        <v>16.399999999999999</v>
      </c>
      <c r="K51" s="451">
        <f t="shared" si="70"/>
        <v>28.4</v>
      </c>
      <c r="L51" s="451"/>
      <c r="M51" s="221">
        <f t="shared" si="71"/>
        <v>0.57746478873239437</v>
      </c>
      <c r="N51" s="176">
        <f t="shared" si="72"/>
        <v>12.78507042253521</v>
      </c>
      <c r="O51" s="176">
        <f t="shared" si="53"/>
        <v>2.9946000000000002</v>
      </c>
      <c r="P51" s="221">
        <f t="shared" si="73"/>
        <v>0.82484325306678774</v>
      </c>
      <c r="Q51" s="221">
        <f t="shared" si="74"/>
        <v>15.5</v>
      </c>
      <c r="R51" s="221">
        <f t="shared" si="75"/>
        <v>0.91649250340754196</v>
      </c>
      <c r="S51" s="176">
        <f t="shared" si="76"/>
        <v>102.70051987305492</v>
      </c>
      <c r="T51" s="176">
        <f t="shared" si="77"/>
        <v>15.5</v>
      </c>
      <c r="U51" s="221">
        <f t="shared" si="78"/>
        <v>0.96032791327913281</v>
      </c>
      <c r="V51" s="221">
        <f t="shared" si="79"/>
        <v>0.72024593495934974</v>
      </c>
      <c r="W51" s="221">
        <f t="shared" si="80"/>
        <v>0.52700922070196321</v>
      </c>
      <c r="X51" s="201">
        <f t="shared" si="81"/>
        <v>350</v>
      </c>
      <c r="Y51" s="451">
        <f t="shared" si="54"/>
        <v>350</v>
      </c>
      <c r="AA51" s="221">
        <f t="shared" si="82"/>
        <v>2.1998658618376927</v>
      </c>
      <c r="AB51" s="177">
        <f t="shared" si="83"/>
        <v>1.2072434607645877</v>
      </c>
      <c r="AC51" s="177">
        <f t="shared" si="84"/>
        <v>0.46476039334599145</v>
      </c>
      <c r="AD51" s="177"/>
      <c r="AE51" s="177">
        <f t="shared" si="85"/>
        <v>0.45</v>
      </c>
      <c r="AF51" s="555">
        <f t="shared" si="86"/>
        <v>1047.1544715447155</v>
      </c>
      <c r="AG51" s="538">
        <f t="shared" si="87"/>
        <v>6.4574999999999994E-2</v>
      </c>
      <c r="AI51" s="177">
        <f t="shared" si="88"/>
        <v>1.4950783455254975</v>
      </c>
      <c r="AJ51" s="177">
        <f t="shared" si="89"/>
        <v>1.4950783455254975</v>
      </c>
      <c r="AK51" s="177">
        <f t="shared" si="90"/>
        <v>1.6500522303503318</v>
      </c>
      <c r="AM51" s="555">
        <f t="shared" si="91"/>
        <v>193.20000000000002</v>
      </c>
      <c r="AN51" s="469">
        <f t="shared" si="92"/>
        <v>350</v>
      </c>
      <c r="AP51">
        <f t="shared" si="93"/>
        <v>193.20000000000002</v>
      </c>
      <c r="AQ51" s="469">
        <f t="shared" si="94"/>
        <v>350</v>
      </c>
      <c r="AR51" s="469"/>
      <c r="AS51" s="5">
        <f t="shared" si="55"/>
        <v>2.8571428571428572</v>
      </c>
      <c r="AT51" s="5">
        <f t="shared" si="95"/>
        <v>1.1213087591441231</v>
      </c>
      <c r="AU51" s="5">
        <f t="shared" si="56"/>
        <v>1.7358340979987341</v>
      </c>
      <c r="AV51" s="5">
        <f t="shared" si="96"/>
        <v>0.82046982376399258</v>
      </c>
      <c r="AW51" s="177">
        <f t="shared" si="57"/>
        <v>0.39245806570044306</v>
      </c>
      <c r="AX51" s="177">
        <f t="shared" si="97"/>
        <v>3.5205333333333324</v>
      </c>
      <c r="AY51" s="177">
        <f t="shared" si="98"/>
        <v>0.45416139498497105</v>
      </c>
      <c r="AZ51" s="177">
        <f t="shared" si="58"/>
        <v>7.7517230046596817</v>
      </c>
      <c r="BA51" s="469">
        <f t="shared" si="99"/>
        <v>19.587372721622344</v>
      </c>
      <c r="BB51" s="469">
        <f t="shared" si="100"/>
        <v>7.2518010932551347</v>
      </c>
      <c r="BC51" s="5">
        <f t="shared" si="101"/>
        <v>0.80218036880663712</v>
      </c>
      <c r="BD51" s="469">
        <f t="shared" si="102"/>
        <v>48.962655461731572</v>
      </c>
      <c r="BE51" s="5"/>
      <c r="BF51" s="177">
        <f t="shared" si="59"/>
        <v>0.54075426496326828</v>
      </c>
      <c r="BG51" s="177">
        <f t="shared" si="103"/>
        <v>0.67280847547955402</v>
      </c>
      <c r="BH51" s="177"/>
      <c r="BI51" s="538">
        <f t="shared" si="104"/>
        <v>3.2165669258356101E-2</v>
      </c>
      <c r="BJ51" s="538">
        <f t="shared" si="105"/>
        <v>7.4305393772617231E-2</v>
      </c>
      <c r="BK51" s="538">
        <f t="shared" si="106"/>
        <v>1.7499999999999998E-2</v>
      </c>
      <c r="BL51" s="538">
        <f t="shared" si="107"/>
        <v>6.3516599999999993E-2</v>
      </c>
      <c r="BM51">
        <f t="shared" si="108"/>
        <v>3.48E-3</v>
      </c>
      <c r="BN51">
        <f t="shared" si="109"/>
        <v>2.4500000000000003E-5</v>
      </c>
      <c r="BO51" s="538">
        <f t="shared" si="110"/>
        <v>0.19213238534836577</v>
      </c>
      <c r="BP51" s="469">
        <f t="shared" si="60"/>
        <v>192.13238534836577</v>
      </c>
      <c r="BQ51" s="538">
        <f t="shared" si="111"/>
        <v>0.17388000000000001</v>
      </c>
      <c r="BR51" s="538"/>
      <c r="BT51" s="469">
        <f t="shared" si="61"/>
        <v>173.88</v>
      </c>
      <c r="BU51" s="538">
        <f t="shared" si="112"/>
        <v>1.4035928403646298E-2</v>
      </c>
      <c r="BV51" s="538">
        <f t="shared" si="113"/>
        <v>0.1086410987225092</v>
      </c>
      <c r="BW51" s="538">
        <f t="shared" si="114"/>
        <v>0</v>
      </c>
      <c r="BX51" s="538">
        <f t="shared" si="115"/>
        <v>0.12389293245701698</v>
      </c>
      <c r="BY51" s="538">
        <f t="shared" si="116"/>
        <v>3.9117037037037033E-2</v>
      </c>
      <c r="BZ51" s="469">
        <f t="shared" si="62"/>
        <v>163.00996949405399</v>
      </c>
      <c r="CA51" s="177">
        <f t="shared" si="63"/>
        <v>0.52902235484241977</v>
      </c>
      <c r="CB51" s="5">
        <f t="shared" si="64"/>
        <v>2.9946000000000002</v>
      </c>
      <c r="CC51" s="177">
        <f t="shared" si="65"/>
        <v>0.8498640598884275</v>
      </c>
      <c r="CD51" s="5">
        <f t="shared" si="66"/>
        <v>84.986405988842748</v>
      </c>
      <c r="CG51" s="571">
        <f t="shared" si="117"/>
        <v>-50</v>
      </c>
      <c r="CH51">
        <f t="shared" si="118"/>
        <v>-50</v>
      </c>
    </row>
    <row r="52" spans="5:86" x14ac:dyDescent="0.2">
      <c r="E52" s="174">
        <v>47</v>
      </c>
      <c r="F52" s="221">
        <f t="shared" si="119"/>
        <v>0.19739999999999999</v>
      </c>
      <c r="G52" s="221"/>
      <c r="H52" s="221">
        <f t="shared" si="67"/>
        <v>3.0596999999999999</v>
      </c>
      <c r="I52" s="551">
        <f t="shared" si="68"/>
        <v>12</v>
      </c>
      <c r="J52" s="176">
        <f t="shared" si="69"/>
        <v>16.399999999999999</v>
      </c>
      <c r="K52" s="451">
        <f t="shared" si="70"/>
        <v>28.4</v>
      </c>
      <c r="L52" s="451"/>
      <c r="M52" s="221">
        <f t="shared" si="71"/>
        <v>0.57746478873239437</v>
      </c>
      <c r="N52" s="176">
        <f t="shared" si="72"/>
        <v>12.78507042253521</v>
      </c>
      <c r="O52" s="176">
        <f t="shared" si="53"/>
        <v>3.0596999999999999</v>
      </c>
      <c r="P52" s="221">
        <f t="shared" si="73"/>
        <v>0.82484325306678774</v>
      </c>
      <c r="Q52" s="221">
        <f t="shared" si="74"/>
        <v>15.5</v>
      </c>
      <c r="R52" s="221">
        <f t="shared" si="75"/>
        <v>0.91649250340754196</v>
      </c>
      <c r="S52" s="176">
        <f t="shared" si="76"/>
        <v>100.26481119971214</v>
      </c>
      <c r="T52" s="176">
        <f t="shared" si="77"/>
        <v>15.5</v>
      </c>
      <c r="U52" s="221">
        <f t="shared" si="78"/>
        <v>0.98120460704607038</v>
      </c>
      <c r="V52" s="221">
        <f t="shared" si="79"/>
        <v>0.7359034552845527</v>
      </c>
      <c r="W52" s="221">
        <f t="shared" si="80"/>
        <v>0.53846594289113614</v>
      </c>
      <c r="X52" s="201">
        <f t="shared" si="81"/>
        <v>350</v>
      </c>
      <c r="Y52" s="451">
        <f t="shared" si="54"/>
        <v>350</v>
      </c>
      <c r="AA52" s="221">
        <f t="shared" si="82"/>
        <v>2.1998658618376927</v>
      </c>
      <c r="AB52" s="177">
        <f t="shared" si="83"/>
        <v>1.2072434607645877</v>
      </c>
      <c r="AC52" s="177">
        <f t="shared" si="84"/>
        <v>0.46476039334599145</v>
      </c>
      <c r="AD52" s="177"/>
      <c r="AE52" s="177">
        <f t="shared" si="85"/>
        <v>0.45</v>
      </c>
      <c r="AF52" s="555">
        <f t="shared" si="86"/>
        <v>1069.9186991869919</v>
      </c>
      <c r="AG52" s="538">
        <f t="shared" si="87"/>
        <v>6.4574999999999994E-2</v>
      </c>
      <c r="AI52" s="177">
        <f t="shared" si="88"/>
        <v>1.5112418244119143</v>
      </c>
      <c r="AJ52" s="177">
        <f t="shared" si="89"/>
        <v>1.5112418244119143</v>
      </c>
      <c r="AK52" s="177">
        <f t="shared" si="90"/>
        <v>1.6608278829412764</v>
      </c>
      <c r="AM52" s="555">
        <f t="shared" si="91"/>
        <v>197.4</v>
      </c>
      <c r="AN52" s="469">
        <f t="shared" si="92"/>
        <v>350</v>
      </c>
      <c r="AP52">
        <f t="shared" si="93"/>
        <v>197.4</v>
      </c>
      <c r="AQ52" s="469">
        <f t="shared" si="94"/>
        <v>350</v>
      </c>
      <c r="AR52" s="469"/>
      <c r="AS52" s="5">
        <f t="shared" si="55"/>
        <v>2.8571428571428572</v>
      </c>
      <c r="AT52" s="5">
        <f t="shared" si="95"/>
        <v>1.1334313683089359</v>
      </c>
      <c r="AU52" s="5">
        <f t="shared" si="56"/>
        <v>1.7237114888339213</v>
      </c>
      <c r="AV52" s="5">
        <f t="shared" si="96"/>
        <v>0.82934002559190434</v>
      </c>
      <c r="AW52" s="177">
        <f t="shared" si="57"/>
        <v>0.39670097890812756</v>
      </c>
      <c r="AX52" s="177">
        <f t="shared" si="97"/>
        <v>3.5970666666666657</v>
      </c>
      <c r="AY52" s="177">
        <f t="shared" si="98"/>
        <v>0.45586535665040168</v>
      </c>
      <c r="AZ52" s="177">
        <f t="shared" si="58"/>
        <v>7.8906339650310784</v>
      </c>
      <c r="BA52" s="469">
        <f t="shared" si="99"/>
        <v>19.587372721622344</v>
      </c>
      <c r="BB52" s="469">
        <f t="shared" si="100"/>
        <v>7.5619413114369509</v>
      </c>
      <c r="BC52" s="5">
        <f t="shared" si="101"/>
        <v>0.81389506826931302</v>
      </c>
      <c r="BD52" s="469">
        <f t="shared" si="102"/>
        <v>49.683620762825456</v>
      </c>
      <c r="BE52" s="5"/>
      <c r="BF52" s="177">
        <f t="shared" si="59"/>
        <v>0.54954716670812087</v>
      </c>
      <c r="BG52" s="177">
        <f t="shared" si="103"/>
        <v>0.67770337329864361</v>
      </c>
      <c r="BH52" s="177"/>
      <c r="BI52" s="538">
        <f t="shared" si="104"/>
        <v>3.3220229728061546E-2</v>
      </c>
      <c r="BJ52" s="538">
        <f t="shared" si="105"/>
        <v>7.5108718673272137E-2</v>
      </c>
      <c r="BK52" s="538">
        <f t="shared" si="106"/>
        <v>1.7499999999999998E-2</v>
      </c>
      <c r="BL52" s="538">
        <f t="shared" si="107"/>
        <v>6.3516599999999993E-2</v>
      </c>
      <c r="BM52">
        <f t="shared" si="108"/>
        <v>3.48E-3</v>
      </c>
      <c r="BN52">
        <f t="shared" si="109"/>
        <v>2.4500000000000003E-5</v>
      </c>
      <c r="BO52" s="538">
        <f t="shared" si="110"/>
        <v>0.19403934121148356</v>
      </c>
      <c r="BP52" s="469">
        <f t="shared" si="60"/>
        <v>194.03934121148356</v>
      </c>
      <c r="BQ52" s="538">
        <f t="shared" si="111"/>
        <v>0.17765999999999998</v>
      </c>
      <c r="BR52" s="538"/>
      <c r="BT52" s="469">
        <f t="shared" si="61"/>
        <v>177.66</v>
      </c>
      <c r="BU52" s="538">
        <f t="shared" si="112"/>
        <v>1.4496100244972313E-2</v>
      </c>
      <c r="BV52" s="538">
        <f t="shared" si="113"/>
        <v>0.11022764692328657</v>
      </c>
      <c r="BW52" s="538">
        <f t="shared" si="114"/>
        <v>0</v>
      </c>
      <c r="BX52" s="538">
        <f t="shared" si="115"/>
        <v>0.12598077067140148</v>
      </c>
      <c r="BY52" s="538">
        <f t="shared" si="116"/>
        <v>3.9967407407407403E-2</v>
      </c>
      <c r="BZ52" s="469">
        <f t="shared" si="62"/>
        <v>165.94817807880887</v>
      </c>
      <c r="CA52" s="177">
        <f t="shared" si="63"/>
        <v>0.53764751929029242</v>
      </c>
      <c r="CB52" s="5">
        <f t="shared" si="64"/>
        <v>3.0596999999999999</v>
      </c>
      <c r="CC52" s="177">
        <f t="shared" si="65"/>
        <v>0.85054334717254043</v>
      </c>
      <c r="CD52" s="5">
        <f t="shared" si="66"/>
        <v>85.054334717254036</v>
      </c>
      <c r="CG52" s="571">
        <f t="shared" si="117"/>
        <v>-50</v>
      </c>
      <c r="CH52">
        <f t="shared" si="118"/>
        <v>-50</v>
      </c>
    </row>
    <row r="53" spans="5:86" x14ac:dyDescent="0.2">
      <c r="E53" s="174">
        <v>48</v>
      </c>
      <c r="F53" s="221">
        <f t="shared" si="119"/>
        <v>0.20159999999999997</v>
      </c>
      <c r="G53" s="221"/>
      <c r="H53" s="221">
        <f t="shared" si="67"/>
        <v>3.1247999999999996</v>
      </c>
      <c r="I53" s="551">
        <f t="shared" si="68"/>
        <v>12</v>
      </c>
      <c r="J53" s="176">
        <f t="shared" si="69"/>
        <v>16.399999999999999</v>
      </c>
      <c r="K53" s="451">
        <f t="shared" si="70"/>
        <v>28.4</v>
      </c>
      <c r="L53" s="451"/>
      <c r="M53" s="221">
        <f t="shared" si="71"/>
        <v>0.57746478873239437</v>
      </c>
      <c r="N53" s="176">
        <f t="shared" si="72"/>
        <v>12.78507042253521</v>
      </c>
      <c r="O53" s="176">
        <f t="shared" si="53"/>
        <v>3.1247999999999996</v>
      </c>
      <c r="P53" s="221">
        <f t="shared" si="73"/>
        <v>0.82484325306678774</v>
      </c>
      <c r="Q53" s="221">
        <f t="shared" si="74"/>
        <v>15.5</v>
      </c>
      <c r="R53" s="221">
        <f t="shared" si="75"/>
        <v>0.91649250340754196</v>
      </c>
      <c r="S53" s="176">
        <f t="shared" si="76"/>
        <v>97.93070634954951</v>
      </c>
      <c r="T53" s="176">
        <f t="shared" si="77"/>
        <v>15.5</v>
      </c>
      <c r="U53" s="221">
        <f t="shared" si="78"/>
        <v>1.0020813008130078</v>
      </c>
      <c r="V53" s="221">
        <f t="shared" si="79"/>
        <v>0.75156097560975588</v>
      </c>
      <c r="W53" s="221">
        <f t="shared" si="80"/>
        <v>0.54992266508030918</v>
      </c>
      <c r="X53" s="201">
        <f t="shared" si="81"/>
        <v>350</v>
      </c>
      <c r="Y53" s="451">
        <f t="shared" si="54"/>
        <v>350</v>
      </c>
      <c r="AA53" s="221">
        <f t="shared" si="82"/>
        <v>2.1998658618376927</v>
      </c>
      <c r="AB53" s="177">
        <f t="shared" si="83"/>
        <v>1.2072434607645877</v>
      </c>
      <c r="AC53" s="177">
        <f t="shared" si="84"/>
        <v>0.46476039334599145</v>
      </c>
      <c r="AD53" s="177"/>
      <c r="AE53" s="177">
        <f t="shared" si="85"/>
        <v>0.45</v>
      </c>
      <c r="AF53" s="555">
        <f t="shared" si="86"/>
        <v>1092.6829268292681</v>
      </c>
      <c r="AG53" s="538">
        <f t="shared" si="87"/>
        <v>6.4574999999999994E-2</v>
      </c>
      <c r="AI53" s="177">
        <f t="shared" si="88"/>
        <v>1.5272342467494775</v>
      </c>
      <c r="AJ53" s="177">
        <f t="shared" si="89"/>
        <v>1.5272342467494775</v>
      </c>
      <c r="AK53" s="177">
        <f t="shared" si="90"/>
        <v>1.6714894978329851</v>
      </c>
      <c r="AM53" s="555">
        <f t="shared" si="91"/>
        <v>201.59999999999997</v>
      </c>
      <c r="AN53" s="469">
        <f t="shared" si="92"/>
        <v>350</v>
      </c>
      <c r="AP53">
        <f t="shared" si="93"/>
        <v>201.59999999999997</v>
      </c>
      <c r="AQ53" s="469">
        <f t="shared" si="94"/>
        <v>350</v>
      </c>
      <c r="AR53" s="469"/>
      <c r="AS53" s="5">
        <f t="shared" si="55"/>
        <v>2.8571428571428572</v>
      </c>
      <c r="AT53" s="5">
        <f t="shared" si="95"/>
        <v>1.1454256850621081</v>
      </c>
      <c r="AU53" s="5">
        <f t="shared" si="56"/>
        <v>1.7117171720807491</v>
      </c>
      <c r="AV53" s="5">
        <f t="shared" si="96"/>
        <v>0.83811635492349379</v>
      </c>
      <c r="AW53" s="177">
        <f t="shared" si="57"/>
        <v>0.40089898977173782</v>
      </c>
      <c r="AX53" s="177">
        <f t="shared" si="97"/>
        <v>3.6735999999999995</v>
      </c>
      <c r="AY53" s="177">
        <f t="shared" si="98"/>
        <v>0.45748379004140544</v>
      </c>
      <c r="AZ53" s="177">
        <f t="shared" si="58"/>
        <v>8.0300112921323699</v>
      </c>
      <c r="BA53" s="469">
        <f t="shared" si="99"/>
        <v>19.587372721622344</v>
      </c>
      <c r="BB53" s="469">
        <f t="shared" si="100"/>
        <v>7.8785705665689143</v>
      </c>
      <c r="BC53" s="5">
        <f t="shared" si="101"/>
        <v>0.82542805853671652</v>
      </c>
      <c r="BD53" s="469">
        <f t="shared" si="102"/>
        <v>50.393683512203005</v>
      </c>
      <c r="BE53" s="5"/>
      <c r="BF53" s="177">
        <f t="shared" si="59"/>
        <v>0.55829341791943055</v>
      </c>
      <c r="BG53" s="177">
        <f t="shared" si="103"/>
        <v>0.68248805190224482</v>
      </c>
      <c r="BH53" s="177"/>
      <c r="BI53" s="538">
        <f t="shared" si="104"/>
        <v>3.4286069454137591E-2</v>
      </c>
      <c r="BJ53" s="538">
        <f t="shared" si="105"/>
        <v>7.5903542063449042E-2</v>
      </c>
      <c r="BK53" s="538">
        <f t="shared" si="106"/>
        <v>1.7499999999999998E-2</v>
      </c>
      <c r="BL53" s="538">
        <f t="shared" si="107"/>
        <v>6.3516599999999993E-2</v>
      </c>
      <c r="BM53">
        <f t="shared" si="108"/>
        <v>3.48E-3</v>
      </c>
      <c r="BN53">
        <f t="shared" si="109"/>
        <v>2.4500000000000003E-5</v>
      </c>
      <c r="BO53" s="538">
        <f t="shared" si="110"/>
        <v>0.19595024965143648</v>
      </c>
      <c r="BP53" s="469">
        <f t="shared" si="60"/>
        <v>195.95024965143648</v>
      </c>
      <c r="BQ53" s="538">
        <f t="shared" si="111"/>
        <v>0.18143999999999999</v>
      </c>
      <c r="BR53" s="538"/>
      <c r="BT53" s="469">
        <f t="shared" si="61"/>
        <v>181.44</v>
      </c>
      <c r="BU53" s="538">
        <f t="shared" si="112"/>
        <v>1.4961193943623677E-2</v>
      </c>
      <c r="BV53" s="538">
        <f t="shared" si="113"/>
        <v>0.11178958583743709</v>
      </c>
      <c r="BW53" s="538">
        <f t="shared" si="114"/>
        <v>0</v>
      </c>
      <c r="BX53" s="538">
        <f t="shared" si="115"/>
        <v>0.12804920672528283</v>
      </c>
      <c r="BY53" s="538">
        <f t="shared" si="116"/>
        <v>4.0817777777777779E-2</v>
      </c>
      <c r="BZ53" s="469">
        <f t="shared" si="62"/>
        <v>168.86698450306062</v>
      </c>
      <c r="CA53" s="177">
        <f t="shared" si="63"/>
        <v>0.54625723415449701</v>
      </c>
      <c r="CB53" s="5">
        <f t="shared" si="64"/>
        <v>3.1247999999999996</v>
      </c>
      <c r="CC53" s="177">
        <f t="shared" si="65"/>
        <v>0.85119893281088854</v>
      </c>
      <c r="CD53" s="5">
        <f t="shared" si="66"/>
        <v>85.119893281088849</v>
      </c>
      <c r="CG53" s="571">
        <f t="shared" si="117"/>
        <v>-50</v>
      </c>
      <c r="CH53">
        <f t="shared" si="118"/>
        <v>-50</v>
      </c>
    </row>
    <row r="54" spans="5:86" x14ac:dyDescent="0.2">
      <c r="E54" s="174">
        <v>49</v>
      </c>
      <c r="F54" s="221">
        <f t="shared" si="119"/>
        <v>0.20579999999999998</v>
      </c>
      <c r="G54" s="221"/>
      <c r="H54" s="221">
        <f t="shared" si="67"/>
        <v>3.1898999999999997</v>
      </c>
      <c r="I54" s="551">
        <f t="shared" si="68"/>
        <v>12</v>
      </c>
      <c r="J54" s="176">
        <f t="shared" si="69"/>
        <v>16.399999999999999</v>
      </c>
      <c r="K54" s="451">
        <f t="shared" si="70"/>
        <v>28.4</v>
      </c>
      <c r="L54" s="451"/>
      <c r="M54" s="221">
        <f t="shared" si="71"/>
        <v>0.57746478873239437</v>
      </c>
      <c r="N54" s="176">
        <f t="shared" si="72"/>
        <v>12.78507042253521</v>
      </c>
      <c r="O54" s="176">
        <f t="shared" si="53"/>
        <v>3.1898999999999997</v>
      </c>
      <c r="P54" s="221">
        <f t="shared" si="73"/>
        <v>0.82484325306678774</v>
      </c>
      <c r="Q54" s="221">
        <f t="shared" si="74"/>
        <v>15.5</v>
      </c>
      <c r="R54" s="221">
        <f t="shared" si="75"/>
        <v>0.91649250340754196</v>
      </c>
      <c r="S54" s="176">
        <f t="shared" si="76"/>
        <v>95.691985445865825</v>
      </c>
      <c r="T54" s="176">
        <f t="shared" si="77"/>
        <v>15.5</v>
      </c>
      <c r="U54" s="221">
        <f t="shared" si="78"/>
        <v>1.0229579945799456</v>
      </c>
      <c r="V54" s="221">
        <f t="shared" si="79"/>
        <v>0.76721849593495917</v>
      </c>
      <c r="W54" s="221">
        <f t="shared" si="80"/>
        <v>0.56137938726948233</v>
      </c>
      <c r="X54" s="201">
        <f t="shared" si="81"/>
        <v>350</v>
      </c>
      <c r="Y54" s="451">
        <f t="shared" si="54"/>
        <v>350</v>
      </c>
      <c r="AA54" s="221">
        <f t="shared" si="82"/>
        <v>2.1998658618376927</v>
      </c>
      <c r="AB54" s="177">
        <f t="shared" si="83"/>
        <v>1.2072434607645877</v>
      </c>
      <c r="AC54" s="177">
        <f t="shared" si="84"/>
        <v>0.46476039334599145</v>
      </c>
      <c r="AD54" s="177"/>
      <c r="AE54" s="177">
        <f t="shared" si="85"/>
        <v>0.45</v>
      </c>
      <c r="AF54" s="555">
        <f t="shared" si="86"/>
        <v>1115.4471544715448</v>
      </c>
      <c r="AG54" s="538">
        <f t="shared" si="87"/>
        <v>6.4574999999999994E-2</v>
      </c>
      <c r="AI54" s="177">
        <f t="shared" si="88"/>
        <v>1.5430609310837458</v>
      </c>
      <c r="AJ54" s="177">
        <f t="shared" si="89"/>
        <v>1.5430609310837458</v>
      </c>
      <c r="AK54" s="177">
        <f t="shared" si="90"/>
        <v>1.6820406207224972</v>
      </c>
      <c r="AM54" s="555">
        <f t="shared" si="91"/>
        <v>205.79999999999998</v>
      </c>
      <c r="AN54" s="469">
        <f t="shared" si="92"/>
        <v>350</v>
      </c>
      <c r="AP54">
        <f t="shared" si="93"/>
        <v>205.79999999999998</v>
      </c>
      <c r="AQ54" s="469">
        <f t="shared" si="94"/>
        <v>350</v>
      </c>
      <c r="AR54" s="469"/>
      <c r="AS54" s="5">
        <f t="shared" si="55"/>
        <v>2.8571428571428572</v>
      </c>
      <c r="AT54" s="5">
        <f t="shared" si="95"/>
        <v>1.1572956983128093</v>
      </c>
      <c r="AU54" s="5">
        <f t="shared" si="56"/>
        <v>1.6998471588300479</v>
      </c>
      <c r="AV54" s="5">
        <f t="shared" si="96"/>
        <v>0.84680173047278728</v>
      </c>
      <c r="AW54" s="177">
        <f t="shared" si="57"/>
        <v>0.40505349440948324</v>
      </c>
      <c r="AX54" s="177">
        <f t="shared" si="97"/>
        <v>3.750133333333332</v>
      </c>
      <c r="AY54" s="177">
        <f t="shared" si="98"/>
        <v>0.45901935443076186</v>
      </c>
      <c r="AZ54" s="177">
        <f t="shared" si="58"/>
        <v>8.1698806316869579</v>
      </c>
      <c r="BA54" s="469">
        <f t="shared" si="99"/>
        <v>19.587372721622344</v>
      </c>
      <c r="BB54" s="469">
        <f t="shared" si="100"/>
        <v>8.2016888586510266</v>
      </c>
      <c r="BC54" s="5">
        <f t="shared" si="101"/>
        <v>0.83678124258518027</v>
      </c>
      <c r="BD54" s="469">
        <f t="shared" si="102"/>
        <v>51.092957888444161</v>
      </c>
      <c r="BE54" s="5"/>
      <c r="BF54" s="177">
        <f t="shared" si="59"/>
        <v>0.56699423047336606</v>
      </c>
      <c r="BG54" s="177">
        <f t="shared" si="103"/>
        <v>0.68716559500283059</v>
      </c>
      <c r="BH54" s="177"/>
      <c r="BI54" s="538">
        <f t="shared" si="104"/>
        <v>3.5363070312909299E-2</v>
      </c>
      <c r="BJ54" s="538">
        <f t="shared" si="105"/>
        <v>7.6690128274862157E-2</v>
      </c>
      <c r="BK54" s="538">
        <f t="shared" si="106"/>
        <v>1.7499999999999998E-2</v>
      </c>
      <c r="BL54" s="538">
        <f t="shared" si="107"/>
        <v>6.3516599999999993E-2</v>
      </c>
      <c r="BM54">
        <f t="shared" si="108"/>
        <v>3.48E-3</v>
      </c>
      <c r="BN54">
        <f t="shared" si="109"/>
        <v>2.4500000000000003E-5</v>
      </c>
      <c r="BO54" s="538">
        <f t="shared" si="110"/>
        <v>0.19786526785129066</v>
      </c>
      <c r="BP54" s="469">
        <f t="shared" si="60"/>
        <v>197.86526785129067</v>
      </c>
      <c r="BQ54" s="538">
        <f t="shared" si="111"/>
        <v>0.18522</v>
      </c>
      <c r="BR54" s="538"/>
      <c r="BT54" s="469">
        <f t="shared" si="61"/>
        <v>185.22</v>
      </c>
      <c r="BU54" s="538">
        <f t="shared" si="112"/>
        <v>1.5431157954724058E-2</v>
      </c>
      <c r="BV54" s="538">
        <f t="shared" si="113"/>
        <v>0.1133271731893426</v>
      </c>
      <c r="BW54" s="538">
        <f t="shared" si="114"/>
        <v>0</v>
      </c>
      <c r="BX54" s="538">
        <f t="shared" si="115"/>
        <v>0.13009843170007965</v>
      </c>
      <c r="BY54" s="538">
        <f t="shared" si="116"/>
        <v>4.1668148148148135E-2</v>
      </c>
      <c r="BZ54" s="469">
        <f t="shared" si="62"/>
        <v>171.76657984822779</v>
      </c>
      <c r="CA54" s="177">
        <f t="shared" si="63"/>
        <v>0.55485184769951845</v>
      </c>
      <c r="CB54" s="5">
        <f t="shared" si="64"/>
        <v>3.1898999999999997</v>
      </c>
      <c r="CC54" s="177">
        <f t="shared" si="65"/>
        <v>0.85183214528877904</v>
      </c>
      <c r="CD54" s="5">
        <f t="shared" si="66"/>
        <v>85.183214528877897</v>
      </c>
      <c r="CG54" s="571">
        <f t="shared" si="117"/>
        <v>-50</v>
      </c>
      <c r="CH54">
        <f t="shared" si="118"/>
        <v>-50</v>
      </c>
    </row>
    <row r="55" spans="5:86" x14ac:dyDescent="0.2">
      <c r="E55" s="174">
        <v>50</v>
      </c>
      <c r="F55" s="221">
        <f t="shared" si="119"/>
        <v>0.21</v>
      </c>
      <c r="G55" s="221"/>
      <c r="H55" s="221">
        <f t="shared" si="67"/>
        <v>3.2549999999999999</v>
      </c>
      <c r="I55" s="551">
        <f t="shared" si="68"/>
        <v>12</v>
      </c>
      <c r="J55" s="176">
        <f t="shared" si="69"/>
        <v>16.399999999999999</v>
      </c>
      <c r="K55" s="451">
        <f t="shared" si="70"/>
        <v>28.4</v>
      </c>
      <c r="L55" s="451"/>
      <c r="M55" s="221">
        <f t="shared" si="71"/>
        <v>0.57746478873239437</v>
      </c>
      <c r="N55" s="176">
        <f t="shared" si="72"/>
        <v>12.78507042253521</v>
      </c>
      <c r="O55" s="176">
        <f t="shared" si="53"/>
        <v>3.2549999999999999</v>
      </c>
      <c r="P55" s="221">
        <f t="shared" si="73"/>
        <v>0.82484325306678774</v>
      </c>
      <c r="Q55" s="221">
        <f t="shared" si="74"/>
        <v>15.5</v>
      </c>
      <c r="R55" s="221">
        <f t="shared" si="75"/>
        <v>0.91649250340754196</v>
      </c>
      <c r="S55" s="176">
        <f t="shared" si="76"/>
        <v>93.542926208051767</v>
      </c>
      <c r="T55" s="176">
        <f t="shared" si="77"/>
        <v>15.5</v>
      </c>
      <c r="U55" s="221">
        <f t="shared" si="78"/>
        <v>1.0438346883468834</v>
      </c>
      <c r="V55" s="221">
        <f t="shared" si="79"/>
        <v>0.78287601626016268</v>
      </c>
      <c r="W55" s="221">
        <f t="shared" si="80"/>
        <v>0.5728361094586556</v>
      </c>
      <c r="X55" s="201">
        <f t="shared" si="81"/>
        <v>350</v>
      </c>
      <c r="Y55" s="451">
        <f t="shared" si="54"/>
        <v>350</v>
      </c>
      <c r="AA55" s="221">
        <f t="shared" si="82"/>
        <v>2.1998658618376927</v>
      </c>
      <c r="AB55" s="177">
        <f t="shared" si="83"/>
        <v>1.2072434607645877</v>
      </c>
      <c r="AC55" s="177">
        <f t="shared" si="84"/>
        <v>0.46476039334599145</v>
      </c>
      <c r="AD55" s="177"/>
      <c r="AE55" s="177">
        <f t="shared" si="85"/>
        <v>0.45</v>
      </c>
      <c r="AF55" s="555">
        <f t="shared" si="86"/>
        <v>1138.2113821138212</v>
      </c>
      <c r="AG55" s="538">
        <f t="shared" si="87"/>
        <v>6.4574999999999994E-2</v>
      </c>
      <c r="AI55" s="177">
        <f t="shared" si="88"/>
        <v>1.5587269259333494</v>
      </c>
      <c r="AJ55" s="177">
        <f t="shared" si="89"/>
        <v>1.5587269259333494</v>
      </c>
      <c r="AK55" s="177">
        <f t="shared" si="90"/>
        <v>1.6924846172888997</v>
      </c>
      <c r="AM55" s="555">
        <f t="shared" si="91"/>
        <v>210</v>
      </c>
      <c r="AN55" s="469">
        <f t="shared" si="92"/>
        <v>350</v>
      </c>
      <c r="AP55">
        <f t="shared" si="93"/>
        <v>210</v>
      </c>
      <c r="AQ55" s="469">
        <f t="shared" si="94"/>
        <v>350</v>
      </c>
      <c r="AR55" s="469"/>
      <c r="AS55" s="5">
        <f t="shared" si="55"/>
        <v>2.8571428571428572</v>
      </c>
      <c r="AT55" s="5">
        <f t="shared" si="95"/>
        <v>1.169045194450012</v>
      </c>
      <c r="AU55" s="5">
        <f t="shared" si="56"/>
        <v>1.6880976626928452</v>
      </c>
      <c r="AV55" s="5">
        <f t="shared" si="96"/>
        <v>0.85539892276830154</v>
      </c>
      <c r="AW55" s="177">
        <f t="shared" si="57"/>
        <v>0.40916581805750418</v>
      </c>
      <c r="AX55" s="177">
        <f t="shared" si="97"/>
        <v>3.8266666666666658</v>
      </c>
      <c r="AY55" s="177">
        <f t="shared" si="98"/>
        <v>0.46047457407778586</v>
      </c>
      <c r="AZ55" s="177">
        <f t="shared" si="58"/>
        <v>8.3102670203463713</v>
      </c>
      <c r="BA55" s="469">
        <f t="shared" si="99"/>
        <v>19.587372721622344</v>
      </c>
      <c r="BB55" s="469">
        <f t="shared" si="100"/>
        <v>8.5312961876832869</v>
      </c>
      <c r="BC55" s="5">
        <f t="shared" si="101"/>
        <v>0.84795646482487819</v>
      </c>
      <c r="BD55" s="469">
        <f t="shared" si="102"/>
        <v>51.781554556159364</v>
      </c>
      <c r="BE55" s="5"/>
      <c r="BF55" s="177">
        <f t="shared" si="59"/>
        <v>0.57565076072915311</v>
      </c>
      <c r="BG55" s="177">
        <f t="shared" si="103"/>
        <v>0.69173892826833427</v>
      </c>
      <c r="BH55" s="177"/>
      <c r="BI55" s="538">
        <f t="shared" si="104"/>
        <v>3.6451117816085794E-2</v>
      </c>
      <c r="BJ55" s="538">
        <f t="shared" si="105"/>
        <v>7.7468728218887464E-2</v>
      </c>
      <c r="BK55" s="538">
        <f t="shared" si="106"/>
        <v>1.7499999999999998E-2</v>
      </c>
      <c r="BL55" s="538">
        <f t="shared" si="107"/>
        <v>6.3516599999999993E-2</v>
      </c>
      <c r="BM55">
        <f t="shared" si="108"/>
        <v>3.48E-3</v>
      </c>
      <c r="BN55">
        <f t="shared" si="109"/>
        <v>2.4500000000000003E-5</v>
      </c>
      <c r="BO55" s="538">
        <f t="shared" si="110"/>
        <v>0.19978454328616468</v>
      </c>
      <c r="BP55" s="469">
        <f t="shared" si="60"/>
        <v>199.78454328616468</v>
      </c>
      <c r="BQ55" s="538">
        <f t="shared" si="111"/>
        <v>0.189</v>
      </c>
      <c r="BR55" s="538"/>
      <c r="BT55" s="469">
        <f t="shared" si="61"/>
        <v>189</v>
      </c>
      <c r="BU55" s="538">
        <f t="shared" si="112"/>
        <v>1.5905942319746531E-2</v>
      </c>
      <c r="BV55" s="538">
        <f t="shared" si="113"/>
        <v>0.11484065877163768</v>
      </c>
      <c r="BW55" s="538">
        <f t="shared" si="114"/>
        <v>0</v>
      </c>
      <c r="BX55" s="538">
        <f t="shared" si="115"/>
        <v>0.13212863064043187</v>
      </c>
      <c r="BY55" s="538">
        <f t="shared" si="116"/>
        <v>4.2518518518518518E-2</v>
      </c>
      <c r="BZ55" s="469">
        <f t="shared" si="62"/>
        <v>174.64714915895038</v>
      </c>
      <c r="CA55" s="177">
        <f t="shared" si="63"/>
        <v>0.56343169244511504</v>
      </c>
      <c r="CB55" s="5">
        <f t="shared" si="64"/>
        <v>3.2549999999999999</v>
      </c>
      <c r="CC55" s="177">
        <f t="shared" si="65"/>
        <v>0.8524442132721971</v>
      </c>
      <c r="CD55" s="5">
        <f t="shared" si="66"/>
        <v>85.244421327219712</v>
      </c>
      <c r="CG55" s="571">
        <f t="shared" si="117"/>
        <v>-50</v>
      </c>
      <c r="CH55">
        <f t="shared" si="118"/>
        <v>-50</v>
      </c>
    </row>
    <row r="56" spans="5:86" x14ac:dyDescent="0.2">
      <c r="E56" s="174">
        <v>51</v>
      </c>
      <c r="F56" s="221">
        <f t="shared" si="119"/>
        <v>0.2142</v>
      </c>
      <c r="G56" s="221"/>
      <c r="H56" s="221">
        <f t="shared" si="67"/>
        <v>3.3201000000000001</v>
      </c>
      <c r="I56" s="551">
        <f t="shared" si="68"/>
        <v>12</v>
      </c>
      <c r="J56" s="176">
        <f t="shared" si="69"/>
        <v>16.399999999999999</v>
      </c>
      <c r="K56" s="451">
        <f t="shared" si="70"/>
        <v>28.4</v>
      </c>
      <c r="L56" s="451"/>
      <c r="M56" s="221">
        <f t="shared" si="71"/>
        <v>0.57746478873239437</v>
      </c>
      <c r="N56" s="176">
        <f t="shared" si="72"/>
        <v>12.78507042253521</v>
      </c>
      <c r="O56" s="176">
        <f t="shared" si="53"/>
        <v>3.3201000000000001</v>
      </c>
      <c r="P56" s="221">
        <f t="shared" si="73"/>
        <v>0.82484325306678774</v>
      </c>
      <c r="Q56" s="221">
        <f t="shared" si="74"/>
        <v>15.5</v>
      </c>
      <c r="R56" s="221">
        <f t="shared" si="75"/>
        <v>0.91649250340754196</v>
      </c>
      <c r="S56" s="176">
        <f t="shared" si="76"/>
        <v>91.478255167707346</v>
      </c>
      <c r="T56" s="176">
        <f t="shared" si="77"/>
        <v>15.5</v>
      </c>
      <c r="U56" s="221">
        <f t="shared" si="78"/>
        <v>1.064711382113821</v>
      </c>
      <c r="V56" s="221">
        <f t="shared" si="79"/>
        <v>0.79853353658536563</v>
      </c>
      <c r="W56" s="221">
        <f t="shared" si="80"/>
        <v>0.58429283164782864</v>
      </c>
      <c r="X56" s="201">
        <f t="shared" si="81"/>
        <v>350</v>
      </c>
      <c r="Y56" s="451">
        <f t="shared" si="54"/>
        <v>350</v>
      </c>
      <c r="AA56" s="221">
        <f t="shared" si="82"/>
        <v>2.1998658618376927</v>
      </c>
      <c r="AB56" s="177">
        <f t="shared" si="83"/>
        <v>1.2072434607645877</v>
      </c>
      <c r="AC56" s="177">
        <f t="shared" si="84"/>
        <v>0.46476039334599145</v>
      </c>
      <c r="AD56" s="177"/>
      <c r="AE56" s="177">
        <f t="shared" si="85"/>
        <v>0.45</v>
      </c>
      <c r="AF56" s="555">
        <f t="shared" si="86"/>
        <v>1160.9756097560976</v>
      </c>
      <c r="AG56" s="538">
        <f t="shared" si="87"/>
        <v>6.4574999999999994E-2</v>
      </c>
      <c r="AI56" s="177">
        <f t="shared" si="88"/>
        <v>1.5742370286021803</v>
      </c>
      <c r="AJ56" s="177">
        <f t="shared" si="89"/>
        <v>1.5742370286021803</v>
      </c>
      <c r="AK56" s="177">
        <f t="shared" si="90"/>
        <v>1.7028246857347868</v>
      </c>
      <c r="AM56" s="555">
        <f t="shared" si="91"/>
        <v>214.2</v>
      </c>
      <c r="AN56" s="469">
        <f t="shared" si="92"/>
        <v>350</v>
      </c>
      <c r="AP56">
        <f t="shared" si="93"/>
        <v>214.2</v>
      </c>
      <c r="AQ56" s="469">
        <f t="shared" si="94"/>
        <v>350</v>
      </c>
      <c r="AR56" s="469"/>
      <c r="AS56" s="5">
        <f t="shared" si="55"/>
        <v>2.8571428571428572</v>
      </c>
      <c r="AT56" s="5">
        <f t="shared" si="95"/>
        <v>1.1806777714516352</v>
      </c>
      <c r="AU56" s="5">
        <f t="shared" si="56"/>
        <v>1.676465085691222</v>
      </c>
      <c r="AV56" s="5">
        <f t="shared" si="96"/>
        <v>0.86391056447680625</v>
      </c>
      <c r="AW56" s="177">
        <f t="shared" si="57"/>
        <v>0.41323722000807234</v>
      </c>
      <c r="AX56" s="177">
        <f t="shared" si="97"/>
        <v>3.9031999999999991</v>
      </c>
      <c r="AY56" s="177">
        <f t="shared" si="98"/>
        <v>0.46185184763442355</v>
      </c>
      <c r="AZ56" s="177">
        <f t="shared" si="58"/>
        <v>8.4511949448550379</v>
      </c>
      <c r="BA56" s="469">
        <f t="shared" si="99"/>
        <v>19.587372721622344</v>
      </c>
      <c r="BB56" s="469">
        <f t="shared" si="100"/>
        <v>8.8673925536656917</v>
      </c>
      <c r="BC56" s="5">
        <f t="shared" si="101"/>
        <v>0.85895551404373849</v>
      </c>
      <c r="BD56" s="469">
        <f t="shared" si="102"/>
        <v>52.45958084262432</v>
      </c>
      <c r="BE56" s="5"/>
      <c r="BF56" s="177">
        <f t="shared" si="59"/>
        <v>0.58426411312959547</v>
      </c>
      <c r="BG56" s="177">
        <f t="shared" si="103"/>
        <v>0.6962108302683615</v>
      </c>
      <c r="BH56" s="177"/>
      <c r="BI56" s="538">
        <f t="shared" si="104"/>
        <v>3.7550100928022405E-2</v>
      </c>
      <c r="BJ56" s="538">
        <f t="shared" si="105"/>
        <v>7.8239580321528349E-2</v>
      </c>
      <c r="BK56" s="538">
        <f t="shared" si="106"/>
        <v>1.7499999999999998E-2</v>
      </c>
      <c r="BL56" s="538">
        <f t="shared" si="107"/>
        <v>6.3516599999999993E-2</v>
      </c>
      <c r="BM56">
        <f t="shared" si="108"/>
        <v>3.48E-3</v>
      </c>
      <c r="BN56">
        <f t="shared" si="109"/>
        <v>2.4500000000000003E-5</v>
      </c>
      <c r="BO56" s="538">
        <f t="shared" si="110"/>
        <v>0.20170821447276577</v>
      </c>
      <c r="BP56" s="469">
        <f t="shared" si="60"/>
        <v>201.70821447276577</v>
      </c>
      <c r="BQ56" s="538">
        <f t="shared" si="111"/>
        <v>0.19278000000000001</v>
      </c>
      <c r="BR56" s="538"/>
      <c r="BT56" s="469">
        <f t="shared" si="61"/>
        <v>192.78</v>
      </c>
      <c r="BU56" s="538">
        <f t="shared" si="112"/>
        <v>1.6385498586773413E-2</v>
      </c>
      <c r="BV56" s="538">
        <f t="shared" si="113"/>
        <v>0.1163302848439107</v>
      </c>
      <c r="BW56" s="538">
        <f t="shared" si="114"/>
        <v>0</v>
      </c>
      <c r="BX56" s="538">
        <f t="shared" si="115"/>
        <v>0.13413998286389694</v>
      </c>
      <c r="BY56" s="538">
        <f t="shared" si="116"/>
        <v>4.336888888888888E-2</v>
      </c>
      <c r="BZ56" s="469">
        <f t="shared" si="62"/>
        <v>177.50887175278581</v>
      </c>
      <c r="CA56" s="177">
        <f t="shared" si="63"/>
        <v>0.57199708622555157</v>
      </c>
      <c r="CB56" s="5">
        <f t="shared" si="64"/>
        <v>3.3201000000000001</v>
      </c>
      <c r="CC56" s="177">
        <f t="shared" si="65"/>
        <v>0.85303627490437073</v>
      </c>
      <c r="CD56" s="5">
        <f t="shared" si="66"/>
        <v>85.303627490437066</v>
      </c>
      <c r="CG56" s="571">
        <f t="shared" si="117"/>
        <v>-50</v>
      </c>
      <c r="CH56">
        <f t="shared" si="118"/>
        <v>-50</v>
      </c>
    </row>
    <row r="57" spans="5:86" x14ac:dyDescent="0.2">
      <c r="E57" s="174">
        <v>52</v>
      </c>
      <c r="F57" s="221">
        <f t="shared" si="119"/>
        <v>0.21840000000000001</v>
      </c>
      <c r="G57" s="221"/>
      <c r="H57" s="221">
        <f t="shared" si="67"/>
        <v>3.3852000000000002</v>
      </c>
      <c r="I57" s="551">
        <f t="shared" si="68"/>
        <v>12</v>
      </c>
      <c r="J57" s="176">
        <f t="shared" si="69"/>
        <v>16.399999999999999</v>
      </c>
      <c r="K57" s="451">
        <f t="shared" si="70"/>
        <v>28.4</v>
      </c>
      <c r="L57" s="451"/>
      <c r="M57" s="221">
        <f t="shared" si="71"/>
        <v>0.57746478873239437</v>
      </c>
      <c r="N57" s="176">
        <f t="shared" si="72"/>
        <v>12.78507042253521</v>
      </c>
      <c r="O57" s="176">
        <f t="shared" si="53"/>
        <v>3.3852000000000002</v>
      </c>
      <c r="P57" s="221">
        <f t="shared" si="73"/>
        <v>0.82484325306678774</v>
      </c>
      <c r="Q57" s="221">
        <f t="shared" si="74"/>
        <v>15.5</v>
      </c>
      <c r="R57" s="221">
        <f t="shared" si="75"/>
        <v>0.91649250340754196</v>
      </c>
      <c r="S57" s="176">
        <f t="shared" si="76"/>
        <v>89.493104513669309</v>
      </c>
      <c r="T57" s="176">
        <f t="shared" si="77"/>
        <v>15.5</v>
      </c>
      <c r="U57" s="221">
        <f t="shared" si="78"/>
        <v>1.0855880758807588</v>
      </c>
      <c r="V57" s="221">
        <f t="shared" si="79"/>
        <v>0.81419105691056914</v>
      </c>
      <c r="W57" s="221">
        <f t="shared" si="80"/>
        <v>0.59574955383700179</v>
      </c>
      <c r="X57" s="201">
        <f t="shared" si="81"/>
        <v>350</v>
      </c>
      <c r="Y57" s="451">
        <f t="shared" si="54"/>
        <v>350</v>
      </c>
      <c r="AA57" s="221">
        <f t="shared" si="82"/>
        <v>2.1998658618376927</v>
      </c>
      <c r="AB57" s="177">
        <f t="shared" si="83"/>
        <v>1.2072434607645877</v>
      </c>
      <c r="AC57" s="177">
        <f t="shared" si="84"/>
        <v>0.46476039334599145</v>
      </c>
      <c r="AD57" s="177"/>
      <c r="AE57" s="177">
        <f t="shared" si="85"/>
        <v>0.45</v>
      </c>
      <c r="AF57" s="555">
        <f t="shared" si="86"/>
        <v>1183.739837398374</v>
      </c>
      <c r="AG57" s="538">
        <f t="shared" si="87"/>
        <v>6.4574999999999994E-2</v>
      </c>
      <c r="AI57" s="177">
        <f t="shared" si="88"/>
        <v>1.5895958023393288</v>
      </c>
      <c r="AJ57" s="177">
        <f t="shared" si="89"/>
        <v>1.5895958023393288</v>
      </c>
      <c r="AK57" s="177">
        <f t="shared" si="90"/>
        <v>1.7130638682262194</v>
      </c>
      <c r="AM57" s="555">
        <f t="shared" si="91"/>
        <v>218.4</v>
      </c>
      <c r="AN57" s="469">
        <f t="shared" si="92"/>
        <v>350</v>
      </c>
      <c r="AP57">
        <f t="shared" si="93"/>
        <v>218.4</v>
      </c>
      <c r="AQ57" s="469">
        <f t="shared" si="94"/>
        <v>350</v>
      </c>
      <c r="AR57" s="469"/>
      <c r="AS57" s="5">
        <f t="shared" si="55"/>
        <v>2.8571428571428572</v>
      </c>
      <c r="AT57" s="5">
        <f t="shared" si="95"/>
        <v>1.1921968517544965</v>
      </c>
      <c r="AU57" s="5">
        <f t="shared" si="56"/>
        <v>1.6649460053883607</v>
      </c>
      <c r="AV57" s="5">
        <f t="shared" si="96"/>
        <v>0.87233915982036347</v>
      </c>
      <c r="AW57" s="177">
        <f t="shared" si="57"/>
        <v>0.41726889811407375</v>
      </c>
      <c r="AX57" s="177">
        <f t="shared" si="97"/>
        <v>3.9797333333333333</v>
      </c>
      <c r="AY57" s="177">
        <f t="shared" si="98"/>
        <v>0.46315345672522007</v>
      </c>
      <c r="AZ57" s="177">
        <f t="shared" si="58"/>
        <v>8.5926883963524681</v>
      </c>
      <c r="BA57" s="469">
        <f t="shared" si="99"/>
        <v>19.587372721622344</v>
      </c>
      <c r="BB57" s="469">
        <f t="shared" si="100"/>
        <v>9.2099779565982445</v>
      </c>
      <c r="BC57" s="5">
        <f t="shared" si="101"/>
        <v>0.86978012614825284</v>
      </c>
      <c r="BD57" s="469">
        <f t="shared" si="102"/>
        <v>53.127140902228511</v>
      </c>
      <c r="BE57" s="5"/>
      <c r="BF57" s="177">
        <f t="shared" si="59"/>
        <v>0.59283534350219447</v>
      </c>
      <c r="BG57" s="177">
        <f t="shared" si="103"/>
        <v>0.70058394246007849</v>
      </c>
      <c r="BH57" s="177"/>
      <c r="BI57" s="538">
        <f t="shared" si="104"/>
        <v>3.8659911895590142E-2</v>
      </c>
      <c r="BJ57" s="538">
        <f t="shared" si="105"/>
        <v>7.900291137626464E-2</v>
      </c>
      <c r="BK57" s="538">
        <f t="shared" si="106"/>
        <v>1.7499999999999998E-2</v>
      </c>
      <c r="BL57" s="538">
        <f t="shared" si="107"/>
        <v>6.3516599999999993E-2</v>
      </c>
      <c r="BM57">
        <f t="shared" si="108"/>
        <v>3.48E-3</v>
      </c>
      <c r="BN57">
        <f t="shared" si="109"/>
        <v>2.4500000000000003E-5</v>
      </c>
      <c r="BO57" s="538">
        <f t="shared" si="110"/>
        <v>0.20363641164961327</v>
      </c>
      <c r="BP57" s="469">
        <f t="shared" si="60"/>
        <v>203.63641164961328</v>
      </c>
      <c r="BQ57" s="538">
        <f t="shared" si="111"/>
        <v>0.19656000000000001</v>
      </c>
      <c r="BR57" s="538"/>
      <c r="BT57" s="469">
        <f t="shared" si="61"/>
        <v>196.56</v>
      </c>
      <c r="BU57" s="538">
        <f t="shared" si="112"/>
        <v>1.6869779736257518E-2</v>
      </c>
      <c r="BV57" s="538">
        <f t="shared" si="113"/>
        <v>0.11779628650389758</v>
      </c>
      <c r="BW57" s="538">
        <f t="shared" si="114"/>
        <v>0</v>
      </c>
      <c r="BX57" s="538">
        <f t="shared" si="115"/>
        <v>0.13613266224910603</v>
      </c>
      <c r="BY57" s="538">
        <f t="shared" si="116"/>
        <v>4.4219259259259257E-2</v>
      </c>
      <c r="BZ57" s="469">
        <f t="shared" si="62"/>
        <v>180.35192150836528</v>
      </c>
      <c r="CA57" s="177">
        <f t="shared" si="63"/>
        <v>0.5805483331579786</v>
      </c>
      <c r="CB57" s="5">
        <f t="shared" si="64"/>
        <v>3.3852000000000002</v>
      </c>
      <c r="CC57" s="177">
        <f t="shared" si="65"/>
        <v>0.85360938607627668</v>
      </c>
      <c r="CD57" s="5">
        <f t="shared" si="66"/>
        <v>85.360938607627673</v>
      </c>
      <c r="CG57" s="571">
        <f t="shared" si="117"/>
        <v>-50</v>
      </c>
      <c r="CH57">
        <f t="shared" si="118"/>
        <v>-50</v>
      </c>
    </row>
    <row r="58" spans="5:86" x14ac:dyDescent="0.2">
      <c r="E58" s="174">
        <v>53</v>
      </c>
      <c r="F58" s="221">
        <f t="shared" si="119"/>
        <v>0.22259999999999999</v>
      </c>
      <c r="G58" s="221"/>
      <c r="H58" s="221">
        <f t="shared" si="67"/>
        <v>3.4502999999999999</v>
      </c>
      <c r="I58" s="551">
        <f t="shared" si="68"/>
        <v>12</v>
      </c>
      <c r="J58" s="176">
        <f t="shared" si="69"/>
        <v>16.399999999999999</v>
      </c>
      <c r="K58" s="451">
        <f t="shared" si="70"/>
        <v>28.4</v>
      </c>
      <c r="L58" s="451"/>
      <c r="M58" s="221">
        <f t="shared" si="71"/>
        <v>0.57746478873239437</v>
      </c>
      <c r="N58" s="176">
        <f t="shared" si="72"/>
        <v>12.78507042253521</v>
      </c>
      <c r="O58" s="176">
        <f t="shared" si="53"/>
        <v>3.4502999999999999</v>
      </c>
      <c r="P58" s="221">
        <f t="shared" si="73"/>
        <v>0.82484325306678774</v>
      </c>
      <c r="Q58" s="221">
        <f t="shared" si="74"/>
        <v>15.5</v>
      </c>
      <c r="R58" s="221">
        <f t="shared" si="75"/>
        <v>0.91649250340754196</v>
      </c>
      <c r="S58" s="176">
        <f t="shared" si="76"/>
        <v>87.582973822507554</v>
      </c>
      <c r="T58" s="176">
        <f t="shared" si="77"/>
        <v>15.5</v>
      </c>
      <c r="U58" s="221">
        <f t="shared" si="78"/>
        <v>1.1064647696476964</v>
      </c>
      <c r="V58" s="221">
        <f t="shared" si="79"/>
        <v>0.82984857723577232</v>
      </c>
      <c r="W58" s="221">
        <f t="shared" si="80"/>
        <v>0.60720627602617494</v>
      </c>
      <c r="X58" s="201">
        <f t="shared" si="81"/>
        <v>350</v>
      </c>
      <c r="Y58" s="451">
        <f t="shared" si="54"/>
        <v>350</v>
      </c>
      <c r="AA58" s="221">
        <f t="shared" si="82"/>
        <v>2.1998658618376927</v>
      </c>
      <c r="AB58" s="177">
        <f t="shared" si="83"/>
        <v>1.2072434607645877</v>
      </c>
      <c r="AC58" s="177">
        <f t="shared" si="84"/>
        <v>0.46476039334599145</v>
      </c>
      <c r="AD58" s="177"/>
      <c r="AE58" s="177">
        <f t="shared" si="85"/>
        <v>0.45</v>
      </c>
      <c r="AF58" s="555">
        <f t="shared" si="86"/>
        <v>1206.5040650406504</v>
      </c>
      <c r="AG58" s="538">
        <f t="shared" si="87"/>
        <v>6.4574999999999994E-2</v>
      </c>
      <c r="AI58" s="177">
        <f t="shared" si="88"/>
        <v>1.6048075920207403</v>
      </c>
      <c r="AJ58" s="177">
        <f t="shared" si="89"/>
        <v>1.6048075920207403</v>
      </c>
      <c r="AK58" s="177">
        <f t="shared" si="90"/>
        <v>1.7232050613471603</v>
      </c>
      <c r="AM58" s="555">
        <f t="shared" si="91"/>
        <v>222.6</v>
      </c>
      <c r="AN58" s="469">
        <f t="shared" si="92"/>
        <v>350</v>
      </c>
      <c r="AP58">
        <f t="shared" si="93"/>
        <v>222.6</v>
      </c>
      <c r="AQ58" s="469">
        <f t="shared" si="94"/>
        <v>350</v>
      </c>
      <c r="AR58" s="469"/>
      <c r="AS58" s="5">
        <f t="shared" si="55"/>
        <v>2.8571428571428572</v>
      </c>
      <c r="AT58" s="5">
        <f t="shared" si="95"/>
        <v>1.2036056940155553</v>
      </c>
      <c r="AU58" s="5">
        <f t="shared" si="56"/>
        <v>1.6535371631273019</v>
      </c>
      <c r="AV58" s="5">
        <f t="shared" si="96"/>
        <v>0.88068709318211369</v>
      </c>
      <c r="AW58" s="177">
        <f t="shared" si="57"/>
        <v>0.42126199290544436</v>
      </c>
      <c r="AX58" s="177">
        <f t="shared" si="97"/>
        <v>4.0562666666666658</v>
      </c>
      <c r="AY58" s="177">
        <f t="shared" si="98"/>
        <v>0.46438157378814793</v>
      </c>
      <c r="AZ58" s="177">
        <f t="shared" si="58"/>
        <v>8.7347709203404893</v>
      </c>
      <c r="BA58" s="469">
        <f t="shared" si="99"/>
        <v>19.587372721622344</v>
      </c>
      <c r="BB58" s="469">
        <f t="shared" si="100"/>
        <v>9.5590523964809417</v>
      </c>
      <c r="BC58" s="5">
        <f t="shared" si="101"/>
        <v>0.88043198671884704</v>
      </c>
      <c r="BD58" s="469">
        <f t="shared" si="102"/>
        <v>53.784335869797502</v>
      </c>
      <c r="BE58" s="5"/>
      <c r="BF58" s="177">
        <f t="shared" si="59"/>
        <v>0.60136546209103392</v>
      </c>
      <c r="BG58" s="177">
        <f t="shared" si="103"/>
        <v>0.70486077831477201</v>
      </c>
      <c r="BH58" s="177"/>
      <c r="BI58" s="538">
        <f t="shared" si="104"/>
        <v>3.9780446089555908E-2</v>
      </c>
      <c r="BJ58" s="538">
        <f t="shared" si="105"/>
        <v>7.9758937323430784E-2</v>
      </c>
      <c r="BK58" s="538">
        <f t="shared" si="106"/>
        <v>1.7499999999999998E-2</v>
      </c>
      <c r="BL58" s="538">
        <f t="shared" si="107"/>
        <v>6.3516599999999993E-2</v>
      </c>
      <c r="BM58">
        <f t="shared" si="108"/>
        <v>3.48E-3</v>
      </c>
      <c r="BN58">
        <f t="shared" si="109"/>
        <v>2.4500000000000003E-5</v>
      </c>
      <c r="BO58" s="538">
        <f t="shared" si="110"/>
        <v>0.20556925739548179</v>
      </c>
      <c r="BP58" s="469">
        <f t="shared" si="60"/>
        <v>205.5692573954818</v>
      </c>
      <c r="BQ58" s="538">
        <f t="shared" si="111"/>
        <v>0.20033999999999999</v>
      </c>
      <c r="BR58" s="538"/>
      <c r="BT58" s="469">
        <f t="shared" si="61"/>
        <v>200.34</v>
      </c>
      <c r="BU58" s="538">
        <f t="shared" si="112"/>
        <v>1.7358740111806215E-2</v>
      </c>
      <c r="BV58" s="538">
        <f t="shared" si="113"/>
        <v>0.11923889203356147</v>
      </c>
      <c r="BW58" s="538">
        <f t="shared" si="114"/>
        <v>0</v>
      </c>
      <c r="BX58" s="538">
        <f t="shared" si="115"/>
        <v>0.13810683750426106</v>
      </c>
      <c r="BY58" s="538">
        <f t="shared" si="116"/>
        <v>4.5069629629629619E-2</v>
      </c>
      <c r="BZ58" s="469">
        <f t="shared" si="62"/>
        <v>183.1764671338907</v>
      </c>
      <c r="CA58" s="177">
        <f t="shared" si="63"/>
        <v>0.58908572452937236</v>
      </c>
      <c r="CB58" s="5">
        <f t="shared" si="64"/>
        <v>3.4502999999999999</v>
      </c>
      <c r="CC58" s="177">
        <f t="shared" si="65"/>
        <v>0.85416452780131391</v>
      </c>
      <c r="CD58" s="5">
        <f t="shared" si="66"/>
        <v>85.416452780131394</v>
      </c>
      <c r="CG58" s="571">
        <f t="shared" si="117"/>
        <v>-50</v>
      </c>
      <c r="CH58">
        <f t="shared" si="118"/>
        <v>-50</v>
      </c>
    </row>
    <row r="59" spans="5:86" x14ac:dyDescent="0.2">
      <c r="E59" s="174">
        <v>54</v>
      </c>
      <c r="F59" s="221">
        <f t="shared" si="119"/>
        <v>0.2268</v>
      </c>
      <c r="G59" s="221"/>
      <c r="H59" s="221">
        <f t="shared" si="67"/>
        <v>3.5154000000000001</v>
      </c>
      <c r="I59" s="551">
        <f t="shared" si="68"/>
        <v>12</v>
      </c>
      <c r="J59" s="176">
        <f t="shared" si="69"/>
        <v>16.399999999999999</v>
      </c>
      <c r="K59" s="451">
        <f t="shared" si="70"/>
        <v>28.4</v>
      </c>
      <c r="L59" s="451"/>
      <c r="M59" s="221">
        <f t="shared" si="71"/>
        <v>0.57746478873239437</v>
      </c>
      <c r="N59" s="176">
        <f t="shared" si="72"/>
        <v>12.78507042253521</v>
      </c>
      <c r="O59" s="176">
        <f t="shared" si="53"/>
        <v>3.5154000000000001</v>
      </c>
      <c r="P59" s="221">
        <f t="shared" si="73"/>
        <v>0.82484325306678774</v>
      </c>
      <c r="Q59" s="221">
        <f t="shared" si="74"/>
        <v>15.5</v>
      </c>
      <c r="R59" s="221">
        <f t="shared" si="75"/>
        <v>0.91649250340754196</v>
      </c>
      <c r="S59" s="176">
        <f t="shared" si="76"/>
        <v>85.743696041188628</v>
      </c>
      <c r="T59" s="176">
        <f t="shared" si="77"/>
        <v>15.5</v>
      </c>
      <c r="U59" s="221">
        <f t="shared" si="78"/>
        <v>1.1273414634146341</v>
      </c>
      <c r="V59" s="221">
        <f t="shared" si="79"/>
        <v>0.84550609756097561</v>
      </c>
      <c r="W59" s="221">
        <f t="shared" si="80"/>
        <v>0.61866299821534798</v>
      </c>
      <c r="X59" s="201">
        <f t="shared" si="81"/>
        <v>350</v>
      </c>
      <c r="Y59" s="451">
        <f t="shared" si="54"/>
        <v>350</v>
      </c>
      <c r="AA59" s="221">
        <f t="shared" si="82"/>
        <v>2.1998658618376927</v>
      </c>
      <c r="AB59" s="177">
        <f t="shared" si="83"/>
        <v>1.2072434607645877</v>
      </c>
      <c r="AC59" s="177">
        <f t="shared" si="84"/>
        <v>0.46476039334599145</v>
      </c>
      <c r="AD59" s="177"/>
      <c r="AE59" s="177">
        <f t="shared" si="85"/>
        <v>0.45</v>
      </c>
      <c r="AF59" s="555">
        <f t="shared" si="86"/>
        <v>1229.2682926829268</v>
      </c>
      <c r="AG59" s="538">
        <f t="shared" si="87"/>
        <v>6.4574999999999994E-2</v>
      </c>
      <c r="AI59" s="177">
        <f t="shared" si="88"/>
        <v>1.6198765385053269</v>
      </c>
      <c r="AJ59" s="177">
        <f t="shared" si="89"/>
        <v>1.6198765385053269</v>
      </c>
      <c r="AK59" s="177">
        <f t="shared" si="90"/>
        <v>1.733251025670218</v>
      </c>
      <c r="AM59" s="555">
        <f t="shared" si="91"/>
        <v>226.8</v>
      </c>
      <c r="AN59" s="469">
        <f t="shared" si="92"/>
        <v>350</v>
      </c>
      <c r="AP59">
        <f t="shared" si="93"/>
        <v>226.8</v>
      </c>
      <c r="AQ59" s="469">
        <f t="shared" si="94"/>
        <v>350</v>
      </c>
      <c r="AR59" s="469"/>
      <c r="AS59" s="5">
        <f t="shared" si="55"/>
        <v>2.8571428571428572</v>
      </c>
      <c r="AT59" s="5">
        <f t="shared" si="95"/>
        <v>1.2149074038789951</v>
      </c>
      <c r="AU59" s="5">
        <f t="shared" si="56"/>
        <v>1.6422354532638621</v>
      </c>
      <c r="AV59" s="5">
        <f t="shared" si="96"/>
        <v>0.88895663698463068</v>
      </c>
      <c r="AW59" s="177">
        <f t="shared" si="57"/>
        <v>0.42521759135764825</v>
      </c>
      <c r="AX59" s="177">
        <f t="shared" si="97"/>
        <v>4.1327999999999996</v>
      </c>
      <c r="AY59" s="177">
        <f t="shared" si="98"/>
        <v>0.46553826925266351</v>
      </c>
      <c r="AZ59" s="177">
        <f t="shared" si="58"/>
        <v>8.8774656627788158</v>
      </c>
      <c r="BA59" s="469">
        <f t="shared" si="99"/>
        <v>19.587372721622344</v>
      </c>
      <c r="BB59" s="469">
        <f t="shared" si="100"/>
        <v>9.9146158733137852</v>
      </c>
      <c r="BC59" s="5">
        <f t="shared" si="101"/>
        <v>0.89091273339564503</v>
      </c>
      <c r="BD59" s="469">
        <f t="shared" si="102"/>
        <v>54.431264003738704</v>
      </c>
      <c r="BE59" s="5"/>
      <c r="BF59" s="177">
        <f t="shared" si="59"/>
        <v>0.60985543634604333</v>
      </c>
      <c r="BG59" s="177">
        <f t="shared" si="103"/>
        <v>0.7090437316737549</v>
      </c>
      <c r="BH59" s="177"/>
      <c r="BI59" s="538">
        <f t="shared" si="104"/>
        <v>4.0911601856490523E-2</v>
      </c>
      <c r="BJ59" s="538">
        <f t="shared" si="105"/>
        <v>8.0507863963714746E-2</v>
      </c>
      <c r="BK59" s="538">
        <f t="shared" si="106"/>
        <v>1.7499999999999998E-2</v>
      </c>
      <c r="BL59" s="538">
        <f t="shared" si="107"/>
        <v>6.3516599999999993E-2</v>
      </c>
      <c r="BM59">
        <f t="shared" si="108"/>
        <v>3.48E-3</v>
      </c>
      <c r="BN59">
        <f t="shared" si="109"/>
        <v>2.4500000000000003E-5</v>
      </c>
      <c r="BO59" s="538">
        <f t="shared" si="110"/>
        <v>0.20750686719265735</v>
      </c>
      <c r="BP59" s="469">
        <f t="shared" si="60"/>
        <v>207.50686719265735</v>
      </c>
      <c r="BQ59" s="538">
        <f t="shared" si="111"/>
        <v>0.20412</v>
      </c>
      <c r="BR59" s="538"/>
      <c r="BT59" s="469">
        <f t="shared" si="61"/>
        <v>204.12</v>
      </c>
      <c r="BU59" s="538">
        <f t="shared" si="112"/>
        <v>1.7852335355559502E-2</v>
      </c>
      <c r="BV59" s="538">
        <f t="shared" si="113"/>
        <v>0.12065832322220249</v>
      </c>
      <c r="BW59" s="538">
        <f t="shared" si="114"/>
        <v>0</v>
      </c>
      <c r="BX59" s="538">
        <f t="shared" si="115"/>
        <v>0.14006267241766052</v>
      </c>
      <c r="BY59" s="538">
        <f t="shared" si="116"/>
        <v>4.5919999999999996E-2</v>
      </c>
      <c r="BZ59" s="469">
        <f t="shared" si="62"/>
        <v>185.9826724176605</v>
      </c>
      <c r="CA59" s="177">
        <f t="shared" si="63"/>
        <v>0.59760953961031782</v>
      </c>
      <c r="CB59" s="5">
        <f t="shared" si="64"/>
        <v>3.5154000000000001</v>
      </c>
      <c r="CC59" s="177">
        <f t="shared" si="65"/>
        <v>0.85470261280577098</v>
      </c>
      <c r="CD59" s="5">
        <f t="shared" si="66"/>
        <v>85.470261280577091</v>
      </c>
      <c r="CG59" s="571">
        <f t="shared" si="117"/>
        <v>-50</v>
      </c>
      <c r="CH59">
        <f t="shared" si="118"/>
        <v>-50</v>
      </c>
    </row>
    <row r="60" spans="5:86" x14ac:dyDescent="0.2">
      <c r="E60" s="174">
        <v>55</v>
      </c>
      <c r="F60" s="221">
        <f t="shared" si="119"/>
        <v>0.23100000000000001</v>
      </c>
      <c r="G60" s="221"/>
      <c r="H60" s="221">
        <f t="shared" si="67"/>
        <v>3.5805000000000002</v>
      </c>
      <c r="I60" s="551">
        <f t="shared" si="68"/>
        <v>12</v>
      </c>
      <c r="J60" s="176">
        <f t="shared" si="69"/>
        <v>16.399999999999999</v>
      </c>
      <c r="K60" s="451">
        <f t="shared" si="70"/>
        <v>28.4</v>
      </c>
      <c r="L60" s="451"/>
      <c r="M60" s="221">
        <f t="shared" si="71"/>
        <v>0.57746478873239437</v>
      </c>
      <c r="N60" s="176">
        <f t="shared" si="72"/>
        <v>12.78507042253521</v>
      </c>
      <c r="O60" s="176">
        <f t="shared" si="53"/>
        <v>3.5805000000000002</v>
      </c>
      <c r="P60" s="221">
        <f t="shared" si="73"/>
        <v>0.82484325306678774</v>
      </c>
      <c r="Q60" s="221">
        <f t="shared" si="74"/>
        <v>15.5</v>
      </c>
      <c r="R60" s="221">
        <f t="shared" si="75"/>
        <v>0.91649250340754196</v>
      </c>
      <c r="S60" s="176">
        <f t="shared" si="76"/>
        <v>83.971407180722039</v>
      </c>
      <c r="T60" s="176">
        <f t="shared" si="77"/>
        <v>15.5</v>
      </c>
      <c r="U60" s="221">
        <f t="shared" si="78"/>
        <v>1.1482181571815717</v>
      </c>
      <c r="V60" s="221">
        <f t="shared" si="79"/>
        <v>0.8611636178861789</v>
      </c>
      <c r="W60" s="221">
        <f t="shared" si="80"/>
        <v>0.63011972040452113</v>
      </c>
      <c r="X60" s="201">
        <f t="shared" si="81"/>
        <v>350</v>
      </c>
      <c r="Y60" s="451">
        <f t="shared" si="54"/>
        <v>350</v>
      </c>
      <c r="AA60" s="221">
        <f t="shared" si="82"/>
        <v>2.1998658618376927</v>
      </c>
      <c r="AB60" s="177">
        <f t="shared" si="83"/>
        <v>1.2072434607645877</v>
      </c>
      <c r="AC60" s="177">
        <f t="shared" si="84"/>
        <v>0.46476039334599145</v>
      </c>
      <c r="AD60" s="177"/>
      <c r="AE60" s="177">
        <f t="shared" si="85"/>
        <v>0.45</v>
      </c>
      <c r="AF60" s="555">
        <f t="shared" si="86"/>
        <v>1252.0325203252034</v>
      </c>
      <c r="AG60" s="538">
        <f t="shared" si="87"/>
        <v>6.4574999999999994E-2</v>
      </c>
      <c r="AI60" s="177">
        <f t="shared" si="88"/>
        <v>1.6348065917999572</v>
      </c>
      <c r="AJ60" s="177">
        <f t="shared" si="89"/>
        <v>1.6348065917999572</v>
      </c>
      <c r="AK60" s="177">
        <f t="shared" si="90"/>
        <v>1.7432043945333047</v>
      </c>
      <c r="AM60" s="555">
        <f t="shared" si="91"/>
        <v>231</v>
      </c>
      <c r="AN60" s="469">
        <f t="shared" si="92"/>
        <v>350</v>
      </c>
      <c r="AP60">
        <f t="shared" si="93"/>
        <v>231</v>
      </c>
      <c r="AQ60">
        <f t="shared" si="94"/>
        <v>350</v>
      </c>
      <c r="AS60" s="5">
        <f t="shared" si="55"/>
        <v>2.8571428571428572</v>
      </c>
      <c r="AT60" s="5">
        <f t="shared" si="95"/>
        <v>1.226104943849968</v>
      </c>
      <c r="AU60" s="5">
        <f t="shared" si="56"/>
        <v>1.6310379132928892</v>
      </c>
      <c r="AV60" s="5">
        <f t="shared" si="96"/>
        <v>0.8971499589146108</v>
      </c>
      <c r="AW60" s="177">
        <f t="shared" si="57"/>
        <v>0.42913673034748878</v>
      </c>
      <c r="AX60" s="177">
        <f t="shared" si="97"/>
        <v>4.2093333333333325</v>
      </c>
      <c r="AY60" s="177">
        <f t="shared" si="98"/>
        <v>0.46662551812220093</v>
      </c>
      <c r="AZ60" s="177">
        <f t="shared" si="58"/>
        <v>9.0207954127167618</v>
      </c>
      <c r="BA60" s="469">
        <f t="shared" si="99"/>
        <v>19.587372721622344</v>
      </c>
      <c r="BB60" s="469">
        <f t="shared" si="100"/>
        <v>10.276668387096779</v>
      </c>
      <c r="BC60" s="5">
        <f t="shared" si="101"/>
        <v>0.9012239581088255</v>
      </c>
      <c r="BD60" s="469">
        <f t="shared" si="102"/>
        <v>55.068020819862859</v>
      </c>
      <c r="BE60" s="5"/>
      <c r="BF60" s="177">
        <f t="shared" si="59"/>
        <v>0.61830619349318694</v>
      </c>
      <c r="BG60" s="177">
        <f t="shared" si="103"/>
        <v>0.71313508441166296</v>
      </c>
      <c r="BH60" s="177"/>
      <c r="BI60" s="538">
        <f t="shared" si="104"/>
        <v>4.2053280380323771E-2</v>
      </c>
      <c r="BJ60" s="538">
        <f t="shared" si="105"/>
        <v>8.1249887612457869E-2</v>
      </c>
      <c r="BK60" s="538">
        <f t="shared" si="106"/>
        <v>1.7499999999999998E-2</v>
      </c>
      <c r="BL60" s="538">
        <f t="shared" si="107"/>
        <v>6.3516599999999993E-2</v>
      </c>
      <c r="BM60">
        <f t="shared" si="108"/>
        <v>3.48E-3</v>
      </c>
      <c r="BN60">
        <f t="shared" si="109"/>
        <v>2.4500000000000003E-5</v>
      </c>
      <c r="BO60" s="538">
        <f t="shared" si="110"/>
        <v>0.2094493499407917</v>
      </c>
      <c r="BP60" s="469">
        <f t="shared" si="60"/>
        <v>209.44934994079171</v>
      </c>
      <c r="BQ60" s="538">
        <f t="shared" si="111"/>
        <v>0.2079</v>
      </c>
      <c r="BR60" s="538"/>
      <c r="BT60" s="469">
        <f t="shared" si="61"/>
        <v>207.9</v>
      </c>
      <c r="BU60" s="538">
        <f t="shared" si="112"/>
        <v>1.8350522347777648E-2</v>
      </c>
      <c r="BV60" s="538">
        <f t="shared" si="113"/>
        <v>0.12205479566851912</v>
      </c>
      <c r="BW60" s="538">
        <f t="shared" si="114"/>
        <v>0</v>
      </c>
      <c r="BX60" s="538">
        <f t="shared" si="115"/>
        <v>0.14200032609176333</v>
      </c>
      <c r="BY60" s="538">
        <f t="shared" si="116"/>
        <v>4.6770370370370365E-2</v>
      </c>
      <c r="BZ60" s="469">
        <f t="shared" si="62"/>
        <v>188.77069646213369</v>
      </c>
      <c r="CA60" s="177">
        <f t="shared" si="63"/>
        <v>0.60612004640292538</v>
      </c>
      <c r="CB60" s="5">
        <f t="shared" si="64"/>
        <v>3.5805000000000002</v>
      </c>
      <c r="CC60" s="177">
        <f t="shared" si="65"/>
        <v>0.85522449143105461</v>
      </c>
      <c r="CD60" s="5">
        <f t="shared" si="66"/>
        <v>85.522449143105462</v>
      </c>
      <c r="CG60" s="571">
        <f t="shared" si="117"/>
        <v>-50</v>
      </c>
      <c r="CH60">
        <f t="shared" si="118"/>
        <v>-50</v>
      </c>
    </row>
    <row r="61" spans="5:86" x14ac:dyDescent="0.2">
      <c r="E61" s="174">
        <v>56</v>
      </c>
      <c r="F61" s="221">
        <f t="shared" si="119"/>
        <v>0.23520000000000002</v>
      </c>
      <c r="G61" s="221"/>
      <c r="H61" s="221">
        <f t="shared" si="67"/>
        <v>3.6456000000000004</v>
      </c>
      <c r="I61" s="551">
        <f t="shared" si="68"/>
        <v>12</v>
      </c>
      <c r="J61" s="176">
        <f t="shared" si="69"/>
        <v>16.399999999999999</v>
      </c>
      <c r="K61" s="451">
        <f t="shared" si="70"/>
        <v>28.4</v>
      </c>
      <c r="L61" s="451"/>
      <c r="M61" s="221">
        <f t="shared" si="71"/>
        <v>0.57746478873239437</v>
      </c>
      <c r="N61" s="176">
        <f t="shared" si="72"/>
        <v>12.78507042253521</v>
      </c>
      <c r="O61" s="176">
        <f t="shared" si="53"/>
        <v>3.6456000000000004</v>
      </c>
      <c r="P61" s="221">
        <f t="shared" si="73"/>
        <v>0.82484325306678774</v>
      </c>
      <c r="Q61" s="221">
        <f t="shared" si="74"/>
        <v>15.5</v>
      </c>
      <c r="R61" s="221">
        <f t="shared" si="75"/>
        <v>0.91649250340754196</v>
      </c>
      <c r="S61" s="176">
        <f t="shared" si="76"/>
        <v>82.26251925691578</v>
      </c>
      <c r="T61" s="176">
        <f t="shared" si="77"/>
        <v>15.5</v>
      </c>
      <c r="U61" s="221">
        <f t="shared" si="78"/>
        <v>1.1690948509485095</v>
      </c>
      <c r="V61" s="221">
        <f t="shared" si="79"/>
        <v>0.87682113821138219</v>
      </c>
      <c r="W61" s="221">
        <f t="shared" si="80"/>
        <v>0.64157644259369428</v>
      </c>
      <c r="X61" s="201">
        <f t="shared" si="81"/>
        <v>350</v>
      </c>
      <c r="Y61" s="451">
        <f t="shared" si="54"/>
        <v>350</v>
      </c>
      <c r="AA61" s="221">
        <f t="shared" si="82"/>
        <v>2.1998658618376927</v>
      </c>
      <c r="AB61" s="177">
        <f t="shared" si="83"/>
        <v>1.2072434607645877</v>
      </c>
      <c r="AC61" s="177">
        <f t="shared" si="84"/>
        <v>0.46476039334599145</v>
      </c>
      <c r="AD61" s="177"/>
      <c r="AE61" s="177">
        <f t="shared" si="85"/>
        <v>0.45</v>
      </c>
      <c r="AF61" s="555">
        <f t="shared" si="86"/>
        <v>1274.7967479674799</v>
      </c>
      <c r="AG61" s="538">
        <f t="shared" si="87"/>
        <v>6.4574999999999994E-2</v>
      </c>
      <c r="AI61" s="177">
        <f t="shared" si="88"/>
        <v>1.6496015231519354</v>
      </c>
      <c r="AJ61" s="177">
        <f t="shared" si="89"/>
        <v>1.6496015231519354</v>
      </c>
      <c r="AK61" s="177">
        <f t="shared" si="90"/>
        <v>1.7530676821012903</v>
      </c>
      <c r="AM61" s="555">
        <f t="shared" si="91"/>
        <v>235.20000000000002</v>
      </c>
      <c r="AN61" s="469">
        <f t="shared" si="92"/>
        <v>350</v>
      </c>
      <c r="AP61">
        <f t="shared" si="93"/>
        <v>235.20000000000002</v>
      </c>
      <c r="AQ61">
        <f t="shared" si="94"/>
        <v>350</v>
      </c>
      <c r="AS61" s="5">
        <f t="shared" si="55"/>
        <v>2.8571428571428572</v>
      </c>
      <c r="AT61" s="5">
        <f t="shared" si="95"/>
        <v>1.2372011423639515</v>
      </c>
      <c r="AU61" s="5">
        <f t="shared" si="56"/>
        <v>1.6199417147789057</v>
      </c>
      <c r="AV61" s="5">
        <f t="shared" si="96"/>
        <v>0.90526912855898911</v>
      </c>
      <c r="AW61" s="177">
        <f t="shared" si="57"/>
        <v>0.433020399827383</v>
      </c>
      <c r="AX61" s="177">
        <f t="shared" si="97"/>
        <v>4.2858666666666663</v>
      </c>
      <c r="AY61" s="177">
        <f t="shared" si="98"/>
        <v>0.46764520602041221</v>
      </c>
      <c r="AZ61" s="177">
        <f t="shared" si="58"/>
        <v>9.1647826418209721</v>
      </c>
      <c r="BA61" s="469">
        <f t="shared" si="99"/>
        <v>19.587372721622344</v>
      </c>
      <c r="BB61" s="469">
        <f t="shared" si="100"/>
        <v>10.645209937829916</v>
      </c>
      <c r="BC61" s="5">
        <f t="shared" si="101"/>
        <v>0.91136720916635483</v>
      </c>
      <c r="BD61" s="469">
        <f t="shared" si="102"/>
        <v>55.694699216647955</v>
      </c>
      <c r="BE61" s="5"/>
      <c r="BF61" s="177">
        <f t="shared" si="59"/>
        <v>0.62671862290644176</v>
      </c>
      <c r="BG61" s="177">
        <f t="shared" si="103"/>
        <v>0.71713701347602687</v>
      </c>
      <c r="BH61" s="177"/>
      <c r="BI61" s="538">
        <f t="shared" si="104"/>
        <v>4.3205385552752142E-2</v>
      </c>
      <c r="BJ61" s="538">
        <f t="shared" si="105"/>
        <v>8.1985195700651187E-2</v>
      </c>
      <c r="BK61" s="538">
        <f t="shared" si="106"/>
        <v>1.7499999999999998E-2</v>
      </c>
      <c r="BL61" s="538">
        <f t="shared" si="107"/>
        <v>6.3516599999999993E-2</v>
      </c>
      <c r="BM61">
        <f t="shared" si="108"/>
        <v>3.48E-3</v>
      </c>
      <c r="BN61">
        <f t="shared" si="109"/>
        <v>2.4500000000000003E-5</v>
      </c>
      <c r="BO61" s="538">
        <f t="shared" si="110"/>
        <v>0.21139680842644387</v>
      </c>
      <c r="BP61" s="469">
        <f t="shared" si="60"/>
        <v>211.39680842644387</v>
      </c>
      <c r="BQ61" s="538">
        <f t="shared" si="111"/>
        <v>0.21168000000000003</v>
      </c>
      <c r="BR61" s="538"/>
      <c r="BT61" s="469">
        <f t="shared" si="61"/>
        <v>211.68000000000004</v>
      </c>
      <c r="BU61" s="538">
        <f t="shared" si="112"/>
        <v>1.8853259150291842E-2</v>
      </c>
      <c r="BV61" s="538">
        <f t="shared" si="113"/>
        <v>0.12342851906335563</v>
      </c>
      <c r="BW61" s="538">
        <f t="shared" si="114"/>
        <v>0</v>
      </c>
      <c r="BX61" s="538">
        <f t="shared" si="115"/>
        <v>0.14391995316215436</v>
      </c>
      <c r="BY61" s="538">
        <f t="shared" si="116"/>
        <v>4.7620740740740741E-2</v>
      </c>
      <c r="BZ61" s="469">
        <f t="shared" si="62"/>
        <v>191.5406939028951</v>
      </c>
      <c r="CA61" s="177">
        <f t="shared" si="63"/>
        <v>0.61461750232933898</v>
      </c>
      <c r="CB61" s="5">
        <f t="shared" si="64"/>
        <v>3.6456000000000004</v>
      </c>
      <c r="CC61" s="177">
        <f t="shared" si="65"/>
        <v>0.85573095693041779</v>
      </c>
      <c r="CD61" s="5">
        <f t="shared" si="66"/>
        <v>85.573095693041779</v>
      </c>
      <c r="CG61" s="571">
        <f t="shared" si="117"/>
        <v>-50</v>
      </c>
      <c r="CH61">
        <f t="shared" si="118"/>
        <v>-50</v>
      </c>
    </row>
    <row r="62" spans="5:86" x14ac:dyDescent="0.2">
      <c r="E62" s="174">
        <v>57</v>
      </c>
      <c r="F62" s="221">
        <f t="shared" si="119"/>
        <v>0.23939999999999997</v>
      </c>
      <c r="G62" s="221"/>
      <c r="H62" s="221">
        <f t="shared" si="67"/>
        <v>3.7106999999999997</v>
      </c>
      <c r="I62" s="551">
        <f t="shared" si="68"/>
        <v>12</v>
      </c>
      <c r="J62" s="176">
        <f t="shared" si="69"/>
        <v>16.399999999999999</v>
      </c>
      <c r="K62" s="451">
        <f t="shared" si="70"/>
        <v>28.4</v>
      </c>
      <c r="L62" s="451"/>
      <c r="M62" s="221">
        <f t="shared" si="71"/>
        <v>0.57746478873239437</v>
      </c>
      <c r="N62" s="176">
        <f t="shared" si="72"/>
        <v>12.78507042253521</v>
      </c>
      <c r="O62" s="176">
        <f t="shared" si="53"/>
        <v>3.7106999999999997</v>
      </c>
      <c r="P62" s="221">
        <f t="shared" si="73"/>
        <v>0.82484325306678774</v>
      </c>
      <c r="Q62" s="221">
        <f t="shared" si="74"/>
        <v>15.5</v>
      </c>
      <c r="R62" s="221">
        <f t="shared" si="75"/>
        <v>0.91649250340754196</v>
      </c>
      <c r="S62" s="176">
        <f t="shared" si="76"/>
        <v>80.61369607947411</v>
      </c>
      <c r="T62" s="176">
        <f t="shared" si="77"/>
        <v>15.5</v>
      </c>
      <c r="U62" s="221">
        <f t="shared" si="78"/>
        <v>1.1899715447154469</v>
      </c>
      <c r="V62" s="221">
        <f t="shared" si="79"/>
        <v>0.89247865853658515</v>
      </c>
      <c r="W62" s="221">
        <f t="shared" si="80"/>
        <v>0.65303316478286721</v>
      </c>
      <c r="X62" s="201">
        <f t="shared" si="81"/>
        <v>350</v>
      </c>
      <c r="Y62" s="451">
        <f t="shared" si="54"/>
        <v>350</v>
      </c>
      <c r="AA62" s="221">
        <f t="shared" si="82"/>
        <v>2.1998658618376927</v>
      </c>
      <c r="AB62" s="177">
        <f t="shared" si="83"/>
        <v>1.2072434607645877</v>
      </c>
      <c r="AC62" s="177">
        <f t="shared" si="84"/>
        <v>0.46476039334599145</v>
      </c>
      <c r="AD62" s="177"/>
      <c r="AE62" s="177">
        <f t="shared" si="85"/>
        <v>0.45</v>
      </c>
      <c r="AF62" s="555">
        <f t="shared" si="86"/>
        <v>1297.560975609756</v>
      </c>
      <c r="AG62" s="538">
        <f t="shared" si="87"/>
        <v>6.4574999999999994E-2</v>
      </c>
      <c r="AI62" s="177">
        <f t="shared" si="88"/>
        <v>1.6642649361738584</v>
      </c>
      <c r="AJ62" s="177">
        <f t="shared" si="89"/>
        <v>1.6642649361738584</v>
      </c>
      <c r="AK62" s="177">
        <f t="shared" si="90"/>
        <v>1.7628432907825724</v>
      </c>
      <c r="AM62" s="555">
        <f t="shared" si="91"/>
        <v>239.39999999999998</v>
      </c>
      <c r="AN62" s="469">
        <f t="shared" si="92"/>
        <v>350</v>
      </c>
      <c r="AP62">
        <f t="shared" si="93"/>
        <v>239.39999999999998</v>
      </c>
      <c r="AQ62">
        <f t="shared" si="94"/>
        <v>350</v>
      </c>
      <c r="AS62" s="5">
        <f t="shared" si="55"/>
        <v>2.8571428571428572</v>
      </c>
      <c r="AT62" s="5">
        <f t="shared" si="95"/>
        <v>1.248198702130394</v>
      </c>
      <c r="AU62" s="5">
        <f t="shared" si="56"/>
        <v>1.6089441550124632</v>
      </c>
      <c r="AV62" s="5">
        <f t="shared" si="96"/>
        <v>0.91331612351004432</v>
      </c>
      <c r="AW62" s="177">
        <f t="shared" si="57"/>
        <v>0.43686954574563786</v>
      </c>
      <c r="AX62" s="177">
        <f t="shared" si="97"/>
        <v>4.3623999999999992</v>
      </c>
      <c r="AY62" s="177">
        <f t="shared" si="98"/>
        <v>0.46859913475359594</v>
      </c>
      <c r="AZ62" s="177">
        <f t="shared" si="58"/>
        <v>9.309449541117667</v>
      </c>
      <c r="BA62" s="469">
        <f t="shared" si="99"/>
        <v>19.587372721622344</v>
      </c>
      <c r="BB62" s="469">
        <f t="shared" si="100"/>
        <v>11.020240525513197</v>
      </c>
      <c r="BC62" s="5">
        <f t="shared" si="101"/>
        <v>0.921343993210609</v>
      </c>
      <c r="BD62" s="469">
        <f t="shared" si="102"/>
        <v>56.311389592636544</v>
      </c>
      <c r="BE62" s="5"/>
      <c r="BF62" s="177">
        <f t="shared" si="59"/>
        <v>0.63509357830011681</v>
      </c>
      <c r="BG62" s="177">
        <f t="shared" si="103"/>
        <v>0.72105159736402524</v>
      </c>
      <c r="BH62" s="177"/>
      <c r="BI62" s="538">
        <f t="shared" si="104"/>
        <v>4.4367823851785129E-2</v>
      </c>
      <c r="BJ62" s="538">
        <f t="shared" si="105"/>
        <v>8.2713967327840768E-2</v>
      </c>
      <c r="BK62" s="538">
        <f t="shared" si="106"/>
        <v>1.7499999999999998E-2</v>
      </c>
      <c r="BL62" s="538">
        <f t="shared" si="107"/>
        <v>6.3516599999999993E-2</v>
      </c>
      <c r="BM62">
        <f t="shared" si="108"/>
        <v>3.48E-3</v>
      </c>
      <c r="BN62">
        <f t="shared" si="109"/>
        <v>2.4500000000000003E-5</v>
      </c>
      <c r="BO62" s="538">
        <f t="shared" si="110"/>
        <v>0.21334933975279699</v>
      </c>
      <c r="BP62" s="469">
        <f t="shared" si="60"/>
        <v>213.34933975279699</v>
      </c>
      <c r="BQ62" s="538">
        <f t="shared" si="111"/>
        <v>0.21545999999999998</v>
      </c>
      <c r="BR62" s="538"/>
      <c r="BT62" s="469">
        <f t="shared" si="61"/>
        <v>215.45999999999998</v>
      </c>
      <c r="BU62" s="538">
        <f t="shared" si="112"/>
        <v>1.9360504953506236E-2</v>
      </c>
      <c r="BV62" s="538">
        <f t="shared" si="113"/>
        <v>0.12477969745469096</v>
      </c>
      <c r="BW62" s="538">
        <f t="shared" si="114"/>
        <v>0</v>
      </c>
      <c r="BX62" s="538">
        <f t="shared" si="115"/>
        <v>0.145821704002633</v>
      </c>
      <c r="BY62" s="538">
        <f t="shared" si="116"/>
        <v>4.8471111111111097E-2</v>
      </c>
      <c r="BZ62" s="469">
        <f t="shared" si="62"/>
        <v>194.2928151137441</v>
      </c>
      <c r="CA62" s="177">
        <f t="shared" si="63"/>
        <v>0.62310215486654119</v>
      </c>
      <c r="CB62" s="5">
        <f t="shared" si="64"/>
        <v>3.7106999999999997</v>
      </c>
      <c r="CC62" s="177">
        <f t="shared" si="65"/>
        <v>0.85622275023172345</v>
      </c>
      <c r="CD62" s="5">
        <f t="shared" si="66"/>
        <v>85.62227502317235</v>
      </c>
      <c r="CG62" s="571">
        <f t="shared" si="117"/>
        <v>-50</v>
      </c>
      <c r="CH62">
        <f t="shared" si="118"/>
        <v>-50</v>
      </c>
    </row>
    <row r="63" spans="5:86" x14ac:dyDescent="0.2">
      <c r="E63" s="174">
        <v>58</v>
      </c>
      <c r="F63" s="221">
        <f t="shared" si="119"/>
        <v>0.24359999999999998</v>
      </c>
      <c r="G63" s="221"/>
      <c r="H63" s="221">
        <f t="shared" si="67"/>
        <v>3.7757999999999998</v>
      </c>
      <c r="I63" s="551">
        <f t="shared" si="68"/>
        <v>12</v>
      </c>
      <c r="J63" s="176">
        <f t="shared" si="69"/>
        <v>16.399999999999999</v>
      </c>
      <c r="K63" s="451">
        <f t="shared" si="70"/>
        <v>28.4</v>
      </c>
      <c r="L63" s="451"/>
      <c r="M63" s="221">
        <f t="shared" si="71"/>
        <v>0.57746478873239437</v>
      </c>
      <c r="N63" s="176">
        <f t="shared" si="72"/>
        <v>12.78507042253521</v>
      </c>
      <c r="O63" s="176">
        <f t="shared" si="53"/>
        <v>3.7757999999999998</v>
      </c>
      <c r="P63" s="221">
        <f t="shared" si="73"/>
        <v>0.82484325306678774</v>
      </c>
      <c r="Q63" s="221">
        <f t="shared" si="74"/>
        <v>15.5</v>
      </c>
      <c r="R63" s="221">
        <f t="shared" si="75"/>
        <v>0.91649250340754196</v>
      </c>
      <c r="S63" s="176">
        <f t="shared" si="76"/>
        <v>79.021831545671191</v>
      </c>
      <c r="T63" s="176">
        <f t="shared" si="77"/>
        <v>15.5</v>
      </c>
      <c r="U63" s="221">
        <f t="shared" si="78"/>
        <v>1.2108482384823847</v>
      </c>
      <c r="V63" s="221">
        <f t="shared" si="79"/>
        <v>0.90813617886178855</v>
      </c>
      <c r="W63" s="221">
        <f t="shared" si="80"/>
        <v>0.66448988697204037</v>
      </c>
      <c r="X63" s="201">
        <f t="shared" si="81"/>
        <v>350</v>
      </c>
      <c r="Y63" s="451">
        <f t="shared" si="54"/>
        <v>350</v>
      </c>
      <c r="AA63" s="221">
        <f t="shared" si="82"/>
        <v>2.1998658618376927</v>
      </c>
      <c r="AB63" s="177">
        <f t="shared" si="83"/>
        <v>1.2072434607645877</v>
      </c>
      <c r="AC63" s="177">
        <f t="shared" si="84"/>
        <v>0.46476039334599145</v>
      </c>
      <c r="AD63" s="177"/>
      <c r="AE63" s="177">
        <f t="shared" si="85"/>
        <v>0.45</v>
      </c>
      <c r="AF63" s="555">
        <f t="shared" si="86"/>
        <v>1320.3252032520325</v>
      </c>
      <c r="AG63" s="538">
        <f t="shared" si="87"/>
        <v>6.4574999999999994E-2</v>
      </c>
      <c r="AI63" s="177">
        <f t="shared" si="88"/>
        <v>1.6788002770938446</v>
      </c>
      <c r="AJ63" s="177">
        <f t="shared" si="89"/>
        <v>1.6788002770938446</v>
      </c>
      <c r="AK63" s="177">
        <f t="shared" si="90"/>
        <v>1.7725335180625632</v>
      </c>
      <c r="AM63" s="555">
        <f t="shared" si="91"/>
        <v>243.6</v>
      </c>
      <c r="AN63" s="469">
        <f t="shared" si="92"/>
        <v>350</v>
      </c>
      <c r="AP63">
        <f t="shared" si="93"/>
        <v>243.6</v>
      </c>
      <c r="AQ63">
        <f t="shared" si="94"/>
        <v>350</v>
      </c>
      <c r="AS63" s="5">
        <f t="shared" si="55"/>
        <v>2.8571428571428572</v>
      </c>
      <c r="AT63" s="5">
        <f t="shared" si="95"/>
        <v>1.2591002078203835</v>
      </c>
      <c r="AU63" s="5">
        <f t="shared" si="56"/>
        <v>1.5980426493224738</v>
      </c>
      <c r="AV63" s="5">
        <f t="shared" si="96"/>
        <v>0.92129283499052461</v>
      </c>
      <c r="AW63" s="177">
        <f t="shared" si="57"/>
        <v>0.4406850727371342</v>
      </c>
      <c r="AX63" s="177">
        <f t="shared" si="97"/>
        <v>4.4389333333333321</v>
      </c>
      <c r="AY63" s="177">
        <f t="shared" si="98"/>
        <v>0.46948902743581133</v>
      </c>
      <c r="AZ63" s="177">
        <f t="shared" si="58"/>
        <v>9.4548180552318115</v>
      </c>
      <c r="BA63" s="469">
        <f t="shared" si="99"/>
        <v>19.587372721622344</v>
      </c>
      <c r="BB63" s="469">
        <f t="shared" si="100"/>
        <v>11.401760150146629</v>
      </c>
      <c r="BC63" s="5">
        <f t="shared" si="101"/>
        <v>0.93115577705428942</v>
      </c>
      <c r="BD63" s="469">
        <f t="shared" si="102"/>
        <v>56.918179956590706</v>
      </c>
      <c r="BE63" s="5"/>
      <c r="BF63" s="177">
        <f t="shared" si="59"/>
        <v>0.64343187975802851</v>
      </c>
      <c r="BG63" s="177">
        <f t="shared" si="103"/>
        <v>0.72488082209043603</v>
      </c>
      <c r="BH63" s="177"/>
      <c r="BI63" s="538">
        <f t="shared" si="104"/>
        <v>4.5540504227784509E-2</v>
      </c>
      <c r="BJ63" s="538">
        <f t="shared" si="105"/>
        <v>8.3436373771564071E-2</v>
      </c>
      <c r="BK63" s="538">
        <f t="shared" si="106"/>
        <v>1.7499999999999998E-2</v>
      </c>
      <c r="BL63" s="538">
        <f t="shared" si="107"/>
        <v>6.3516599999999993E-2</v>
      </c>
      <c r="BM63">
        <f t="shared" si="108"/>
        <v>3.48E-3</v>
      </c>
      <c r="BN63">
        <f t="shared" si="109"/>
        <v>2.4500000000000003E-5</v>
      </c>
      <c r="BO63" s="538">
        <f t="shared" si="110"/>
        <v>0.21530703573351542</v>
      </c>
      <c r="BP63" s="469">
        <f t="shared" si="60"/>
        <v>215.30703573351542</v>
      </c>
      <c r="BQ63" s="538">
        <f t="shared" si="111"/>
        <v>0.21923999999999999</v>
      </c>
      <c r="BR63" s="538"/>
      <c r="BT63" s="469">
        <f t="shared" si="61"/>
        <v>219.23999999999998</v>
      </c>
      <c r="BU63" s="538">
        <f t="shared" si="112"/>
        <v>1.9872220026669603E-2</v>
      </c>
      <c r="BV63" s="538">
        <f t="shared" si="113"/>
        <v>0.12610852949628154</v>
      </c>
      <c r="BW63" s="538">
        <f t="shared" si="114"/>
        <v>0</v>
      </c>
      <c r="BX63" s="538">
        <f t="shared" si="115"/>
        <v>0.14770572491753456</v>
      </c>
      <c r="BY63" s="538">
        <f t="shared" si="116"/>
        <v>4.9321481481481473E-2</v>
      </c>
      <c r="BZ63" s="469">
        <f t="shared" si="62"/>
        <v>197.02720639901602</v>
      </c>
      <c r="CA63" s="177">
        <f t="shared" si="63"/>
        <v>0.63157424213253144</v>
      </c>
      <c r="CB63" s="5">
        <f t="shared" si="64"/>
        <v>3.7757999999999998</v>
      </c>
      <c r="CC63" s="177">
        <f t="shared" si="65"/>
        <v>0.85670056422825092</v>
      </c>
      <c r="CD63" s="5">
        <f t="shared" si="66"/>
        <v>85.670056422825098</v>
      </c>
      <c r="CG63" s="571">
        <f t="shared" si="117"/>
        <v>-50</v>
      </c>
      <c r="CH63">
        <f t="shared" si="118"/>
        <v>-50</v>
      </c>
    </row>
    <row r="64" spans="5:86" x14ac:dyDescent="0.2">
      <c r="E64" s="174">
        <v>59</v>
      </c>
      <c r="F64" s="221">
        <f t="shared" si="119"/>
        <v>0.24779999999999996</v>
      </c>
      <c r="G64" s="221"/>
      <c r="H64" s="221">
        <f t="shared" si="67"/>
        <v>3.8408999999999995</v>
      </c>
      <c r="I64" s="551">
        <f t="shared" si="68"/>
        <v>12</v>
      </c>
      <c r="J64" s="176">
        <f t="shared" si="69"/>
        <v>16.399999999999999</v>
      </c>
      <c r="K64" s="451">
        <f t="shared" si="70"/>
        <v>28.4</v>
      </c>
      <c r="L64" s="451"/>
      <c r="M64" s="221">
        <f t="shared" si="71"/>
        <v>0.57746478873239437</v>
      </c>
      <c r="N64" s="176">
        <f t="shared" si="72"/>
        <v>12.78507042253521</v>
      </c>
      <c r="O64" s="176">
        <f t="shared" si="53"/>
        <v>3.8408999999999995</v>
      </c>
      <c r="P64" s="221">
        <f t="shared" si="73"/>
        <v>0.82484325306678774</v>
      </c>
      <c r="Q64" s="221">
        <f t="shared" si="74"/>
        <v>15.5</v>
      </c>
      <c r="R64" s="221">
        <f t="shared" si="75"/>
        <v>0.91649250340754196</v>
      </c>
      <c r="S64" s="176">
        <f t="shared" si="76"/>
        <v>77.484030141448599</v>
      </c>
      <c r="T64" s="176">
        <f t="shared" si="77"/>
        <v>15.5</v>
      </c>
      <c r="U64" s="221">
        <f t="shared" si="78"/>
        <v>1.2317249322493222</v>
      </c>
      <c r="V64" s="221">
        <f t="shared" si="79"/>
        <v>0.92379369918699161</v>
      </c>
      <c r="W64" s="221">
        <f t="shared" si="80"/>
        <v>0.67594660916121341</v>
      </c>
      <c r="X64" s="201">
        <f t="shared" si="81"/>
        <v>350</v>
      </c>
      <c r="Y64" s="451">
        <f t="shared" si="54"/>
        <v>350</v>
      </c>
      <c r="AA64" s="221">
        <f t="shared" si="82"/>
        <v>2.1998658618376927</v>
      </c>
      <c r="AB64" s="177">
        <f t="shared" si="83"/>
        <v>1.2072434607645877</v>
      </c>
      <c r="AC64" s="177">
        <f t="shared" si="84"/>
        <v>0.46476039334599145</v>
      </c>
      <c r="AD64" s="177"/>
      <c r="AE64" s="177">
        <f t="shared" si="85"/>
        <v>0.45</v>
      </c>
      <c r="AF64" s="555">
        <f t="shared" si="86"/>
        <v>1343.0894308943086</v>
      </c>
      <c r="AG64" s="538">
        <f t="shared" si="87"/>
        <v>6.4574999999999994E-2</v>
      </c>
      <c r="AI64" s="177">
        <f t="shared" si="88"/>
        <v>1.693210844213727</v>
      </c>
      <c r="AJ64" s="177">
        <f t="shared" si="89"/>
        <v>1.693210844213727</v>
      </c>
      <c r="AK64" s="177">
        <f t="shared" si="90"/>
        <v>1.7821405628091513</v>
      </c>
      <c r="AM64" s="555">
        <f t="shared" si="91"/>
        <v>247.79999999999995</v>
      </c>
      <c r="AN64" s="469">
        <f t="shared" si="92"/>
        <v>350</v>
      </c>
      <c r="AP64">
        <f t="shared" si="93"/>
        <v>247.79999999999995</v>
      </c>
      <c r="AQ64">
        <f t="shared" si="94"/>
        <v>350</v>
      </c>
      <c r="AS64" s="5">
        <f t="shared" si="55"/>
        <v>2.8571428571428572</v>
      </c>
      <c r="AT64" s="5">
        <f t="shared" si="95"/>
        <v>1.2699081331602953</v>
      </c>
      <c r="AU64" s="5">
        <f t="shared" si="56"/>
        <v>1.5872347239825619</v>
      </c>
      <c r="AV64" s="5">
        <f t="shared" si="96"/>
        <v>0.92920107304411859</v>
      </c>
      <c r="AW64" s="177">
        <f t="shared" si="57"/>
        <v>0.44446784660610333</v>
      </c>
      <c r="AX64" s="177">
        <f t="shared" si="97"/>
        <v>4.5154666666666659</v>
      </c>
      <c r="AY64" s="177">
        <f t="shared" si="98"/>
        <v>0.47031653321797467</v>
      </c>
      <c r="AZ64" s="177">
        <f t="shared" si="58"/>
        <v>9.6009099143744336</v>
      </c>
      <c r="BA64" s="469">
        <f t="shared" si="99"/>
        <v>19.587372721622344</v>
      </c>
      <c r="BB64" s="469">
        <f t="shared" si="100"/>
        <v>11.789768811730205</v>
      </c>
      <c r="BC64" s="5">
        <f t="shared" si="101"/>
        <v>0.94080398940503396</v>
      </c>
      <c r="BD64" s="469">
        <f t="shared" si="102"/>
        <v>57.515156030968711</v>
      </c>
      <c r="BE64" s="5"/>
      <c r="BF64" s="177">
        <f t="shared" si="59"/>
        <v>0.65173431561426964</v>
      </c>
      <c r="BG64" s="177">
        <f t="shared" si="103"/>
        <v>0.72862658669475788</v>
      </c>
      <c r="BH64" s="177"/>
      <c r="BI64" s="538">
        <f t="shared" si="104"/>
        <v>4.6723337996412047E-2</v>
      </c>
      <c r="BJ64" s="538">
        <f t="shared" si="105"/>
        <v>8.415257895742223E-2</v>
      </c>
      <c r="BK64" s="538">
        <f t="shared" si="106"/>
        <v>1.7499999999999998E-2</v>
      </c>
      <c r="BL64" s="538">
        <f t="shared" si="107"/>
        <v>6.3516599999999993E-2</v>
      </c>
      <c r="BM64">
        <f t="shared" si="108"/>
        <v>3.48E-3</v>
      </c>
      <c r="BN64">
        <f t="shared" si="109"/>
        <v>2.4500000000000003E-5</v>
      </c>
      <c r="BO64" s="538">
        <f t="shared" si="110"/>
        <v>0.21726998325425395</v>
      </c>
      <c r="BP64" s="469">
        <f t="shared" si="60"/>
        <v>217.26998325425396</v>
      </c>
      <c r="BQ64" s="538">
        <f t="shared" si="111"/>
        <v>0.22301999999999997</v>
      </c>
      <c r="BR64" s="538"/>
      <c r="BT64" s="469">
        <f t="shared" si="61"/>
        <v>223.01999999999998</v>
      </c>
      <c r="BU64" s="538">
        <f t="shared" si="112"/>
        <v>2.0388365671161621E-2</v>
      </c>
      <c r="BV64" s="538">
        <f t="shared" si="113"/>
        <v>0.12741520868122883</v>
      </c>
      <c r="BW64" s="538">
        <f t="shared" si="114"/>
        <v>0</v>
      </c>
      <c r="BX64" s="538">
        <f t="shared" si="115"/>
        <v>0.14957215832228121</v>
      </c>
      <c r="BY64" s="538">
        <f t="shared" si="116"/>
        <v>5.0171851851851842E-2</v>
      </c>
      <c r="BZ64" s="469">
        <f t="shared" si="62"/>
        <v>199.74401017413308</v>
      </c>
      <c r="CA64" s="177">
        <f t="shared" si="63"/>
        <v>0.64003399342838696</v>
      </c>
      <c r="CB64" s="5">
        <f t="shared" si="64"/>
        <v>3.8408999999999995</v>
      </c>
      <c r="CC64" s="177">
        <f t="shared" si="65"/>
        <v>0.85716504765143975</v>
      </c>
      <c r="CD64" s="5">
        <f t="shared" si="66"/>
        <v>85.716504765143981</v>
      </c>
      <c r="CG64" s="571">
        <f t="shared" si="117"/>
        <v>-50</v>
      </c>
      <c r="CH64">
        <f t="shared" si="118"/>
        <v>-50</v>
      </c>
    </row>
    <row r="65" spans="5:86" x14ac:dyDescent="0.2">
      <c r="E65" s="174">
        <v>60</v>
      </c>
      <c r="F65" s="221">
        <f t="shared" si="119"/>
        <v>0.252</v>
      </c>
      <c r="G65" s="221"/>
      <c r="H65" s="221">
        <f t="shared" si="67"/>
        <v>3.9060000000000001</v>
      </c>
      <c r="I65" s="551">
        <f t="shared" si="68"/>
        <v>12</v>
      </c>
      <c r="J65" s="176">
        <f t="shared" si="69"/>
        <v>16.399999999999999</v>
      </c>
      <c r="K65" s="451">
        <f t="shared" si="70"/>
        <v>28.4</v>
      </c>
      <c r="L65" s="451"/>
      <c r="M65" s="221">
        <f t="shared" si="71"/>
        <v>0.57746478873239437</v>
      </c>
      <c r="N65" s="176">
        <f t="shared" si="72"/>
        <v>12.78507042253521</v>
      </c>
      <c r="O65" s="176">
        <f t="shared" si="53"/>
        <v>3.9060000000000001</v>
      </c>
      <c r="P65" s="221">
        <f t="shared" si="73"/>
        <v>0.82484325306678774</v>
      </c>
      <c r="Q65" s="221">
        <f t="shared" si="74"/>
        <v>15.5</v>
      </c>
      <c r="R65" s="221">
        <f t="shared" si="75"/>
        <v>0.91649250340754196</v>
      </c>
      <c r="S65" s="176">
        <f t="shared" si="76"/>
        <v>75.997589392402745</v>
      </c>
      <c r="T65" s="176">
        <f t="shared" si="77"/>
        <v>15.5</v>
      </c>
      <c r="U65" s="221">
        <f t="shared" si="78"/>
        <v>1.25260162601626</v>
      </c>
      <c r="V65" s="221">
        <f t="shared" si="79"/>
        <v>0.93945121951219501</v>
      </c>
      <c r="W65" s="221">
        <f t="shared" si="80"/>
        <v>0.68740333135038656</v>
      </c>
      <c r="X65" s="201">
        <f t="shared" si="81"/>
        <v>350</v>
      </c>
      <c r="Y65" s="451">
        <f t="shared" si="54"/>
        <v>350</v>
      </c>
      <c r="AA65" s="221">
        <f t="shared" si="82"/>
        <v>2.1998658618376927</v>
      </c>
      <c r="AB65" s="177">
        <f t="shared" si="83"/>
        <v>1.2072434607645877</v>
      </c>
      <c r="AC65" s="177">
        <f t="shared" si="84"/>
        <v>0.46476039334599145</v>
      </c>
      <c r="AD65" s="177"/>
      <c r="AE65" s="177">
        <f t="shared" si="85"/>
        <v>0.45</v>
      </c>
      <c r="AF65" s="555">
        <f t="shared" si="86"/>
        <v>1365.8536585365855</v>
      </c>
      <c r="AG65" s="538">
        <f t="shared" si="87"/>
        <v>6.4574999999999994E-2</v>
      </c>
      <c r="AI65" s="177">
        <f t="shared" si="88"/>
        <v>1.7074997966487595</v>
      </c>
      <c r="AJ65" s="177">
        <f t="shared" si="89"/>
        <v>1.7074997966487595</v>
      </c>
      <c r="AK65" s="177">
        <f t="shared" si="90"/>
        <v>1.7916665310991728</v>
      </c>
      <c r="AM65" s="555">
        <f t="shared" si="91"/>
        <v>252</v>
      </c>
      <c r="AN65" s="469">
        <f t="shared" si="92"/>
        <v>350</v>
      </c>
      <c r="AP65">
        <f t="shared" si="93"/>
        <v>252</v>
      </c>
      <c r="AQ65">
        <f t="shared" si="94"/>
        <v>350</v>
      </c>
      <c r="AS65" s="5">
        <f t="shared" si="55"/>
        <v>2.8571428571428572</v>
      </c>
      <c r="AT65" s="5">
        <f t="shared" si="95"/>
        <v>1.2806248474865698</v>
      </c>
      <c r="AU65" s="5">
        <f t="shared" si="56"/>
        <v>1.5765180096562874</v>
      </c>
      <c r="AV65" s="5">
        <f t="shared" si="96"/>
        <v>0.93704257133163638</v>
      </c>
      <c r="AW65" s="177">
        <f t="shared" si="57"/>
        <v>0.44821869662029939</v>
      </c>
      <c r="AX65" s="177">
        <f t="shared" si="97"/>
        <v>4.5919999999999996</v>
      </c>
      <c r="AY65" s="177">
        <f t="shared" si="98"/>
        <v>0.4710832316577131</v>
      </c>
      <c r="AZ65" s="177">
        <f t="shared" si="58"/>
        <v>9.7477466643018307</v>
      </c>
      <c r="BA65" s="469">
        <f t="shared" si="99"/>
        <v>19.587372721622344</v>
      </c>
      <c r="BB65" s="469">
        <f t="shared" si="100"/>
        <v>12.184266510263935</v>
      </c>
      <c r="BC65" s="5">
        <f t="shared" si="101"/>
        <v>0.9502900224872618</v>
      </c>
      <c r="BD65" s="469">
        <f t="shared" si="102"/>
        <v>58.102401349235734</v>
      </c>
      <c r="BE65" s="5"/>
      <c r="BF65" s="177">
        <f t="shared" si="59"/>
        <v>0.66000164419875595</v>
      </c>
      <c r="BG65" s="177">
        <f t="shared" si="103"/>
        <v>0.73229070833023036</v>
      </c>
      <c r="BH65" s="177"/>
      <c r="BI65" s="538">
        <f t="shared" si="104"/>
        <v>4.7916238737956737E-2</v>
      </c>
      <c r="BJ65" s="538">
        <f t="shared" si="105"/>
        <v>8.486273989344334E-2</v>
      </c>
      <c r="BK65" s="538">
        <f t="shared" si="106"/>
        <v>1.7499999999999998E-2</v>
      </c>
      <c r="BL65" s="538">
        <f t="shared" si="107"/>
        <v>6.3516599999999993E-2</v>
      </c>
      <c r="BM65">
        <f t="shared" si="108"/>
        <v>3.48E-3</v>
      </c>
      <c r="BN65">
        <f t="shared" si="109"/>
        <v>2.4500000000000003E-5</v>
      </c>
      <c r="BO65" s="538">
        <f t="shared" si="110"/>
        <v>0.21923826460493798</v>
      </c>
      <c r="BP65" s="469">
        <f t="shared" si="60"/>
        <v>219.23826460493797</v>
      </c>
      <c r="BQ65" s="538">
        <f t="shared" si="111"/>
        <v>0.2268</v>
      </c>
      <c r="BR65" s="538"/>
      <c r="BT65" s="469">
        <f t="shared" si="61"/>
        <v>226.8</v>
      </c>
      <c r="BU65" s="538">
        <f t="shared" si="112"/>
        <v>2.090890417656294E-2</v>
      </c>
      <c r="BV65" s="538">
        <f t="shared" si="113"/>
        <v>0.12869992356162974</v>
      </c>
      <c r="BW65" s="538">
        <f t="shared" si="114"/>
        <v>0</v>
      </c>
      <c r="BX65" s="538">
        <f t="shared" si="115"/>
        <v>0.15142114291307285</v>
      </c>
      <c r="BY65" s="538">
        <f t="shared" si="116"/>
        <v>5.1022222222222219E-2</v>
      </c>
      <c r="BZ65" s="469">
        <f t="shared" si="62"/>
        <v>202.44336513529507</v>
      </c>
      <c r="CA65" s="177">
        <f t="shared" si="63"/>
        <v>0.64848162974023305</v>
      </c>
      <c r="CB65" s="5">
        <f t="shared" si="64"/>
        <v>3.9060000000000001</v>
      </c>
      <c r="CC65" s="177">
        <f t="shared" si="65"/>
        <v>0.85761680857252254</v>
      </c>
      <c r="CD65" s="5">
        <f t="shared" si="66"/>
        <v>85.761680857252259</v>
      </c>
      <c r="CG65" s="571">
        <f t="shared" si="117"/>
        <v>-50</v>
      </c>
      <c r="CH65">
        <f t="shared" si="118"/>
        <v>-50</v>
      </c>
    </row>
    <row r="66" spans="5:86" x14ac:dyDescent="0.2">
      <c r="E66" s="174">
        <v>61</v>
      </c>
      <c r="F66" s="221">
        <f t="shared" si="119"/>
        <v>0.25619999999999998</v>
      </c>
      <c r="G66" s="221"/>
      <c r="H66" s="221">
        <f t="shared" si="67"/>
        <v>3.9710999999999999</v>
      </c>
      <c r="I66" s="551">
        <f t="shared" si="68"/>
        <v>12</v>
      </c>
      <c r="J66" s="176">
        <f t="shared" si="69"/>
        <v>16.399999999999999</v>
      </c>
      <c r="K66" s="451">
        <f t="shared" si="70"/>
        <v>28.4</v>
      </c>
      <c r="L66" s="451"/>
      <c r="M66" s="221">
        <f t="shared" si="71"/>
        <v>0.57746478873239437</v>
      </c>
      <c r="N66" s="176">
        <f t="shared" si="72"/>
        <v>12.78507042253521</v>
      </c>
      <c r="O66" s="176">
        <f t="shared" si="53"/>
        <v>3.9710999999999999</v>
      </c>
      <c r="P66" s="221">
        <f t="shared" si="73"/>
        <v>0.82484325306678774</v>
      </c>
      <c r="Q66" s="221">
        <f t="shared" si="74"/>
        <v>15.5</v>
      </c>
      <c r="R66" s="221">
        <f t="shared" si="75"/>
        <v>0.91649250340754196</v>
      </c>
      <c r="S66" s="176">
        <f t="shared" si="76"/>
        <v>74.559984040905434</v>
      </c>
      <c r="T66" s="176">
        <f t="shared" si="77"/>
        <v>15.5</v>
      </c>
      <c r="U66" s="221">
        <f t="shared" si="78"/>
        <v>1.2734783197831976</v>
      </c>
      <c r="V66" s="221">
        <f t="shared" si="79"/>
        <v>0.95510873983739819</v>
      </c>
      <c r="W66" s="221">
        <f t="shared" si="80"/>
        <v>0.69886005353955971</v>
      </c>
      <c r="X66" s="201">
        <f t="shared" si="81"/>
        <v>350</v>
      </c>
      <c r="Y66" s="451">
        <f t="shared" si="54"/>
        <v>350</v>
      </c>
      <c r="AA66" s="221">
        <f t="shared" si="82"/>
        <v>2.1998658618376927</v>
      </c>
      <c r="AB66" s="177">
        <f t="shared" si="83"/>
        <v>1.2072434607645877</v>
      </c>
      <c r="AC66" s="177">
        <f t="shared" si="84"/>
        <v>0.46476039334599145</v>
      </c>
      <c r="AD66" s="177"/>
      <c r="AE66" s="177">
        <f t="shared" si="85"/>
        <v>0.45</v>
      </c>
      <c r="AF66" s="555">
        <f t="shared" si="86"/>
        <v>1388.6178861788619</v>
      </c>
      <c r="AG66" s="538">
        <f t="shared" si="87"/>
        <v>6.4574999999999994E-2</v>
      </c>
      <c r="AI66" s="177">
        <f t="shared" si="88"/>
        <v>1.721670162414435</v>
      </c>
      <c r="AJ66" s="177">
        <f t="shared" si="89"/>
        <v>1.721670162414435</v>
      </c>
      <c r="AK66" s="177">
        <f t="shared" si="90"/>
        <v>1.8011134416096235</v>
      </c>
      <c r="AM66" s="555">
        <f t="shared" si="91"/>
        <v>256.2</v>
      </c>
      <c r="AN66" s="469">
        <f t="shared" si="92"/>
        <v>350</v>
      </c>
      <c r="AP66">
        <f t="shared" si="93"/>
        <v>256.2</v>
      </c>
      <c r="AQ66">
        <f t="shared" si="94"/>
        <v>350</v>
      </c>
      <c r="AS66" s="5">
        <f t="shared" si="55"/>
        <v>2.8571428571428572</v>
      </c>
      <c r="AT66" s="5">
        <f t="shared" si="95"/>
        <v>1.2912526218108262</v>
      </c>
      <c r="AU66" s="5">
        <f t="shared" si="56"/>
        <v>1.565890235332031</v>
      </c>
      <c r="AV66" s="5">
        <f t="shared" si="96"/>
        <v>0.94481899156889737</v>
      </c>
      <c r="AW66" s="177">
        <f t="shared" si="57"/>
        <v>0.45193841763378917</v>
      </c>
      <c r="AX66" s="177">
        <f t="shared" si="97"/>
        <v>4.6685333333333325</v>
      </c>
      <c r="AY66" s="177">
        <f t="shared" si="98"/>
        <v>0.47179063676277322</v>
      </c>
      <c r="AZ66" s="177">
        <f t="shared" si="58"/>
        <v>9.8953496944467219</v>
      </c>
      <c r="BA66" s="469">
        <f t="shared" si="99"/>
        <v>19.587372721622344</v>
      </c>
      <c r="BB66" s="469">
        <f t="shared" si="100"/>
        <v>12.585253245747804</v>
      </c>
      <c r="BC66" s="5">
        <f t="shared" si="101"/>
        <v>0.95961523356898548</v>
      </c>
      <c r="BD66" s="469">
        <f t="shared" si="102"/>
        <v>58.679997347472465</v>
      </c>
      <c r="BE66" s="5"/>
      <c r="BF66" s="177">
        <f t="shared" si="59"/>
        <v>0.66823459545935904</v>
      </c>
      <c r="BG66" s="177">
        <f t="shared" si="103"/>
        <v>0.73587492697286239</v>
      </c>
      <c r="BH66" s="177"/>
      <c r="BI66" s="538">
        <f t="shared" si="104"/>
        <v>4.9119122202560657E-2</v>
      </c>
      <c r="BJ66" s="538">
        <f t="shared" si="105"/>
        <v>8.5567007071997409E-2</v>
      </c>
      <c r="BK66" s="538">
        <f t="shared" si="106"/>
        <v>1.7499999999999998E-2</v>
      </c>
      <c r="BL66" s="538">
        <f t="shared" si="107"/>
        <v>6.3516599999999993E-2</v>
      </c>
      <c r="BM66">
        <f t="shared" si="108"/>
        <v>3.48E-3</v>
      </c>
      <c r="BN66">
        <f t="shared" si="109"/>
        <v>2.4500000000000003E-5</v>
      </c>
      <c r="BO66" s="538">
        <f t="shared" si="110"/>
        <v>0.221211957785585</v>
      </c>
      <c r="BP66" s="469">
        <f t="shared" si="60"/>
        <v>221.21195778558501</v>
      </c>
      <c r="BQ66" s="538">
        <f t="shared" si="111"/>
        <v>0.23057999999999998</v>
      </c>
      <c r="BR66" s="538"/>
      <c r="BT66" s="469">
        <f t="shared" si="61"/>
        <v>230.57999999999998</v>
      </c>
      <c r="BU66" s="538">
        <f t="shared" si="112"/>
        <v>2.1433798779299195E-2</v>
      </c>
      <c r="BV66" s="538">
        <f t="shared" si="113"/>
        <v>0.12996285795535573</v>
      </c>
      <c r="BW66" s="538">
        <f t="shared" si="114"/>
        <v>0</v>
      </c>
      <c r="BX66" s="538">
        <f t="shared" si="115"/>
        <v>0.15325281382653619</v>
      </c>
      <c r="BY66" s="538">
        <f t="shared" si="116"/>
        <v>5.1872592592592588E-2</v>
      </c>
      <c r="BZ66" s="469">
        <f t="shared" si="62"/>
        <v>205.12540641912878</v>
      </c>
      <c r="CA66" s="177">
        <f t="shared" si="63"/>
        <v>0.65691736420471381</v>
      </c>
      <c r="CB66" s="5">
        <f t="shared" si="64"/>
        <v>3.9710999999999999</v>
      </c>
      <c r="CC66" s="177">
        <f t="shared" si="65"/>
        <v>0.85805641757405127</v>
      </c>
      <c r="CD66" s="5">
        <f t="shared" si="66"/>
        <v>85.805641757405127</v>
      </c>
      <c r="CG66" s="571">
        <f t="shared" si="117"/>
        <v>-50</v>
      </c>
      <c r="CH66">
        <f t="shared" si="118"/>
        <v>-50</v>
      </c>
    </row>
    <row r="67" spans="5:86" x14ac:dyDescent="0.2">
      <c r="E67" s="174">
        <v>62</v>
      </c>
      <c r="F67" s="221">
        <f t="shared" si="119"/>
        <v>0.26039999999999996</v>
      </c>
      <c r="G67" s="221"/>
      <c r="H67" s="221">
        <f t="shared" si="67"/>
        <v>4.0361999999999991</v>
      </c>
      <c r="I67" s="551">
        <f t="shared" si="68"/>
        <v>12</v>
      </c>
      <c r="J67" s="176">
        <f t="shared" si="69"/>
        <v>16.399999999999999</v>
      </c>
      <c r="K67" s="451">
        <f t="shared" si="70"/>
        <v>28.4</v>
      </c>
      <c r="L67" s="451"/>
      <c r="M67" s="221">
        <f t="shared" si="71"/>
        <v>0.57746478873239437</v>
      </c>
      <c r="N67" s="176">
        <f t="shared" si="72"/>
        <v>12.78507042253521</v>
      </c>
      <c r="O67" s="176">
        <f t="shared" si="53"/>
        <v>4.0361999999999991</v>
      </c>
      <c r="P67" s="221">
        <f t="shared" si="73"/>
        <v>0.82484325306678774</v>
      </c>
      <c r="Q67" s="221">
        <f t="shared" si="74"/>
        <v>15.5</v>
      </c>
      <c r="R67" s="221">
        <f t="shared" si="75"/>
        <v>0.91649250340754196</v>
      </c>
      <c r="S67" s="176">
        <f t="shared" si="76"/>
        <v>73.168851754470808</v>
      </c>
      <c r="T67" s="176">
        <f t="shared" si="77"/>
        <v>15.5</v>
      </c>
      <c r="U67" s="221">
        <f t="shared" si="78"/>
        <v>1.2943550135501352</v>
      </c>
      <c r="V67" s="221">
        <f t="shared" si="79"/>
        <v>0.97076626016260137</v>
      </c>
      <c r="W67" s="221">
        <f t="shared" si="80"/>
        <v>0.71031677572873275</v>
      </c>
      <c r="X67" s="201">
        <f t="shared" si="81"/>
        <v>350</v>
      </c>
      <c r="Y67" s="451">
        <f t="shared" si="54"/>
        <v>350</v>
      </c>
      <c r="AA67" s="221">
        <f t="shared" si="82"/>
        <v>2.1998658618376927</v>
      </c>
      <c r="AB67" s="177">
        <f t="shared" si="83"/>
        <v>1.2072434607645877</v>
      </c>
      <c r="AC67" s="177">
        <f t="shared" si="84"/>
        <v>0.46476039334599145</v>
      </c>
      <c r="AD67" s="177"/>
      <c r="AE67" s="177">
        <f t="shared" si="85"/>
        <v>0.45</v>
      </c>
      <c r="AF67" s="555">
        <f t="shared" si="86"/>
        <v>1411.3821138211381</v>
      </c>
      <c r="AG67" s="538">
        <f t="shared" si="87"/>
        <v>6.4574999999999994E-2</v>
      </c>
      <c r="AI67" s="177">
        <f t="shared" si="88"/>
        <v>1.7357248459190586</v>
      </c>
      <c r="AJ67" s="177">
        <f t="shared" si="89"/>
        <v>1.7357248459190586</v>
      </c>
      <c r="AK67" s="177">
        <f t="shared" si="90"/>
        <v>1.8104832306127059</v>
      </c>
      <c r="AM67" s="555">
        <f t="shared" si="91"/>
        <v>260.39999999999998</v>
      </c>
      <c r="AN67" s="469">
        <f t="shared" si="92"/>
        <v>350</v>
      </c>
      <c r="AP67">
        <f t="shared" si="93"/>
        <v>260.39999999999998</v>
      </c>
      <c r="AQ67">
        <f t="shared" si="94"/>
        <v>350</v>
      </c>
      <c r="AS67" s="5">
        <f t="shared" si="55"/>
        <v>2.8571428571428572</v>
      </c>
      <c r="AT67" s="5">
        <f t="shared" si="95"/>
        <v>1.301793634439294</v>
      </c>
      <c r="AU67" s="5">
        <f t="shared" si="56"/>
        <v>1.5553492227035632</v>
      </c>
      <c r="AV67" s="5">
        <f t="shared" si="96"/>
        <v>0.95253192763850791</v>
      </c>
      <c r="AW67" s="177">
        <f t="shared" si="57"/>
        <v>0.45562777205375288</v>
      </c>
      <c r="AX67" s="177">
        <f t="shared" si="97"/>
        <v>4.7450666666666654</v>
      </c>
      <c r="AY67" s="177">
        <f t="shared" si="98"/>
        <v>0.47244020073730719</v>
      </c>
      <c r="AZ67" s="177">
        <f t="shared" si="58"/>
        <v>10.043740264400327</v>
      </c>
      <c r="BA67" s="469">
        <f t="shared" si="99"/>
        <v>19.587372721622344</v>
      </c>
      <c r="BB67" s="469">
        <f t="shared" si="100"/>
        <v>12.992729018181818</v>
      </c>
      <c r="BC67" s="5">
        <f t="shared" si="101"/>
        <v>0.96878094640063572</v>
      </c>
      <c r="BD67" s="469">
        <f t="shared" si="102"/>
        <v>59.248023450704821</v>
      </c>
      <c r="BE67" s="5"/>
      <c r="BF67" s="177">
        <f t="shared" si="59"/>
        <v>0.67643387247123088</v>
      </c>
      <c r="BG67" s="177">
        <f t="shared" si="103"/>
        <v>0.73938090978454474</v>
      </c>
      <c r="BH67" s="177"/>
      <c r="BI67" s="538">
        <f t="shared" si="104"/>
        <v>5.0331906220906802E-2</v>
      </c>
      <c r="BJ67" s="538">
        <f t="shared" si="105"/>
        <v>8.6265524842177199E-2</v>
      </c>
      <c r="BK67" s="538">
        <f t="shared" si="106"/>
        <v>1.7499999999999998E-2</v>
      </c>
      <c r="BL67" s="538">
        <f t="shared" si="107"/>
        <v>6.3516599999999993E-2</v>
      </c>
      <c r="BM67">
        <f t="shared" si="108"/>
        <v>3.48E-3</v>
      </c>
      <c r="BN67">
        <f t="shared" si="109"/>
        <v>2.4500000000000003E-5</v>
      </c>
      <c r="BO67" s="538">
        <f t="shared" si="110"/>
        <v>0.2231911367881402</v>
      </c>
      <c r="BP67" s="469">
        <f t="shared" si="60"/>
        <v>223.1911367881402</v>
      </c>
      <c r="BQ67" s="538">
        <f t="shared" si="111"/>
        <v>0.23435999999999998</v>
      </c>
      <c r="BR67" s="538"/>
      <c r="BT67" s="469">
        <f t="shared" si="61"/>
        <v>234.35999999999999</v>
      </c>
      <c r="BU67" s="538">
        <f t="shared" si="112"/>
        <v>2.1963013623668422E-2</v>
      </c>
      <c r="BV67" s="538">
        <f t="shared" si="113"/>
        <v>0.13120419114091705</v>
      </c>
      <c r="BW67" s="538">
        <f t="shared" si="114"/>
        <v>0</v>
      </c>
      <c r="BX67" s="538">
        <f t="shared" si="115"/>
        <v>0.15506730279008477</v>
      </c>
      <c r="BY67" s="538">
        <f t="shared" si="116"/>
        <v>5.2722962962962951E-2</v>
      </c>
      <c r="BZ67" s="469">
        <f t="shared" si="62"/>
        <v>207.79026575304772</v>
      </c>
      <c r="CA67" s="177">
        <f t="shared" si="63"/>
        <v>0.6653414025411879</v>
      </c>
      <c r="CB67" s="5">
        <f t="shared" si="64"/>
        <v>4.0361999999999991</v>
      </c>
      <c r="CC67" s="177">
        <f t="shared" si="65"/>
        <v>0.85848441062721048</v>
      </c>
      <c r="CD67" s="5">
        <f t="shared" si="66"/>
        <v>85.848441062721051</v>
      </c>
      <c r="CG67" s="571">
        <f t="shared" si="117"/>
        <v>-50</v>
      </c>
      <c r="CH67">
        <f t="shared" si="118"/>
        <v>-50</v>
      </c>
    </row>
    <row r="68" spans="5:86" x14ac:dyDescent="0.2">
      <c r="E68" s="174">
        <v>63</v>
      </c>
      <c r="F68" s="221">
        <f t="shared" si="119"/>
        <v>0.2646</v>
      </c>
      <c r="G68" s="221"/>
      <c r="H68" s="221">
        <f t="shared" si="67"/>
        <v>4.1013000000000002</v>
      </c>
      <c r="I68" s="551">
        <f t="shared" si="68"/>
        <v>12</v>
      </c>
      <c r="J68" s="176">
        <f t="shared" si="69"/>
        <v>16.399999999999999</v>
      </c>
      <c r="K68" s="451">
        <f t="shared" si="70"/>
        <v>28.4</v>
      </c>
      <c r="L68" s="451"/>
      <c r="M68" s="221">
        <f t="shared" si="71"/>
        <v>0.57746478873239437</v>
      </c>
      <c r="N68" s="176">
        <f t="shared" si="72"/>
        <v>12.78507042253521</v>
      </c>
      <c r="O68" s="176">
        <f t="shared" si="53"/>
        <v>4.1013000000000002</v>
      </c>
      <c r="P68" s="221">
        <f t="shared" si="73"/>
        <v>0.82484325306678774</v>
      </c>
      <c r="Q68" s="221">
        <f t="shared" si="74"/>
        <v>15.5</v>
      </c>
      <c r="R68" s="221">
        <f t="shared" si="75"/>
        <v>0.91649250340754196</v>
      </c>
      <c r="S68" s="176">
        <f t="shared" si="76"/>
        <v>71.821980195230452</v>
      </c>
      <c r="T68" s="176">
        <f t="shared" si="77"/>
        <v>15.5</v>
      </c>
      <c r="U68" s="221">
        <f t="shared" si="78"/>
        <v>1.3152317073170732</v>
      </c>
      <c r="V68" s="221">
        <f t="shared" si="79"/>
        <v>0.98642378048780488</v>
      </c>
      <c r="W68" s="221">
        <f t="shared" si="80"/>
        <v>0.72177349791790602</v>
      </c>
      <c r="X68" s="201">
        <f t="shared" si="81"/>
        <v>350</v>
      </c>
      <c r="Y68" s="451">
        <f t="shared" si="54"/>
        <v>350</v>
      </c>
      <c r="AA68" s="221">
        <f t="shared" si="82"/>
        <v>2.1998658618376927</v>
      </c>
      <c r="AB68" s="177">
        <f t="shared" si="83"/>
        <v>1.2072434607645877</v>
      </c>
      <c r="AC68" s="177">
        <f t="shared" si="84"/>
        <v>0.46476039334599145</v>
      </c>
      <c r="AD68" s="177"/>
      <c r="AE68" s="177">
        <f t="shared" si="85"/>
        <v>0.45</v>
      </c>
      <c r="AF68" s="555">
        <f t="shared" si="86"/>
        <v>1434.1463414634147</v>
      </c>
      <c r="AG68" s="538">
        <f t="shared" si="87"/>
        <v>6.4574999999999994E-2</v>
      </c>
      <c r="AI68" s="177">
        <f t="shared" si="88"/>
        <v>1.7496666349145864</v>
      </c>
      <c r="AJ68" s="177">
        <f t="shared" si="89"/>
        <v>1.7496666349145864</v>
      </c>
      <c r="AK68" s="177">
        <f t="shared" si="90"/>
        <v>1.8197777566097244</v>
      </c>
      <c r="AM68" s="555">
        <f t="shared" si="91"/>
        <v>264.60000000000002</v>
      </c>
      <c r="AN68" s="469">
        <f t="shared" si="92"/>
        <v>350</v>
      </c>
      <c r="AP68">
        <f t="shared" si="93"/>
        <v>264.60000000000002</v>
      </c>
      <c r="AQ68">
        <f t="shared" si="94"/>
        <v>350</v>
      </c>
      <c r="AS68" s="5">
        <f t="shared" si="55"/>
        <v>2.8571428571428572</v>
      </c>
      <c r="AT68" s="5">
        <f t="shared" si="95"/>
        <v>1.3122499761859399</v>
      </c>
      <c r="AU68" s="5">
        <f t="shared" si="56"/>
        <v>1.5448928809569173</v>
      </c>
      <c r="AV68" s="5">
        <f t="shared" si="96"/>
        <v>0.96018290940434625</v>
      </c>
      <c r="AW68" s="177">
        <f t="shared" si="57"/>
        <v>0.45928749166507893</v>
      </c>
      <c r="AX68" s="177">
        <f t="shared" si="97"/>
        <v>4.8216000000000001</v>
      </c>
      <c r="AY68" s="177">
        <f t="shared" si="98"/>
        <v>0.47303331745729338</v>
      </c>
      <c r="AZ68" s="177">
        <f t="shared" si="58"/>
        <v>10.192939528906029</v>
      </c>
      <c r="BA68" s="469">
        <f t="shared" si="99"/>
        <v>19.587372721622344</v>
      </c>
      <c r="BB68" s="469">
        <f t="shared" si="100"/>
        <v>13.406693827565986</v>
      </c>
      <c r="BC68" s="5">
        <f t="shared" si="101"/>
        <v>0.97778845257231561</v>
      </c>
      <c r="BD68" s="469">
        <f t="shared" si="102"/>
        <v>59.806557154338932</v>
      </c>
      <c r="BE68" s="5"/>
      <c r="BF68" s="177">
        <f t="shared" si="59"/>
        <v>0.68460015284285014</v>
      </c>
      <c r="BG68" s="177">
        <f t="shared" si="103"/>
        <v>0.74281025516075816</v>
      </c>
      <c r="BH68" s="177"/>
      <c r="BI68" s="538">
        <f t="shared" si="104"/>
        <v>5.155451061996992E-2</v>
      </c>
      <c r="BJ68" s="538">
        <f t="shared" si="105"/>
        <v>8.6958431755254958E-2</v>
      </c>
      <c r="BK68" s="538">
        <f t="shared" si="106"/>
        <v>1.7499999999999998E-2</v>
      </c>
      <c r="BL68" s="538">
        <f t="shared" si="107"/>
        <v>6.3516599999999993E-2</v>
      </c>
      <c r="BM68">
        <f t="shared" si="108"/>
        <v>3.48E-3</v>
      </c>
      <c r="BN68">
        <f t="shared" si="109"/>
        <v>2.4500000000000003E-5</v>
      </c>
      <c r="BO68" s="538">
        <f t="shared" si="110"/>
        <v>0.22517587185652926</v>
      </c>
      <c r="BP68" s="469">
        <f t="shared" si="60"/>
        <v>225.17587185652926</v>
      </c>
      <c r="BQ68" s="538">
        <f t="shared" si="111"/>
        <v>0.23814000000000002</v>
      </c>
      <c r="BR68" s="538"/>
      <c r="BT68" s="469">
        <f t="shared" si="61"/>
        <v>238.14000000000001</v>
      </c>
      <c r="BU68" s="538">
        <f t="shared" si="112"/>
        <v>2.2496513725077782E-2</v>
      </c>
      <c r="BV68" s="538">
        <f t="shared" si="113"/>
        <v>0.13242409804127775</v>
      </c>
      <c r="BW68" s="538">
        <f t="shared" si="114"/>
        <v>0</v>
      </c>
      <c r="BX68" s="538">
        <f t="shared" si="115"/>
        <v>0.15686473826366562</v>
      </c>
      <c r="BY68" s="538">
        <f t="shared" si="116"/>
        <v>5.3573333333333334E-2</v>
      </c>
      <c r="BZ68" s="469">
        <f t="shared" si="62"/>
        <v>210.43807159699895</v>
      </c>
      <c r="CA68" s="177">
        <f t="shared" si="63"/>
        <v>0.67375394345352824</v>
      </c>
      <c r="CB68" s="5">
        <f t="shared" si="64"/>
        <v>4.1013000000000002</v>
      </c>
      <c r="CC68" s="177">
        <f t="shared" si="65"/>
        <v>0.85890129170640539</v>
      </c>
      <c r="CD68" s="5">
        <f t="shared" si="66"/>
        <v>85.890129170640535</v>
      </c>
      <c r="CG68" s="571">
        <f t="shared" si="117"/>
        <v>-50</v>
      </c>
      <c r="CH68">
        <f t="shared" si="118"/>
        <v>-50</v>
      </c>
    </row>
    <row r="69" spans="5:86" x14ac:dyDescent="0.2">
      <c r="E69" s="174">
        <v>64</v>
      </c>
      <c r="F69" s="221">
        <f t="shared" si="119"/>
        <v>0.26879999999999998</v>
      </c>
      <c r="G69" s="221"/>
      <c r="H69" s="221">
        <f t="shared" ref="H69:H100" si="120">F69*Vout</f>
        <v>4.1663999999999994</v>
      </c>
      <c r="I69" s="551">
        <f t="shared" ref="I69:I105" si="121">Vin</f>
        <v>12</v>
      </c>
      <c r="J69" s="176">
        <f t="shared" ref="J69:J105" si="122">(T69+Vfwd1)*Nps</f>
        <v>16.399999999999999</v>
      </c>
      <c r="K69" s="451">
        <f t="shared" ref="K69:K105" si="123">(Vout+Vfwd1)*Nps+I69</f>
        <v>28.4</v>
      </c>
      <c r="L69" s="451"/>
      <c r="M69" s="221">
        <f t="shared" ref="M69:M105" si="124">(Vout+Vfwd1)*Nps/((Vout+Vfwd1)*Nps+I69)</f>
        <v>0.57746478873239437</v>
      </c>
      <c r="N69" s="176">
        <f t="shared" ref="N69:N100" si="125">M69*I69*Isw_max*0.5*Efficiency</f>
        <v>12.78507042253521</v>
      </c>
      <c r="O69" s="176">
        <f t="shared" si="53"/>
        <v>4.1663999999999994</v>
      </c>
      <c r="P69" s="221">
        <f t="shared" ref="P69:P100" si="126">N69/Vout</f>
        <v>0.82484325306678774</v>
      </c>
      <c r="Q69" s="221">
        <f t="shared" ref="Q69:Q105" si="127">MIN(Vout,N69/F69)</f>
        <v>15.5</v>
      </c>
      <c r="R69" s="221">
        <f t="shared" ref="R69:R100" si="128">Isw_max/2*I69*Nps*(Q69+Vfwd1)/Q69/(I69+Nps*(Q69+Vfwd1))</f>
        <v>0.91649250340754196</v>
      </c>
      <c r="S69" s="176">
        <f t="shared" ref="S69:S105" si="129">(SQRT(Isw_max^2*Nps^2*I69^2+4*Isw_max*F69/Efficiency*(Nps^2*Vfwd1*I69-Nps*I69^2)+4*(F69/Efficiency)^2*Nps^2*Vfwd1^2+8*(F69/Efficiency)^2*Nps*Vfwd1*I69+4*(F69/Efficiency)^2*I69^2)-2*F69/Efficiency*I69-2*F69/Efficiency*Nps*Vfwd1+Isw_max*Nps*I69)/(4*F69/Efficiency*Nps)</f>
        <v>70.51729530164566</v>
      </c>
      <c r="T69" s="176">
        <f t="shared" ref="T69:T100" si="130">MIN(Vout, S69)</f>
        <v>15.5</v>
      </c>
      <c r="U69" s="221">
        <f t="shared" ref="U69:U105" si="131">MIN(2*Vout*F69/(Efficiency*I69*M69), Isw_max)</f>
        <v>1.3361084010840105</v>
      </c>
      <c r="V69" s="221">
        <f t="shared" ref="V69:V100" si="132">L*U69/I69*1000000</f>
        <v>1.0020813008130078</v>
      </c>
      <c r="W69" s="221">
        <f t="shared" ref="W69:W105" si="133">L*U69/J69*1000000</f>
        <v>0.73323022010707906</v>
      </c>
      <c r="X69" s="201">
        <f t="shared" ref="X69:X105" si="134">IF(1/((350000*L)*(1/I69+1/J69))&gt;Isw_min, 350, 0.001/((Isw_min*L)*(1/I69+1/J69)))</f>
        <v>350</v>
      </c>
      <c r="Y69" s="451">
        <f t="shared" si="54"/>
        <v>350</v>
      </c>
      <c r="AA69" s="221">
        <f t="shared" ref="AA69:AA105" si="135">1/((X69*1000*L)*(1/I69+1/J69))</f>
        <v>2.1998658618376927</v>
      </c>
      <c r="AB69" s="177">
        <f t="shared" ref="AB69:AB100" si="136">L*AA69/J69*1000000</f>
        <v>1.2072434607645877</v>
      </c>
      <c r="AC69" s="177">
        <f t="shared" ref="AC69:AC100" si="137">0.5*AB69*AA69*Nps*X69/1000</f>
        <v>0.46476039334599145</v>
      </c>
      <c r="AD69" s="177"/>
      <c r="AE69" s="177">
        <f t="shared" ref="AE69:AE105" si="138">L*Isw_min/J69*1000000</f>
        <v>0.45</v>
      </c>
      <c r="AF69" s="555">
        <f t="shared" ref="AF69:AF100" si="139">MAX(12, F69/(0.5*AE69/1000000*Isw_min*Nps)/1000)</f>
        <v>1456.9105691056911</v>
      </c>
      <c r="AG69" s="538">
        <f t="shared" ref="AG69:AG105" si="140">0.5*AE69/1000000*Isw_min*Nps*X69*1000</f>
        <v>6.4574999999999994E-2</v>
      </c>
      <c r="AI69" s="177">
        <f t="shared" ref="AI69:AI105" si="141">SQRT(F69/Efficiency/(0.5*L/J69*Fsw_DCM*Nps))</f>
        <v>1.7634982069528522</v>
      </c>
      <c r="AJ69" s="177">
        <f t="shared" ref="AJ69:AJ100" si="142">MAX(IF(F69&gt;AC69,U69,AI69),Isw_min)</f>
        <v>1.7634982069528522</v>
      </c>
      <c r="AK69" s="177">
        <f t="shared" ref="AK69:AK100" si="143">IF(F69&gt;AG69, (AJ69-Isw_min)/1.2*0.8+1.2, AF69*0.2/350+1)</f>
        <v>1.8289988046352348</v>
      </c>
      <c r="AM69" s="555">
        <f t="shared" ref="AM69:AM105" si="144">F69*1000</f>
        <v>268.8</v>
      </c>
      <c r="AN69" s="469">
        <f t="shared" ref="AN69:AN105" si="145">IF(F69&gt;AG69, Y69, AF69)</f>
        <v>350</v>
      </c>
      <c r="AP69">
        <f t="shared" ref="AP69:AP105" si="146">IF(H69&gt;N69, "",AM69)</f>
        <v>268.8</v>
      </c>
      <c r="AQ69">
        <f t="shared" ref="AQ69:AQ105" si="147">IF(H69&gt;N69, "",AN69)</f>
        <v>350</v>
      </c>
      <c r="AS69" s="5">
        <f t="shared" si="55"/>
        <v>2.8571428571428572</v>
      </c>
      <c r="AT69" s="5">
        <f t="shared" ref="AT69:AT105" si="148">L*AJ69/I69*1000000</f>
        <v>1.3226236552146391</v>
      </c>
      <c r="AU69" s="5">
        <f t="shared" si="56"/>
        <v>1.5345192019282181</v>
      </c>
      <c r="AV69" s="5">
        <f t="shared" ref="AV69:AV105" si="149">L*AJ69/J69*1000000</f>
        <v>0.96777340625461405</v>
      </c>
      <c r="AW69" s="177">
        <f t="shared" si="57"/>
        <v>0.46291827932512369</v>
      </c>
      <c r="AX69" s="177">
        <f t="shared" ref="AX69:AX132" si="150">0.5*L*AJ69^2*AN69*1000</f>
        <v>4.8981333333333312</v>
      </c>
      <c r="AY69" s="177">
        <f t="shared" ref="AY69:AY132" si="151">AJ69*Nps/2*(1-AW69)</f>
        <v>0.47357132569864852</v>
      </c>
      <c r="AZ69" s="177">
        <f t="shared" si="58"/>
        <v>10.342968561509149</v>
      </c>
      <c r="BA69" s="469">
        <f t="shared" ref="BA69:BA105" si="152">L*Isw_max^2/(2*Vout_ripple*Vout)*1000000000*((1+M69)/2)^2</f>
        <v>19.587372721622344</v>
      </c>
      <c r="BB69" s="469">
        <f t="shared" ref="BB69:BB105" si="153">L*F69^2/(2*Cout*Vout*Nps^2)*1000000000*((1+M69)/(1-M69))^2+F69*RCoutEsr</f>
        <v>13.827147673900294</v>
      </c>
      <c r="BC69" s="5">
        <f t="shared" ref="BC69:BC105" si="154">H69/Efficiency/I69*AU69/Vinripple1</f>
        <v>0.98663901279532806</v>
      </c>
      <c r="BD69" s="469">
        <f t="shared" ref="BD69:BD105" si="155">((CB69/I69/Efficiency)*AU69/Cin+(CB69/I69/Efficiency)*RCinEsr)*1000</f>
        <v>60.355674101053026</v>
      </c>
      <c r="BE69" s="5"/>
      <c r="BF69" s="177">
        <f t="shared" si="59"/>
        <v>0.69273409002738828</v>
      </c>
      <c r="BG69" s="177">
        <f t="shared" ref="BG69:BG132" si="156">AJ69*Nps*SQRT((1-AW69)/3)</f>
        <v>0.74616449649026306</v>
      </c>
      <c r="BH69" s="177"/>
      <c r="BI69" s="538">
        <f t="shared" ref="BI69:BI105" si="157">Rdson*BF69^2</f>
        <v>5.2786857143468105E-2</v>
      </c>
      <c r="BJ69" s="538">
        <f t="shared" ref="BJ69:BJ105" si="158">0.5*K69*AJ69*AN69*1000*Trise</f>
        <v>8.7645860885556745E-2</v>
      </c>
      <c r="BK69" s="538">
        <f t="shared" ref="BK69:BK105" si="159">Qg*Vdd*AN69*1000</f>
        <v>1.7499999999999998E-2</v>
      </c>
      <c r="BL69" s="538">
        <f t="shared" ref="BL69:BL105" si="160">0.5*(Coss+Csw)*K69^2*AN69*1000</f>
        <v>6.3516599999999993E-2</v>
      </c>
      <c r="BM69">
        <f t="shared" ref="BM69:BM105" si="161">I69*IQ</f>
        <v>3.48E-3</v>
      </c>
      <c r="BN69">
        <f t="shared" ref="BN69:BN105" si="162">(I69-Vdd)*Qg*AN69</f>
        <v>2.4500000000000003E-5</v>
      </c>
      <c r="BO69" s="538">
        <f t="shared" ref="BO69:BO100" si="163">(BJ69+BK69+BL69+BM69+BN69+BI69*(1+RdsonTC*(Ta-25)))/(1-BI69*RdsonTC*ThetaJA)</f>
        <v>0.22716622972690331</v>
      </c>
      <c r="BP69" s="469">
        <f t="shared" si="60"/>
        <v>227.16622972690331</v>
      </c>
      <c r="BQ69" s="538">
        <f t="shared" ref="BQ69:BQ105" si="164">(Vfwd2*F69+BG69^2*Rdiode)*(1+Diode_TC/1000*(Ta-25))</f>
        <v>0.24192</v>
      </c>
      <c r="BR69" s="538"/>
      <c r="BT69" s="469">
        <f t="shared" si="61"/>
        <v>241.92</v>
      </c>
      <c r="BU69" s="538">
        <f t="shared" ref="BU69:BU105" si="165">Rdcr_pri*BF69^2</f>
        <v>2.3034264935331537E-2</v>
      </c>
      <c r="BV69" s="538">
        <f t="shared" ref="BV69:BV105" si="166">Rdcr_sec*BG69^2</f>
        <v>0.13362274939741625</v>
      </c>
      <c r="BW69" s="538">
        <f t="shared" ref="BW69:BW105" si="167">AJ69^2.5*AN69^2.5*k_core</f>
        <v>0</v>
      </c>
      <c r="BX69" s="538">
        <f t="shared" ref="BX69:BX100" si="168">(BW69+(BU69+BV69)*(1+Ltc*(Ta-25)))/(1-(BU69+BV69)*Ltc*ThetaCa)</f>
        <v>0.15864524557351842</v>
      </c>
      <c r="BY69" s="538">
        <f t="shared" ref="BY69:BY105" si="169">0.5*Lleak*0.000000001*AJ69^2*AN69*1000</f>
        <v>5.4423703703703682E-2</v>
      </c>
      <c r="BZ69" s="469">
        <f t="shared" si="62"/>
        <v>213.06894927722209</v>
      </c>
      <c r="CA69" s="177">
        <f t="shared" si="63"/>
        <v>0.68215517900412537</v>
      </c>
      <c r="CB69" s="5">
        <f t="shared" si="64"/>
        <v>4.1663999999999994</v>
      </c>
      <c r="CC69" s="177">
        <f t="shared" si="65"/>
        <v>0.85930753516880931</v>
      </c>
      <c r="CD69" s="5">
        <f t="shared" si="66"/>
        <v>85.930753516880927</v>
      </c>
      <c r="CG69" s="571">
        <f t="shared" ref="CG69:CG105" si="170">IF(ABS(F69-Ioutmax_Vinnom)&lt;Iout/200, AN69, -50)</f>
        <v>-50</v>
      </c>
      <c r="CH69">
        <f t="shared" ref="CH69:CH105" si="171">IF(ABS(F69-Ioutmax_Vinnom)&lt;Iout/200, N69*CC69, -50)</f>
        <v>-50</v>
      </c>
    </row>
    <row r="70" spans="5:86" x14ac:dyDescent="0.2">
      <c r="E70" s="174">
        <v>65</v>
      </c>
      <c r="F70" s="221">
        <f t="shared" ref="F70:F101" si="172">IF(PLOT_TYPE=1, E70/100*Iout_max, min_I*EXP(N70*rr/100))</f>
        <v>0.27300000000000002</v>
      </c>
      <c r="G70" s="221"/>
      <c r="H70" s="221">
        <f t="shared" si="120"/>
        <v>4.2315000000000005</v>
      </c>
      <c r="I70" s="551">
        <f t="shared" si="121"/>
        <v>12</v>
      </c>
      <c r="J70" s="176">
        <f t="shared" si="122"/>
        <v>16.399999999999999</v>
      </c>
      <c r="K70" s="451">
        <f t="shared" si="123"/>
        <v>28.4</v>
      </c>
      <c r="L70" s="451"/>
      <c r="M70" s="221">
        <f t="shared" si="124"/>
        <v>0.57746478873239437</v>
      </c>
      <c r="N70" s="176">
        <f t="shared" si="125"/>
        <v>12.78507042253521</v>
      </c>
      <c r="O70" s="176">
        <f t="shared" ref="O70:O133" si="173">T70*F70</f>
        <v>4.2315000000000005</v>
      </c>
      <c r="P70" s="221">
        <f t="shared" si="126"/>
        <v>0.82484325306678774</v>
      </c>
      <c r="Q70" s="221">
        <f t="shared" si="127"/>
        <v>15.5</v>
      </c>
      <c r="R70" s="221">
        <f t="shared" si="128"/>
        <v>0.91649250340754196</v>
      </c>
      <c r="S70" s="176">
        <f t="shared" si="129"/>
        <v>69.252850651907693</v>
      </c>
      <c r="T70" s="176">
        <f t="shared" si="130"/>
        <v>15.5</v>
      </c>
      <c r="U70" s="221">
        <f t="shared" si="131"/>
        <v>1.3569850948509485</v>
      </c>
      <c r="V70" s="221">
        <f t="shared" si="132"/>
        <v>1.0177388211382115</v>
      </c>
      <c r="W70" s="221">
        <f t="shared" si="133"/>
        <v>0.74468694229625232</v>
      </c>
      <c r="X70" s="201">
        <f t="shared" si="134"/>
        <v>350</v>
      </c>
      <c r="Y70" s="451">
        <f t="shared" ref="Y70:Y105" si="174">MIN(1/(V70+W70)*1000, 350)</f>
        <v>350</v>
      </c>
      <c r="AA70" s="221">
        <f t="shared" si="135"/>
        <v>2.1998658618376927</v>
      </c>
      <c r="AB70" s="177">
        <f t="shared" si="136"/>
        <v>1.2072434607645877</v>
      </c>
      <c r="AC70" s="177">
        <f t="shared" si="137"/>
        <v>0.46476039334599145</v>
      </c>
      <c r="AD70" s="177"/>
      <c r="AE70" s="177">
        <f t="shared" si="138"/>
        <v>0.45</v>
      </c>
      <c r="AF70" s="555">
        <f t="shared" si="139"/>
        <v>1479.6747967479675</v>
      </c>
      <c r="AG70" s="538">
        <f t="shared" si="140"/>
        <v>6.4574999999999994E-2</v>
      </c>
      <c r="AI70" s="177">
        <f t="shared" si="141"/>
        <v>1.7772221353895292</v>
      </c>
      <c r="AJ70" s="177">
        <f t="shared" si="89"/>
        <v>1.7772221353895292</v>
      </c>
      <c r="AK70" s="177">
        <f t="shared" si="143"/>
        <v>1.8381480902596863</v>
      </c>
      <c r="AM70" s="555">
        <f t="shared" si="144"/>
        <v>273</v>
      </c>
      <c r="AN70" s="469">
        <f t="shared" si="145"/>
        <v>350</v>
      </c>
      <c r="AP70">
        <f t="shared" si="146"/>
        <v>273</v>
      </c>
      <c r="AQ70">
        <f t="shared" si="147"/>
        <v>350</v>
      </c>
      <c r="AS70" s="5">
        <f t="shared" ref="AS70:AS133" si="175">1/AN70*1000</f>
        <v>2.8571428571428572</v>
      </c>
      <c r="AT70" s="5">
        <f t="shared" si="148"/>
        <v>1.332916601542147</v>
      </c>
      <c r="AU70" s="5">
        <f t="shared" ref="AU70:AU105" si="176">AS70-AT70</f>
        <v>1.5242262556007102</v>
      </c>
      <c r="AV70" s="5">
        <f t="shared" si="149"/>
        <v>0.97530483039669302</v>
      </c>
      <c r="AW70" s="177">
        <f t="shared" ref="AW70:AW105" si="177">AT70/AS70</f>
        <v>0.46652081053975142</v>
      </c>
      <c r="AX70" s="177">
        <f t="shared" si="150"/>
        <v>4.9746666666666659</v>
      </c>
      <c r="AY70" s="177">
        <f t="shared" si="151"/>
        <v>0.47405551213920916</v>
      </c>
      <c r="AZ70" s="177">
        <f t="shared" ref="AZ70:AZ133" si="178">AX70/AY70</f>
        <v>10.493848376993085</v>
      </c>
      <c r="BA70" s="469">
        <f t="shared" si="152"/>
        <v>19.587372721622344</v>
      </c>
      <c r="BB70" s="469">
        <f t="shared" si="153"/>
        <v>14.254090557184755</v>
      </c>
      <c r="BC70" s="5">
        <f t="shared" si="154"/>
        <v>0.99533385811333408</v>
      </c>
      <c r="BD70" s="469">
        <f t="shared" si="155"/>
        <v>60.895448153466717</v>
      </c>
      <c r="BE70" s="5"/>
      <c r="BF70" s="177">
        <f t="shared" ref="BF70:BF133" si="179">AJ70*SQRT(AW70/3)</f>
        <v>0.7008363145471449</v>
      </c>
      <c r="BG70" s="177">
        <f t="shared" si="156"/>
        <v>0.74944510565138445</v>
      </c>
      <c r="BH70" s="177"/>
      <c r="BI70" s="538">
        <f t="shared" si="157"/>
        <v>5.4028869376682713E-2</v>
      </c>
      <c r="BJ70" s="538">
        <f t="shared" si="158"/>
        <v>8.8327940128859625E-2</v>
      </c>
      <c r="BK70" s="538">
        <f t="shared" si="159"/>
        <v>1.7499999999999998E-2</v>
      </c>
      <c r="BL70" s="538">
        <f t="shared" si="160"/>
        <v>6.3516599999999993E-2</v>
      </c>
      <c r="BM70">
        <f t="shared" si="161"/>
        <v>3.48E-3</v>
      </c>
      <c r="BN70">
        <f t="shared" si="162"/>
        <v>2.4500000000000003E-5</v>
      </c>
      <c r="BO70" s="538">
        <f t="shared" si="163"/>
        <v>0.22916227384984333</v>
      </c>
      <c r="BP70" s="469">
        <f t="shared" ref="BP70:BP105" si="180">BO70*1000</f>
        <v>229.16227384984333</v>
      </c>
      <c r="BQ70" s="538">
        <f t="shared" si="164"/>
        <v>0.24570000000000003</v>
      </c>
      <c r="BR70" s="538"/>
      <c r="BT70" s="469">
        <f t="shared" ref="BT70:BT105" si="181">SUM(BQ70:BS70)*1000</f>
        <v>245.70000000000002</v>
      </c>
      <c r="BU70" s="538">
        <f t="shared" si="165"/>
        <v>2.3576233909825182E-2</v>
      </c>
      <c r="BV70" s="538">
        <f t="shared" si="166"/>
        <v>0.13480031193235553</v>
      </c>
      <c r="BW70" s="538">
        <f t="shared" si="167"/>
        <v>0</v>
      </c>
      <c r="BX70" s="538">
        <f t="shared" si="168"/>
        <v>0.16040894703851197</v>
      </c>
      <c r="BY70" s="538">
        <f t="shared" si="169"/>
        <v>5.527407407407408E-2</v>
      </c>
      <c r="BZ70" s="469">
        <f t="shared" ref="BZ70:BZ105" si="182">1000*(BX70+BY70)</f>
        <v>215.68302111258606</v>
      </c>
      <c r="CA70" s="177">
        <f t="shared" ref="CA70:CA105" si="183">SUM(BO70,BQ70:BS70,BX70, BY70)</f>
        <v>0.69054529496242933</v>
      </c>
      <c r="CB70" s="5">
        <f t="shared" ref="CB70:CB105" si="184">MIN(H70,O70)</f>
        <v>4.2315000000000005</v>
      </c>
      <c r="CC70" s="177">
        <f t="shared" ref="CC70:CC105" si="185">CB70/(CB70+CA70)</f>
        <v>0.85970358792325974</v>
      </c>
      <c r="CD70" s="5">
        <f t="shared" ref="CD70:CD105" si="186">CC70*100</f>
        <v>85.970358792325968</v>
      </c>
      <c r="CG70" s="571">
        <f t="shared" si="170"/>
        <v>-50</v>
      </c>
      <c r="CH70">
        <f t="shared" si="171"/>
        <v>-50</v>
      </c>
    </row>
    <row r="71" spans="5:86" x14ac:dyDescent="0.2">
      <c r="E71" s="174">
        <v>66</v>
      </c>
      <c r="F71" s="221">
        <f t="shared" si="172"/>
        <v>0.2772</v>
      </c>
      <c r="G71" s="221"/>
      <c r="H71" s="221">
        <f t="shared" si="120"/>
        <v>4.2965999999999998</v>
      </c>
      <c r="I71" s="551">
        <f t="shared" si="121"/>
        <v>12</v>
      </c>
      <c r="J71" s="176">
        <f t="shared" si="122"/>
        <v>16.399999999999999</v>
      </c>
      <c r="K71" s="451">
        <f t="shared" si="123"/>
        <v>28.4</v>
      </c>
      <c r="L71" s="451"/>
      <c r="M71" s="221">
        <f t="shared" si="124"/>
        <v>0.57746478873239437</v>
      </c>
      <c r="N71" s="176">
        <f t="shared" si="125"/>
        <v>12.78507042253521</v>
      </c>
      <c r="O71" s="176">
        <f t="shared" si="173"/>
        <v>4.2965999999999998</v>
      </c>
      <c r="P71" s="221">
        <f t="shared" si="126"/>
        <v>0.82484325306678774</v>
      </c>
      <c r="Q71" s="221">
        <f t="shared" si="127"/>
        <v>15.5</v>
      </c>
      <c r="R71" s="221">
        <f t="shared" si="128"/>
        <v>0.91649250340754196</v>
      </c>
      <c r="S71" s="176">
        <f t="shared" si="129"/>
        <v>68.026817794302275</v>
      </c>
      <c r="T71" s="176">
        <f t="shared" si="130"/>
        <v>15.5</v>
      </c>
      <c r="U71" s="221">
        <f t="shared" si="131"/>
        <v>1.3778617886178859</v>
      </c>
      <c r="V71" s="221">
        <f t="shared" si="132"/>
        <v>1.0333963414634144</v>
      </c>
      <c r="W71" s="221">
        <f t="shared" si="133"/>
        <v>0.75614366448542525</v>
      </c>
      <c r="X71" s="201">
        <f t="shared" si="134"/>
        <v>350</v>
      </c>
      <c r="Y71" s="451">
        <f t="shared" si="174"/>
        <v>350</v>
      </c>
      <c r="AA71" s="221">
        <f t="shared" si="135"/>
        <v>2.1998658618376927</v>
      </c>
      <c r="AB71" s="177">
        <f t="shared" si="136"/>
        <v>1.2072434607645877</v>
      </c>
      <c r="AC71" s="177">
        <f t="shared" si="137"/>
        <v>0.46476039334599145</v>
      </c>
      <c r="AD71" s="177"/>
      <c r="AE71" s="177">
        <f t="shared" si="138"/>
        <v>0.45</v>
      </c>
      <c r="AF71" s="555">
        <f t="shared" si="139"/>
        <v>1502.439024390244</v>
      </c>
      <c r="AG71" s="538">
        <f t="shared" si="140"/>
        <v>6.4574999999999994E-2</v>
      </c>
      <c r="AI71" s="177">
        <f t="shared" si="141"/>
        <v>1.7908408949739534</v>
      </c>
      <c r="AJ71" s="177">
        <f t="shared" si="89"/>
        <v>1.7908408949739534</v>
      </c>
      <c r="AK71" s="177">
        <f t="shared" si="143"/>
        <v>1.847227263315969</v>
      </c>
      <c r="AM71" s="555">
        <f t="shared" si="144"/>
        <v>277.2</v>
      </c>
      <c r="AN71" s="469">
        <f t="shared" si="145"/>
        <v>350</v>
      </c>
      <c r="AP71">
        <f t="shared" si="146"/>
        <v>277.2</v>
      </c>
      <c r="AQ71">
        <f t="shared" si="147"/>
        <v>350</v>
      </c>
      <c r="AS71" s="5">
        <f t="shared" si="175"/>
        <v>2.8571428571428572</v>
      </c>
      <c r="AT71" s="5">
        <f t="shared" si="148"/>
        <v>1.3431306712304651</v>
      </c>
      <c r="AU71" s="5">
        <f t="shared" si="176"/>
        <v>1.5140121859123921</v>
      </c>
      <c r="AV71" s="5">
        <f t="shared" si="149"/>
        <v>0.98277853992473074</v>
      </c>
      <c r="AW71" s="177">
        <f t="shared" si="177"/>
        <v>0.47009573493066281</v>
      </c>
      <c r="AX71" s="177">
        <f t="shared" si="150"/>
        <v>5.0511999999999988</v>
      </c>
      <c r="AY71" s="177">
        <f t="shared" si="151"/>
        <v>0.47448711415364342</v>
      </c>
      <c r="AZ71" s="177">
        <f t="shared" si="178"/>
        <v>10.645599952719417</v>
      </c>
      <c r="BA71" s="469">
        <f t="shared" si="152"/>
        <v>19.587372721622344</v>
      </c>
      <c r="BB71" s="469">
        <f t="shared" si="153"/>
        <v>14.687522477419364</v>
      </c>
      <c r="BC71" s="5">
        <f t="shared" si="154"/>
        <v>1.003874191048022</v>
      </c>
      <c r="BD71" s="469">
        <f t="shared" si="155"/>
        <v>61.425951462881329</v>
      </c>
      <c r="BE71" s="5"/>
      <c r="BF71" s="177">
        <f t="shared" si="179"/>
        <v>0.70890743513806087</v>
      </c>
      <c r="BG71" s="177">
        <f t="shared" si="156"/>
        <v>0.75265349626704903</v>
      </c>
      <c r="BH71" s="177"/>
      <c r="BI71" s="538">
        <f t="shared" si="157"/>
        <v>5.5280472675342633E-2</v>
      </c>
      <c r="BJ71" s="538">
        <f t="shared" si="158"/>
        <v>8.9004792480205486E-2</v>
      </c>
      <c r="BK71" s="538">
        <f t="shared" si="159"/>
        <v>1.7499999999999998E-2</v>
      </c>
      <c r="BL71" s="538">
        <f t="shared" si="160"/>
        <v>6.3516599999999993E-2</v>
      </c>
      <c r="BM71">
        <f t="shared" si="161"/>
        <v>3.48E-3</v>
      </c>
      <c r="BN71">
        <f t="shared" si="162"/>
        <v>2.4500000000000003E-5</v>
      </c>
      <c r="BO71" s="538">
        <f t="shared" si="163"/>
        <v>0.2311640645961088</v>
      </c>
      <c r="BP71" s="469">
        <f t="shared" si="180"/>
        <v>231.1640645961088</v>
      </c>
      <c r="BQ71" s="538">
        <f t="shared" si="164"/>
        <v>0.24948000000000001</v>
      </c>
      <c r="BR71" s="538"/>
      <c r="BT71" s="469">
        <f t="shared" si="181"/>
        <v>249.48000000000002</v>
      </c>
      <c r="BU71" s="538">
        <f t="shared" si="165"/>
        <v>2.4122388076513148E-2</v>
      </c>
      <c r="BV71" s="538">
        <f t="shared" si="166"/>
        <v>0.13595694850632306</v>
      </c>
      <c r="BW71" s="538">
        <f t="shared" si="167"/>
        <v>0</v>
      </c>
      <c r="BX71" s="538">
        <f t="shared" si="168"/>
        <v>0.16215596208957628</v>
      </c>
      <c r="BY71" s="538">
        <f t="shared" si="169"/>
        <v>5.6124444444444435E-2</v>
      </c>
      <c r="BZ71" s="469">
        <f t="shared" si="182"/>
        <v>218.2804065340207</v>
      </c>
      <c r="CA71" s="177">
        <f t="shared" si="183"/>
        <v>0.69892447113012945</v>
      </c>
      <c r="CB71" s="5">
        <f t="shared" si="184"/>
        <v>4.2965999999999998</v>
      </c>
      <c r="CC71" s="177">
        <f t="shared" si="185"/>
        <v>0.86008987141003579</v>
      </c>
      <c r="CD71" s="5">
        <f t="shared" si="186"/>
        <v>86.008987141003573</v>
      </c>
      <c r="CG71" s="571">
        <f t="shared" si="170"/>
        <v>-50</v>
      </c>
      <c r="CH71">
        <f t="shared" si="171"/>
        <v>-50</v>
      </c>
    </row>
    <row r="72" spans="5:86" x14ac:dyDescent="0.2">
      <c r="E72" s="174">
        <v>67</v>
      </c>
      <c r="F72" s="221">
        <f t="shared" si="172"/>
        <v>0.28139999999999998</v>
      </c>
      <c r="G72" s="221"/>
      <c r="H72" s="221">
        <f t="shared" si="120"/>
        <v>4.3616999999999999</v>
      </c>
      <c r="I72" s="551">
        <f t="shared" si="121"/>
        <v>12</v>
      </c>
      <c r="J72" s="176">
        <f t="shared" si="122"/>
        <v>16.399999999999999</v>
      </c>
      <c r="K72" s="451">
        <f t="shared" si="123"/>
        <v>28.4</v>
      </c>
      <c r="L72" s="451"/>
      <c r="M72" s="221">
        <f t="shared" si="124"/>
        <v>0.57746478873239437</v>
      </c>
      <c r="N72" s="176">
        <f t="shared" si="125"/>
        <v>12.78507042253521</v>
      </c>
      <c r="O72" s="176">
        <f t="shared" si="173"/>
        <v>4.3616999999999999</v>
      </c>
      <c r="P72" s="221">
        <f t="shared" si="126"/>
        <v>0.82484325306678774</v>
      </c>
      <c r="Q72" s="221">
        <f t="shared" si="127"/>
        <v>15.5</v>
      </c>
      <c r="R72" s="221">
        <f t="shared" si="128"/>
        <v>0.91649250340754196</v>
      </c>
      <c r="S72" s="176">
        <f t="shared" si="129"/>
        <v>66.837477443511517</v>
      </c>
      <c r="T72" s="176">
        <f t="shared" si="130"/>
        <v>15.5</v>
      </c>
      <c r="U72" s="221">
        <f t="shared" si="131"/>
        <v>1.3987384823848237</v>
      </c>
      <c r="V72" s="221">
        <f t="shared" si="132"/>
        <v>1.0490538617886178</v>
      </c>
      <c r="W72" s="221">
        <f t="shared" si="133"/>
        <v>0.7676003866745984</v>
      </c>
      <c r="X72" s="201">
        <f t="shared" si="134"/>
        <v>350</v>
      </c>
      <c r="Y72" s="451">
        <f t="shared" si="174"/>
        <v>350</v>
      </c>
      <c r="AA72" s="221">
        <f t="shared" si="135"/>
        <v>2.1998658618376927</v>
      </c>
      <c r="AB72" s="177">
        <f t="shared" si="136"/>
        <v>1.2072434607645877</v>
      </c>
      <c r="AC72" s="177">
        <f t="shared" si="137"/>
        <v>0.46476039334599145</v>
      </c>
      <c r="AD72" s="177"/>
      <c r="AE72" s="177">
        <f t="shared" si="138"/>
        <v>0.45</v>
      </c>
      <c r="AF72" s="555">
        <f t="shared" si="139"/>
        <v>1525.2032520325201</v>
      </c>
      <c r="AG72" s="538">
        <f t="shared" si="140"/>
        <v>6.4574999999999994E-2</v>
      </c>
      <c r="AI72" s="177">
        <f t="shared" si="141"/>
        <v>1.8043568670592032</v>
      </c>
      <c r="AJ72" s="177">
        <f t="shared" si="142"/>
        <v>1.8043568670592032</v>
      </c>
      <c r="AK72" s="177">
        <f t="shared" si="143"/>
        <v>1.8562379113728023</v>
      </c>
      <c r="AM72" s="555">
        <f t="shared" si="144"/>
        <v>281.39999999999998</v>
      </c>
      <c r="AN72" s="469">
        <f t="shared" si="145"/>
        <v>350</v>
      </c>
      <c r="AP72">
        <f t="shared" si="146"/>
        <v>281.39999999999998</v>
      </c>
      <c r="AQ72">
        <f t="shared" si="147"/>
        <v>350</v>
      </c>
      <c r="AS72" s="5">
        <f t="shared" si="175"/>
        <v>2.8571428571428572</v>
      </c>
      <c r="AT72" s="5">
        <f t="shared" si="148"/>
        <v>1.3532676502944025</v>
      </c>
      <c r="AU72" s="5">
        <f t="shared" si="176"/>
        <v>1.5038752068484547</v>
      </c>
      <c r="AV72" s="5">
        <f t="shared" si="149"/>
        <v>0.99019584167883112</v>
      </c>
      <c r="AW72" s="177">
        <f t="shared" si="177"/>
        <v>0.47364367760304088</v>
      </c>
      <c r="AX72" s="177">
        <f t="shared" si="150"/>
        <v>5.1277333333333317</v>
      </c>
      <c r="AY72" s="177">
        <f t="shared" si="151"/>
        <v>0.47486732241849056</v>
      </c>
      <c r="AZ72" s="177">
        <f t="shared" si="178"/>
        <v>10.798244248978598</v>
      </c>
      <c r="BA72" s="469">
        <f t="shared" si="152"/>
        <v>19.587372721622344</v>
      </c>
      <c r="BB72" s="469">
        <f t="shared" si="153"/>
        <v>15.127443434604109</v>
      </c>
      <c r="BC72" s="5">
        <f t="shared" si="154"/>
        <v>1.0122611866837812</v>
      </c>
      <c r="BD72" s="469">
        <f t="shared" si="155"/>
        <v>61.947254534360226</v>
      </c>
      <c r="BE72" s="5"/>
      <c r="BF72" s="177">
        <f t="shared" si="179"/>
        <v>0.71694803982066069</v>
      </c>
      <c r="BG72" s="177">
        <f t="shared" si="156"/>
        <v>0.75579102673857324</v>
      </c>
      <c r="BH72" s="177"/>
      <c r="BI72" s="538">
        <f t="shared" si="157"/>
        <v>5.6541594098295643E-2</v>
      </c>
      <c r="BJ72" s="538">
        <f t="shared" si="158"/>
        <v>8.967653629284239E-2</v>
      </c>
      <c r="BK72" s="538">
        <f t="shared" si="159"/>
        <v>1.7499999999999998E-2</v>
      </c>
      <c r="BL72" s="538">
        <f t="shared" si="160"/>
        <v>6.3516599999999993E-2</v>
      </c>
      <c r="BM72">
        <f t="shared" si="161"/>
        <v>3.48E-3</v>
      </c>
      <c r="BN72">
        <f t="shared" si="162"/>
        <v>2.4500000000000003E-5</v>
      </c>
      <c r="BO72" s="538">
        <f t="shared" si="163"/>
        <v>0.23317165944736046</v>
      </c>
      <c r="BP72" s="469">
        <f t="shared" si="180"/>
        <v>233.17165944736047</v>
      </c>
      <c r="BQ72" s="538">
        <f t="shared" si="164"/>
        <v>0.25325999999999999</v>
      </c>
      <c r="BR72" s="538"/>
      <c r="BT72" s="469">
        <f t="shared" si="181"/>
        <v>253.26</v>
      </c>
      <c r="BU72" s="538">
        <f t="shared" si="165"/>
        <v>2.4672695606529009E-2</v>
      </c>
      <c r="BV72" s="538">
        <f t="shared" si="166"/>
        <v>0.13709281826365122</v>
      </c>
      <c r="BW72" s="538">
        <f t="shared" si="167"/>
        <v>0</v>
      </c>
      <c r="BX72" s="538">
        <f t="shared" si="168"/>
        <v>0.16388640738270835</v>
      </c>
      <c r="BY72" s="538">
        <f t="shared" si="169"/>
        <v>5.6974814814814811E-2</v>
      </c>
      <c r="BZ72" s="469">
        <f t="shared" si="182"/>
        <v>220.86122219752315</v>
      </c>
      <c r="CA72" s="177">
        <f t="shared" si="183"/>
        <v>0.70729288164488358</v>
      </c>
      <c r="CB72" s="5">
        <f t="shared" si="184"/>
        <v>4.3616999999999999</v>
      </c>
      <c r="CC72" s="177">
        <f t="shared" si="185"/>
        <v>0.86046678341056038</v>
      </c>
      <c r="CD72" s="5">
        <f t="shared" si="186"/>
        <v>86.046678341056037</v>
      </c>
      <c r="CG72" s="571">
        <f t="shared" si="170"/>
        <v>-50</v>
      </c>
      <c r="CH72">
        <f t="shared" si="171"/>
        <v>-50</v>
      </c>
    </row>
    <row r="73" spans="5:86" x14ac:dyDescent="0.2">
      <c r="E73" s="174">
        <v>68</v>
      </c>
      <c r="F73" s="221">
        <f t="shared" si="172"/>
        <v>0.28560000000000002</v>
      </c>
      <c r="G73" s="221"/>
      <c r="H73" s="221">
        <f t="shared" si="120"/>
        <v>4.4268000000000001</v>
      </c>
      <c r="I73" s="551">
        <f t="shared" si="121"/>
        <v>12</v>
      </c>
      <c r="J73" s="176">
        <f t="shared" si="122"/>
        <v>16.399999999999999</v>
      </c>
      <c r="K73" s="451">
        <f t="shared" si="123"/>
        <v>28.4</v>
      </c>
      <c r="L73" s="451"/>
      <c r="M73" s="221">
        <f t="shared" si="124"/>
        <v>0.57746478873239437</v>
      </c>
      <c r="N73" s="176">
        <f t="shared" si="125"/>
        <v>12.78507042253521</v>
      </c>
      <c r="O73" s="176">
        <f t="shared" si="173"/>
        <v>4.4268000000000001</v>
      </c>
      <c r="P73" s="221">
        <f t="shared" si="126"/>
        <v>0.82484325306678774</v>
      </c>
      <c r="Q73" s="221">
        <f t="shared" si="127"/>
        <v>15.5</v>
      </c>
      <c r="R73" s="221">
        <f t="shared" si="128"/>
        <v>0.91649250340754196</v>
      </c>
      <c r="S73" s="176">
        <f t="shared" si="129"/>
        <v>65.683211453712971</v>
      </c>
      <c r="T73" s="176">
        <f t="shared" si="130"/>
        <v>15.5</v>
      </c>
      <c r="U73" s="221">
        <f t="shared" si="131"/>
        <v>1.4196151761517615</v>
      </c>
      <c r="V73" s="221">
        <f t="shared" si="132"/>
        <v>1.0647113821138212</v>
      </c>
      <c r="W73" s="221">
        <f t="shared" si="133"/>
        <v>0.77905710886377166</v>
      </c>
      <c r="X73" s="201">
        <f t="shared" si="134"/>
        <v>350</v>
      </c>
      <c r="Y73" s="451">
        <f t="shared" si="174"/>
        <v>350</v>
      </c>
      <c r="AA73" s="221">
        <f t="shared" si="135"/>
        <v>2.1998658618376927</v>
      </c>
      <c r="AB73" s="177">
        <f t="shared" si="136"/>
        <v>1.2072434607645877</v>
      </c>
      <c r="AC73" s="177">
        <f t="shared" si="137"/>
        <v>0.46476039334599145</v>
      </c>
      <c r="AD73" s="177"/>
      <c r="AE73" s="177">
        <f t="shared" si="138"/>
        <v>0.45</v>
      </c>
      <c r="AF73" s="555">
        <f t="shared" si="139"/>
        <v>1547.967479674797</v>
      </c>
      <c r="AG73" s="538">
        <f t="shared" si="140"/>
        <v>6.4574999999999994E-2</v>
      </c>
      <c r="AI73" s="177">
        <f t="shared" si="141"/>
        <v>1.8177723444634908</v>
      </c>
      <c r="AJ73" s="177">
        <f t="shared" si="142"/>
        <v>1.8177723444634908</v>
      </c>
      <c r="AK73" s="177">
        <f t="shared" si="143"/>
        <v>1.8651815629756605</v>
      </c>
      <c r="AM73" s="555">
        <f t="shared" si="144"/>
        <v>285.60000000000002</v>
      </c>
      <c r="AN73" s="469">
        <f t="shared" si="145"/>
        <v>350</v>
      </c>
      <c r="AP73">
        <f t="shared" si="146"/>
        <v>285.60000000000002</v>
      </c>
      <c r="AQ73">
        <f t="shared" si="147"/>
        <v>350</v>
      </c>
      <c r="AS73" s="5">
        <f t="shared" si="175"/>
        <v>2.8571428571428572</v>
      </c>
      <c r="AT73" s="5">
        <f t="shared" si="148"/>
        <v>1.363329258347618</v>
      </c>
      <c r="AU73" s="5">
        <f t="shared" si="176"/>
        <v>1.4938135987952392</v>
      </c>
      <c r="AV73" s="5">
        <f t="shared" si="149"/>
        <v>0.99755799391289124</v>
      </c>
      <c r="AW73" s="177">
        <f t="shared" si="177"/>
        <v>0.4771652404216663</v>
      </c>
      <c r="AX73" s="177">
        <f t="shared" si="150"/>
        <v>5.2042666666666664</v>
      </c>
      <c r="AY73" s="177">
        <f t="shared" si="151"/>
        <v>0.4751972833428566</v>
      </c>
      <c r="AZ73" s="177">
        <f t="shared" si="178"/>
        <v>10.95180222844786</v>
      </c>
      <c r="BA73" s="469">
        <f t="shared" si="152"/>
        <v>19.587372721622344</v>
      </c>
      <c r="BB73" s="469">
        <f t="shared" si="153"/>
        <v>15.573853428739008</v>
      </c>
      <c r="BC73" s="5">
        <f t="shared" si="154"/>
        <v>1.0204959936954883</v>
      </c>
      <c r="BD73" s="469">
        <f t="shared" si="155"/>
        <v>62.45942628839596</v>
      </c>
      <c r="BE73" s="5"/>
      <c r="BF73" s="177">
        <f t="shared" si="179"/>
        <v>0.72495869690317383</v>
      </c>
      <c r="BG73" s="177">
        <f t="shared" si="156"/>
        <v>0.75885900307625276</v>
      </c>
      <c r="BH73" s="177"/>
      <c r="BI73" s="538">
        <f t="shared" si="157"/>
        <v>5.7812162343710262E-2</v>
      </c>
      <c r="BJ73" s="538">
        <f t="shared" si="158"/>
        <v>9.0343285519835503E-2</v>
      </c>
      <c r="BK73" s="538">
        <f t="shared" si="159"/>
        <v>1.7499999999999998E-2</v>
      </c>
      <c r="BL73" s="538">
        <f t="shared" si="160"/>
        <v>6.3516599999999993E-2</v>
      </c>
      <c r="BM73">
        <f t="shared" si="161"/>
        <v>3.48E-3</v>
      </c>
      <c r="BN73">
        <f t="shared" si="162"/>
        <v>2.4500000000000003E-5</v>
      </c>
      <c r="BO73" s="538">
        <f t="shared" si="163"/>
        <v>0.23518511317313801</v>
      </c>
      <c r="BP73" s="469">
        <f t="shared" si="180"/>
        <v>235.18511317313801</v>
      </c>
      <c r="BQ73" s="538">
        <f t="shared" si="164"/>
        <v>0.25704000000000005</v>
      </c>
      <c r="BR73" s="538"/>
      <c r="BT73" s="469">
        <f t="shared" si="181"/>
        <v>257.04000000000002</v>
      </c>
      <c r="BU73" s="538">
        <f t="shared" si="165"/>
        <v>2.5227125386346295E-2</v>
      </c>
      <c r="BV73" s="538">
        <f t="shared" si="166"/>
        <v>0.13820807677197219</v>
      </c>
      <c r="BW73" s="538">
        <f t="shared" si="167"/>
        <v>0</v>
      </c>
      <c r="BX73" s="538">
        <f t="shared" si="168"/>
        <v>0.16560039690598469</v>
      </c>
      <c r="BY73" s="538">
        <f t="shared" si="169"/>
        <v>5.7825185185185181E-2</v>
      </c>
      <c r="BZ73" s="469">
        <f t="shared" si="182"/>
        <v>223.42558209116987</v>
      </c>
      <c r="CA73" s="177">
        <f t="shared" si="183"/>
        <v>0.71565069526430791</v>
      </c>
      <c r="CB73" s="5">
        <f t="shared" si="184"/>
        <v>4.4268000000000001</v>
      </c>
      <c r="CC73" s="177">
        <f t="shared" si="185"/>
        <v>0.86083469970390736</v>
      </c>
      <c r="CD73" s="5">
        <f t="shared" si="186"/>
        <v>86.083469970390738</v>
      </c>
      <c r="CG73" s="571">
        <f t="shared" si="170"/>
        <v>-50</v>
      </c>
      <c r="CH73">
        <f t="shared" si="171"/>
        <v>-50</v>
      </c>
    </row>
    <row r="74" spans="5:86" x14ac:dyDescent="0.2">
      <c r="E74" s="174">
        <v>69</v>
      </c>
      <c r="F74" s="221">
        <f t="shared" si="172"/>
        <v>0.28979999999999995</v>
      </c>
      <c r="G74" s="221"/>
      <c r="H74" s="221">
        <f t="shared" si="120"/>
        <v>4.4918999999999993</v>
      </c>
      <c r="I74" s="551">
        <f t="shared" si="121"/>
        <v>12</v>
      </c>
      <c r="J74" s="176">
        <f t="shared" si="122"/>
        <v>16.399999999999999</v>
      </c>
      <c r="K74" s="451">
        <f t="shared" si="123"/>
        <v>28.4</v>
      </c>
      <c r="L74" s="451"/>
      <c r="M74" s="221">
        <f t="shared" si="124"/>
        <v>0.57746478873239437</v>
      </c>
      <c r="N74" s="176">
        <f t="shared" si="125"/>
        <v>12.78507042253521</v>
      </c>
      <c r="O74" s="176">
        <f t="shared" si="173"/>
        <v>4.4918999999999993</v>
      </c>
      <c r="P74" s="221">
        <f t="shared" si="126"/>
        <v>0.82484325306678774</v>
      </c>
      <c r="Q74" s="221">
        <f t="shared" si="127"/>
        <v>15.5</v>
      </c>
      <c r="R74" s="221">
        <f t="shared" si="128"/>
        <v>0.91649250340754196</v>
      </c>
      <c r="S74" s="176">
        <f t="shared" si="129"/>
        <v>64.56249548967061</v>
      </c>
      <c r="T74" s="176">
        <f t="shared" si="130"/>
        <v>15.5</v>
      </c>
      <c r="U74" s="221">
        <f t="shared" si="131"/>
        <v>1.4404918699186988</v>
      </c>
      <c r="V74" s="221">
        <f t="shared" si="132"/>
        <v>1.0803689024390242</v>
      </c>
      <c r="W74" s="221">
        <f t="shared" si="133"/>
        <v>0.79051383105294459</v>
      </c>
      <c r="X74" s="201">
        <f t="shared" si="134"/>
        <v>350</v>
      </c>
      <c r="Y74" s="451">
        <f t="shared" si="174"/>
        <v>350</v>
      </c>
      <c r="AA74" s="221">
        <f t="shared" si="135"/>
        <v>2.1998658618376927</v>
      </c>
      <c r="AB74" s="177">
        <f t="shared" si="136"/>
        <v>1.2072434607645877</v>
      </c>
      <c r="AC74" s="177">
        <f t="shared" si="137"/>
        <v>0.46476039334599145</v>
      </c>
      <c r="AD74" s="177"/>
      <c r="AE74" s="177">
        <f t="shared" si="138"/>
        <v>0.45</v>
      </c>
      <c r="AF74" s="555">
        <f t="shared" si="139"/>
        <v>1570.731707317073</v>
      </c>
      <c r="AG74" s="538">
        <f t="shared" si="140"/>
        <v>6.4574999999999994E-2</v>
      </c>
      <c r="AI74" s="177">
        <f t="shared" si="141"/>
        <v>1.8310895360109751</v>
      </c>
      <c r="AJ74" s="177">
        <f t="shared" si="142"/>
        <v>1.8310895360109751</v>
      </c>
      <c r="AK74" s="177">
        <f t="shared" si="143"/>
        <v>1.8740596906739835</v>
      </c>
      <c r="AM74" s="555">
        <f t="shared" si="144"/>
        <v>289.79999999999995</v>
      </c>
      <c r="AN74" s="469">
        <f t="shared" si="145"/>
        <v>350</v>
      </c>
      <c r="AP74">
        <f t="shared" si="146"/>
        <v>289.79999999999995</v>
      </c>
      <c r="AQ74">
        <f t="shared" si="147"/>
        <v>350</v>
      </c>
      <c r="AS74" s="5">
        <f t="shared" si="175"/>
        <v>2.8571428571428572</v>
      </c>
      <c r="AT74" s="5">
        <f t="shared" si="148"/>
        <v>1.3733171520082312</v>
      </c>
      <c r="AU74" s="5">
        <f t="shared" si="176"/>
        <v>1.483825705134626</v>
      </c>
      <c r="AV74" s="5">
        <f t="shared" si="149"/>
        <v>1.0048662087865108</v>
      </c>
      <c r="AW74" s="177">
        <f t="shared" si="177"/>
        <v>0.48066100320288091</v>
      </c>
      <c r="AX74" s="177">
        <f t="shared" si="150"/>
        <v>5.2807999999999993</v>
      </c>
      <c r="AY74" s="177">
        <f t="shared" si="151"/>
        <v>0.47547810133882112</v>
      </c>
      <c r="AZ74" s="177">
        <f t="shared" si="178"/>
        <v>11.106294874844197</v>
      </c>
      <c r="BA74" s="469">
        <f t="shared" si="152"/>
        <v>19.587372721622344</v>
      </c>
      <c r="BB74" s="469">
        <f t="shared" si="153"/>
        <v>16.026752459824046</v>
      </c>
      <c r="BC74" s="5">
        <f t="shared" si="154"/>
        <v>1.0285797353231825</v>
      </c>
      <c r="BD74" s="469">
        <f t="shared" si="155"/>
        <v>62.96253411939098</v>
      </c>
      <c r="BE74" s="5"/>
      <c r="BF74" s="177">
        <f t="shared" si="179"/>
        <v>0.73293995592206729</v>
      </c>
      <c r="BG74" s="177">
        <f t="shared" si="156"/>
        <v>0.76185868154309788</v>
      </c>
      <c r="BH74" s="177"/>
      <c r="BI74" s="538">
        <f t="shared" si="157"/>
        <v>5.9092107688574605E-2</v>
      </c>
      <c r="BJ74" s="538">
        <f t="shared" si="158"/>
        <v>9.1005149939745456E-2</v>
      </c>
      <c r="BK74" s="538">
        <f t="shared" si="159"/>
        <v>1.7499999999999998E-2</v>
      </c>
      <c r="BL74" s="538">
        <f t="shared" si="160"/>
        <v>6.3516599999999993E-2</v>
      </c>
      <c r="BM74">
        <f t="shared" si="161"/>
        <v>3.48E-3</v>
      </c>
      <c r="BN74">
        <f t="shared" si="162"/>
        <v>2.4500000000000003E-5</v>
      </c>
      <c r="BO74" s="538">
        <f t="shared" si="163"/>
        <v>0.23720447799525404</v>
      </c>
      <c r="BP74" s="469">
        <f t="shared" si="180"/>
        <v>237.20447799525405</v>
      </c>
      <c r="BQ74" s="538">
        <f t="shared" si="164"/>
        <v>0.26081999999999994</v>
      </c>
      <c r="BR74" s="538"/>
      <c r="BT74" s="469">
        <f t="shared" si="181"/>
        <v>260.81999999999994</v>
      </c>
      <c r="BU74" s="538">
        <f t="shared" si="165"/>
        <v>2.578564699137801E-2</v>
      </c>
      <c r="BV74" s="538">
        <f t="shared" si="166"/>
        <v>0.13930287615422096</v>
      </c>
      <c r="BW74" s="538">
        <f t="shared" si="167"/>
        <v>0</v>
      </c>
      <c r="BX74" s="538">
        <f t="shared" si="168"/>
        <v>0.16729804208098292</v>
      </c>
      <c r="BY74" s="538">
        <f t="shared" si="169"/>
        <v>5.8675555555555557E-2</v>
      </c>
      <c r="BZ74" s="469">
        <f t="shared" si="182"/>
        <v>225.9735976365385</v>
      </c>
      <c r="CA74" s="177">
        <f t="shared" si="183"/>
        <v>0.72399807563179253</v>
      </c>
      <c r="CB74" s="5">
        <f t="shared" si="184"/>
        <v>4.4918999999999993</v>
      </c>
      <c r="CC74" s="177">
        <f t="shared" si="185"/>
        <v>0.86119397558509692</v>
      </c>
      <c r="CD74" s="5">
        <f t="shared" si="186"/>
        <v>86.119397558509689</v>
      </c>
      <c r="CG74" s="571">
        <f t="shared" si="170"/>
        <v>-50</v>
      </c>
      <c r="CH74">
        <f t="shared" si="171"/>
        <v>-50</v>
      </c>
    </row>
    <row r="75" spans="5:86" x14ac:dyDescent="0.2">
      <c r="E75" s="174">
        <v>70</v>
      </c>
      <c r="F75" s="221">
        <f t="shared" si="172"/>
        <v>0.29399999999999998</v>
      </c>
      <c r="G75" s="221"/>
      <c r="H75" s="221">
        <f t="shared" si="120"/>
        <v>4.5569999999999995</v>
      </c>
      <c r="I75" s="551">
        <f t="shared" si="121"/>
        <v>12</v>
      </c>
      <c r="J75" s="176">
        <f t="shared" si="122"/>
        <v>16.399999999999999</v>
      </c>
      <c r="K75" s="451">
        <f t="shared" si="123"/>
        <v>28.4</v>
      </c>
      <c r="L75" s="451"/>
      <c r="M75" s="221">
        <f t="shared" si="124"/>
        <v>0.57746478873239437</v>
      </c>
      <c r="N75" s="176">
        <f t="shared" si="125"/>
        <v>12.78507042253521</v>
      </c>
      <c r="O75" s="176">
        <f t="shared" si="173"/>
        <v>4.5569999999999995</v>
      </c>
      <c r="P75" s="221">
        <f t="shared" si="126"/>
        <v>0.82484325306678774</v>
      </c>
      <c r="Q75" s="221">
        <f t="shared" si="127"/>
        <v>15.5</v>
      </c>
      <c r="R75" s="221">
        <f t="shared" si="128"/>
        <v>0.91649250340754196</v>
      </c>
      <c r="S75" s="176">
        <f t="shared" si="129"/>
        <v>63.47389232601769</v>
      </c>
      <c r="T75" s="176">
        <f t="shared" si="130"/>
        <v>15.5</v>
      </c>
      <c r="U75" s="221">
        <f t="shared" si="131"/>
        <v>1.4613685636856366</v>
      </c>
      <c r="V75" s="221">
        <f t="shared" si="132"/>
        <v>1.0960264227642276</v>
      </c>
      <c r="W75" s="221">
        <f t="shared" si="133"/>
        <v>0.80197055324211786</v>
      </c>
      <c r="X75" s="201">
        <f t="shared" si="134"/>
        <v>350</v>
      </c>
      <c r="Y75" s="451">
        <f t="shared" si="174"/>
        <v>350</v>
      </c>
      <c r="AA75" s="221">
        <f t="shared" si="135"/>
        <v>2.1998658618376927</v>
      </c>
      <c r="AB75" s="177">
        <f t="shared" si="136"/>
        <v>1.2072434607645877</v>
      </c>
      <c r="AC75" s="177">
        <f t="shared" si="137"/>
        <v>0.46476039334599145</v>
      </c>
      <c r="AD75" s="177"/>
      <c r="AE75" s="177">
        <f t="shared" si="138"/>
        <v>0.45</v>
      </c>
      <c r="AF75" s="555">
        <f t="shared" si="139"/>
        <v>1593.4959349593496</v>
      </c>
      <c r="AG75" s="538">
        <f t="shared" si="140"/>
        <v>6.4574999999999994E-2</v>
      </c>
      <c r="AI75" s="177">
        <f t="shared" si="141"/>
        <v>1.8443105707774601</v>
      </c>
      <c r="AJ75" s="177">
        <f t="shared" si="142"/>
        <v>1.8443105707774601</v>
      </c>
      <c r="AK75" s="177">
        <f t="shared" si="143"/>
        <v>1.8828737138516403</v>
      </c>
      <c r="AM75" s="555">
        <f t="shared" si="144"/>
        <v>294</v>
      </c>
      <c r="AN75" s="469">
        <f t="shared" si="145"/>
        <v>350</v>
      </c>
      <c r="AP75">
        <f t="shared" si="146"/>
        <v>294</v>
      </c>
      <c r="AQ75">
        <f t="shared" si="147"/>
        <v>350</v>
      </c>
      <c r="AS75" s="5">
        <f t="shared" si="175"/>
        <v>2.8571428571428572</v>
      </c>
      <c r="AT75" s="5">
        <f t="shared" si="148"/>
        <v>1.3832329280830951</v>
      </c>
      <c r="AU75" s="5">
        <f t="shared" si="176"/>
        <v>1.4739099290597621</v>
      </c>
      <c r="AV75" s="5">
        <f t="shared" si="149"/>
        <v>1.0121216546949479</v>
      </c>
      <c r="AW75" s="177">
        <f t="shared" si="177"/>
        <v>0.48413152482908328</v>
      </c>
      <c r="AX75" s="177">
        <f t="shared" si="150"/>
        <v>5.3573333333333322</v>
      </c>
      <c r="AY75" s="177">
        <f t="shared" si="151"/>
        <v>0.47571084094428573</v>
      </c>
      <c r="AZ75" s="177">
        <f t="shared" si="178"/>
        <v>11.261743210852687</v>
      </c>
      <c r="BA75" s="469">
        <f t="shared" si="152"/>
        <v>19.587372721622344</v>
      </c>
      <c r="BB75" s="469">
        <f t="shared" si="153"/>
        <v>16.486140527859241</v>
      </c>
      <c r="BC75" s="5">
        <f t="shared" si="154"/>
        <v>1.0365135102971195</v>
      </c>
      <c r="BD75" s="469">
        <f t="shared" si="155"/>
        <v>63.456643951160501</v>
      </c>
      <c r="BE75" s="5"/>
      <c r="BF75" s="177">
        <f t="shared" si="179"/>
        <v>0.74089234852474084</v>
      </c>
      <c r="BG75" s="177">
        <f t="shared" si="156"/>
        <v>0.76479127112652168</v>
      </c>
      <c r="BH75" s="177"/>
      <c r="BI75" s="538">
        <f t="shared" si="157"/>
        <v>6.0381361931275669E-2</v>
      </c>
      <c r="BJ75" s="538">
        <f t="shared" si="158"/>
        <v>9.1662235367639774E-2</v>
      </c>
      <c r="BK75" s="538">
        <f t="shared" si="159"/>
        <v>1.7499999999999998E-2</v>
      </c>
      <c r="BL75" s="538">
        <f t="shared" si="160"/>
        <v>6.3516599999999993E-2</v>
      </c>
      <c r="BM75">
        <f t="shared" si="161"/>
        <v>3.48E-3</v>
      </c>
      <c r="BN75">
        <f t="shared" si="162"/>
        <v>2.4500000000000003E-5</v>
      </c>
      <c r="BO75" s="538">
        <f t="shared" si="163"/>
        <v>0.2392298037406495</v>
      </c>
      <c r="BP75" s="469">
        <f t="shared" si="180"/>
        <v>239.22980374064952</v>
      </c>
      <c r="BQ75" s="538">
        <f t="shared" si="164"/>
        <v>0.2646</v>
      </c>
      <c r="BR75" s="538"/>
      <c r="BT75" s="469">
        <f t="shared" si="181"/>
        <v>264.60000000000002</v>
      </c>
      <c r="BU75" s="538">
        <f t="shared" si="165"/>
        <v>2.6348230660920291E-2</v>
      </c>
      <c r="BV75" s="538">
        <f t="shared" si="166"/>
        <v>0.140377365213917</v>
      </c>
      <c r="BW75" s="538">
        <f t="shared" si="167"/>
        <v>0</v>
      </c>
      <c r="BX75" s="538">
        <f t="shared" si="168"/>
        <v>0.16897945185898064</v>
      </c>
      <c r="BY75" s="538">
        <f t="shared" si="169"/>
        <v>5.9525925925925906E-2</v>
      </c>
      <c r="BZ75" s="469">
        <f t="shared" si="182"/>
        <v>228.50537778490653</v>
      </c>
      <c r="CA75" s="177">
        <f t="shared" si="183"/>
        <v>0.73233518152555599</v>
      </c>
      <c r="CB75" s="5">
        <f t="shared" si="184"/>
        <v>4.5569999999999995</v>
      </c>
      <c r="CC75" s="177">
        <f t="shared" si="185"/>
        <v>0.86154494725850683</v>
      </c>
      <c r="CD75" s="5">
        <f t="shared" si="186"/>
        <v>86.154494725850682</v>
      </c>
      <c r="CG75" s="571">
        <f t="shared" si="170"/>
        <v>-50</v>
      </c>
      <c r="CH75">
        <f t="shared" si="171"/>
        <v>-50</v>
      </c>
    </row>
    <row r="76" spans="5:86" x14ac:dyDescent="0.2">
      <c r="E76" s="174">
        <v>71</v>
      </c>
      <c r="F76" s="221">
        <f t="shared" si="172"/>
        <v>0.29819999999999997</v>
      </c>
      <c r="G76" s="221"/>
      <c r="H76" s="221">
        <f t="shared" si="120"/>
        <v>4.6220999999999997</v>
      </c>
      <c r="I76" s="551">
        <f t="shared" si="121"/>
        <v>12</v>
      </c>
      <c r="J76" s="176">
        <f t="shared" si="122"/>
        <v>16.399999999999999</v>
      </c>
      <c r="K76" s="451">
        <f t="shared" si="123"/>
        <v>28.4</v>
      </c>
      <c r="L76" s="451"/>
      <c r="M76" s="221">
        <f t="shared" si="124"/>
        <v>0.57746478873239437</v>
      </c>
      <c r="N76" s="176">
        <f t="shared" si="125"/>
        <v>12.78507042253521</v>
      </c>
      <c r="O76" s="176">
        <f t="shared" si="173"/>
        <v>4.6220999999999997</v>
      </c>
      <c r="P76" s="221">
        <f t="shared" si="126"/>
        <v>0.82484325306678774</v>
      </c>
      <c r="Q76" s="221">
        <f t="shared" si="127"/>
        <v>15.5</v>
      </c>
      <c r="R76" s="221">
        <f t="shared" si="128"/>
        <v>0.91649250340754196</v>
      </c>
      <c r="S76" s="176">
        <f t="shared" si="129"/>
        <v>62.41604571279818</v>
      </c>
      <c r="T76" s="176">
        <f t="shared" si="130"/>
        <v>15.5</v>
      </c>
      <c r="U76" s="221">
        <f t="shared" si="131"/>
        <v>1.4822452574525742</v>
      </c>
      <c r="V76" s="221">
        <f t="shared" si="132"/>
        <v>1.1116839430894305</v>
      </c>
      <c r="W76" s="221">
        <f t="shared" si="133"/>
        <v>0.81342727543129079</v>
      </c>
      <c r="X76" s="201">
        <f t="shared" si="134"/>
        <v>350</v>
      </c>
      <c r="Y76" s="451">
        <f t="shared" si="174"/>
        <v>350</v>
      </c>
      <c r="AA76" s="221">
        <f t="shared" si="135"/>
        <v>2.1998658618376927</v>
      </c>
      <c r="AB76" s="177">
        <f t="shared" si="136"/>
        <v>1.2072434607645877</v>
      </c>
      <c r="AC76" s="177">
        <f t="shared" si="137"/>
        <v>0.46476039334599145</v>
      </c>
      <c r="AD76" s="177"/>
      <c r="AE76" s="177">
        <f t="shared" si="138"/>
        <v>0.45</v>
      </c>
      <c r="AF76" s="555">
        <f t="shared" si="139"/>
        <v>1616.260162601626</v>
      </c>
      <c r="AG76" s="538">
        <f t="shared" si="140"/>
        <v>6.4574999999999994E-2</v>
      </c>
      <c r="AI76" s="177">
        <f t="shared" si="141"/>
        <v>1.8574375020640865</v>
      </c>
      <c r="AJ76" s="177">
        <f t="shared" si="142"/>
        <v>1.8574375020640865</v>
      </c>
      <c r="AK76" s="177">
        <f t="shared" si="143"/>
        <v>1.8916250013760576</v>
      </c>
      <c r="AM76" s="555">
        <f t="shared" si="144"/>
        <v>298.2</v>
      </c>
      <c r="AN76" s="469">
        <f t="shared" si="145"/>
        <v>350</v>
      </c>
      <c r="AP76">
        <f t="shared" si="146"/>
        <v>298.2</v>
      </c>
      <c r="AQ76">
        <f t="shared" si="147"/>
        <v>350</v>
      </c>
      <c r="AS76" s="5">
        <f t="shared" si="175"/>
        <v>2.8571428571428572</v>
      </c>
      <c r="AT76" s="5">
        <f t="shared" si="148"/>
        <v>1.393078126548065</v>
      </c>
      <c r="AU76" s="5">
        <f t="shared" si="176"/>
        <v>1.4640647305947923</v>
      </c>
      <c r="AV76" s="5">
        <f t="shared" si="149"/>
        <v>1.0193254584498037</v>
      </c>
      <c r="AW76" s="177">
        <f t="shared" si="177"/>
        <v>0.4875773442918227</v>
      </c>
      <c r="AX76" s="177">
        <f t="shared" si="150"/>
        <v>5.433866666666666</v>
      </c>
      <c r="AY76" s="177">
        <f t="shared" si="151"/>
        <v>0.47589652880982108</v>
      </c>
      <c r="AZ76" s="177">
        <f t="shared" si="178"/>
        <v>11.418168315403202</v>
      </c>
      <c r="BA76" s="469">
        <f t="shared" si="152"/>
        <v>19.587372721622344</v>
      </c>
      <c r="BB76" s="469">
        <f t="shared" si="153"/>
        <v>16.952017632844573</v>
      </c>
      <c r="BC76" s="5">
        <f t="shared" si="154"/>
        <v>1.044298393716387</v>
      </c>
      <c r="BD76" s="469">
        <f t="shared" si="155"/>
        <v>63.941820289649897</v>
      </c>
      <c r="BE76" s="5"/>
      <c r="BF76" s="177">
        <f t="shared" si="179"/>
        <v>0.74881638929871763</v>
      </c>
      <c r="BG76" s="177">
        <f t="shared" si="156"/>
        <v>0.7676579358514154</v>
      </c>
      <c r="BH76" s="177"/>
      <c r="BI76" s="538">
        <f t="shared" si="157"/>
        <v>6.1679858337060557E-2</v>
      </c>
      <c r="BJ76" s="538">
        <f t="shared" si="158"/>
        <v>9.2314643852585115E-2</v>
      </c>
      <c r="BK76" s="538">
        <f t="shared" si="159"/>
        <v>1.7499999999999998E-2</v>
      </c>
      <c r="BL76" s="538">
        <f t="shared" si="160"/>
        <v>6.3516599999999993E-2</v>
      </c>
      <c r="BM76">
        <f t="shared" si="161"/>
        <v>3.48E-3</v>
      </c>
      <c r="BN76">
        <f t="shared" si="162"/>
        <v>2.4500000000000003E-5</v>
      </c>
      <c r="BO76" s="538">
        <f t="shared" si="163"/>
        <v>0.24126113798365709</v>
      </c>
      <c r="BP76" s="469">
        <f t="shared" si="180"/>
        <v>241.26113798365708</v>
      </c>
      <c r="BQ76" s="538">
        <f t="shared" si="164"/>
        <v>0.26837999999999995</v>
      </c>
      <c r="BR76" s="538"/>
      <c r="BT76" s="469">
        <f t="shared" si="181"/>
        <v>268.37999999999994</v>
      </c>
      <c r="BU76" s="538">
        <f t="shared" si="165"/>
        <v>2.6914847274353698E-2</v>
      </c>
      <c r="BV76" s="538">
        <f t="shared" si="166"/>
        <v>0.14143168955415739</v>
      </c>
      <c r="BW76" s="538">
        <f t="shared" si="167"/>
        <v>0</v>
      </c>
      <c r="BX76" s="538">
        <f t="shared" si="168"/>
        <v>0.17064473281226883</v>
      </c>
      <c r="BY76" s="538">
        <f t="shared" si="169"/>
        <v>6.0376296296296296E-2</v>
      </c>
      <c r="BZ76" s="469">
        <f t="shared" si="182"/>
        <v>231.02102910856513</v>
      </c>
      <c r="CA76" s="177">
        <f t="shared" si="183"/>
        <v>0.7406621670922221</v>
      </c>
      <c r="CB76" s="5">
        <f t="shared" si="184"/>
        <v>4.6220999999999997</v>
      </c>
      <c r="CC76" s="177">
        <f t="shared" si="185"/>
        <v>0.86188793311827561</v>
      </c>
      <c r="CD76" s="5">
        <f t="shared" si="186"/>
        <v>86.188793311827567</v>
      </c>
      <c r="CG76" s="571">
        <f t="shared" si="170"/>
        <v>-50</v>
      </c>
      <c r="CH76">
        <f t="shared" si="171"/>
        <v>-50</v>
      </c>
    </row>
    <row r="77" spans="5:86" x14ac:dyDescent="0.2">
      <c r="E77" s="174">
        <v>72</v>
      </c>
      <c r="F77" s="221">
        <f t="shared" si="172"/>
        <v>0.3024</v>
      </c>
      <c r="G77" s="221"/>
      <c r="H77" s="221">
        <f t="shared" si="120"/>
        <v>4.6871999999999998</v>
      </c>
      <c r="I77" s="551">
        <f t="shared" si="121"/>
        <v>12</v>
      </c>
      <c r="J77" s="176">
        <f t="shared" si="122"/>
        <v>16.399999999999999</v>
      </c>
      <c r="K77" s="451">
        <f t="shared" si="123"/>
        <v>28.4</v>
      </c>
      <c r="L77" s="451"/>
      <c r="M77" s="221">
        <f t="shared" si="124"/>
        <v>0.57746478873239437</v>
      </c>
      <c r="N77" s="176">
        <f t="shared" si="125"/>
        <v>12.78507042253521</v>
      </c>
      <c r="O77" s="176">
        <f t="shared" si="173"/>
        <v>4.6871999999999998</v>
      </c>
      <c r="P77" s="221">
        <f t="shared" si="126"/>
        <v>0.82484325306678774</v>
      </c>
      <c r="Q77" s="221">
        <f t="shared" si="127"/>
        <v>15.5</v>
      </c>
      <c r="R77" s="221">
        <f t="shared" si="128"/>
        <v>0.91649250340754196</v>
      </c>
      <c r="S77" s="176">
        <f t="shared" si="129"/>
        <v>61.387674752212774</v>
      </c>
      <c r="T77" s="176">
        <f t="shared" si="130"/>
        <v>15.5</v>
      </c>
      <c r="U77" s="221">
        <f t="shared" si="131"/>
        <v>1.503121951219512</v>
      </c>
      <c r="V77" s="221">
        <f t="shared" si="132"/>
        <v>1.1273414634146339</v>
      </c>
      <c r="W77" s="221">
        <f t="shared" si="133"/>
        <v>0.82488399762046405</v>
      </c>
      <c r="X77" s="201">
        <f t="shared" si="134"/>
        <v>350</v>
      </c>
      <c r="Y77" s="451">
        <f t="shared" si="174"/>
        <v>350</v>
      </c>
      <c r="AA77" s="221">
        <f t="shared" si="135"/>
        <v>2.1998658618376927</v>
      </c>
      <c r="AB77" s="177">
        <f t="shared" si="136"/>
        <v>1.2072434607645877</v>
      </c>
      <c r="AC77" s="177">
        <f t="shared" si="137"/>
        <v>0.46476039334599145</v>
      </c>
      <c r="AD77" s="177"/>
      <c r="AE77" s="177">
        <f t="shared" si="138"/>
        <v>0.45</v>
      </c>
      <c r="AF77" s="555">
        <f t="shared" si="139"/>
        <v>1639.0243902439026</v>
      </c>
      <c r="AG77" s="538">
        <f t="shared" si="140"/>
        <v>6.4574999999999994E-2</v>
      </c>
      <c r="AI77" s="177">
        <f t="shared" si="141"/>
        <v>1.8704723111200192</v>
      </c>
      <c r="AJ77" s="177">
        <f t="shared" si="142"/>
        <v>1.8704723111200192</v>
      </c>
      <c r="AK77" s="177">
        <f t="shared" si="143"/>
        <v>1.9003148740800129</v>
      </c>
      <c r="AM77" s="555">
        <f t="shared" si="144"/>
        <v>302.39999999999998</v>
      </c>
      <c r="AN77" s="469">
        <f t="shared" si="145"/>
        <v>350</v>
      </c>
      <c r="AP77">
        <f t="shared" si="146"/>
        <v>302.39999999999998</v>
      </c>
      <c r="AQ77">
        <f t="shared" si="147"/>
        <v>350</v>
      </c>
      <c r="AS77" s="5">
        <f t="shared" si="175"/>
        <v>2.8571428571428572</v>
      </c>
      <c r="AT77" s="5">
        <f t="shared" si="148"/>
        <v>1.4028542333400142</v>
      </c>
      <c r="AU77" s="5">
        <f t="shared" si="176"/>
        <v>1.454288623802843</v>
      </c>
      <c r="AV77" s="5">
        <f t="shared" si="149"/>
        <v>1.0264787073219619</v>
      </c>
      <c r="AW77" s="177">
        <f t="shared" si="177"/>
        <v>0.49099898166900496</v>
      </c>
      <c r="AX77" s="177">
        <f t="shared" si="150"/>
        <v>5.5103999999999989</v>
      </c>
      <c r="AY77" s="177">
        <f t="shared" si="151"/>
        <v>0.47603615556000972</v>
      </c>
      <c r="AZ77" s="177">
        <f t="shared" si="178"/>
        <v>11.575591340362699</v>
      </c>
      <c r="BA77" s="469">
        <f t="shared" si="152"/>
        <v>19.587372721622344</v>
      </c>
      <c r="BB77" s="469">
        <f t="shared" si="153"/>
        <v>17.424383774780065</v>
      </c>
      <c r="BC77" s="5">
        <f t="shared" si="154"/>
        <v>1.051935437884056</v>
      </c>
      <c r="BD77" s="469">
        <f t="shared" si="155"/>
        <v>64.418126273043384</v>
      </c>
      <c r="BE77" s="5"/>
      <c r="BF77" s="177">
        <f t="shared" si="179"/>
        <v>0.75671257655127888</v>
      </c>
      <c r="BG77" s="177">
        <f t="shared" si="156"/>
        <v>0.77045979694682776</v>
      </c>
      <c r="BH77" s="177"/>
      <c r="BI77" s="538">
        <f t="shared" si="157"/>
        <v>6.2987531586196271E-2</v>
      </c>
      <c r="BJ77" s="538">
        <f t="shared" si="158"/>
        <v>9.2962473862664957E-2</v>
      </c>
      <c r="BK77" s="538">
        <f t="shared" si="159"/>
        <v>1.7499999999999998E-2</v>
      </c>
      <c r="BL77" s="538">
        <f t="shared" si="160"/>
        <v>6.3516599999999993E-2</v>
      </c>
      <c r="BM77">
        <f t="shared" si="161"/>
        <v>3.48E-3</v>
      </c>
      <c r="BN77">
        <f t="shared" si="162"/>
        <v>2.4500000000000003E-5</v>
      </c>
      <c r="BO77" s="538">
        <f t="shared" si="163"/>
        <v>0.24329852617853082</v>
      </c>
      <c r="BP77" s="469">
        <f t="shared" si="180"/>
        <v>243.29852617853081</v>
      </c>
      <c r="BQ77" s="538">
        <f t="shared" si="164"/>
        <v>0.27216000000000001</v>
      </c>
      <c r="BR77" s="538"/>
      <c r="BT77" s="469">
        <f t="shared" si="181"/>
        <v>272.16000000000003</v>
      </c>
      <c r="BU77" s="538">
        <f t="shared" si="165"/>
        <v>2.7485468328522007E-2</v>
      </c>
      <c r="BV77" s="538">
        <f t="shared" si="166"/>
        <v>0.14246599169072327</v>
      </c>
      <c r="BW77" s="538">
        <f t="shared" si="167"/>
        <v>0</v>
      </c>
      <c r="BX77" s="538">
        <f t="shared" si="168"/>
        <v>0.17229398922089578</v>
      </c>
      <c r="BY77" s="538">
        <f t="shared" si="169"/>
        <v>6.1226666666666651E-2</v>
      </c>
      <c r="BZ77" s="469">
        <f t="shared" si="182"/>
        <v>233.52065588756244</v>
      </c>
      <c r="CA77" s="177">
        <f t="shared" si="183"/>
        <v>0.74897918206609326</v>
      </c>
      <c r="CB77" s="5">
        <f t="shared" si="184"/>
        <v>4.6871999999999998</v>
      </c>
      <c r="CC77" s="177">
        <f t="shared" si="185"/>
        <v>0.86222323492629371</v>
      </c>
      <c r="CD77" s="5">
        <f t="shared" si="186"/>
        <v>86.222323492629371</v>
      </c>
      <c r="CG77" s="571">
        <f t="shared" si="170"/>
        <v>-50</v>
      </c>
      <c r="CH77">
        <f t="shared" si="171"/>
        <v>-50</v>
      </c>
    </row>
    <row r="78" spans="5:86" x14ac:dyDescent="0.2">
      <c r="E78" s="174">
        <v>73</v>
      </c>
      <c r="F78" s="221">
        <f t="shared" si="172"/>
        <v>0.30659999999999998</v>
      </c>
      <c r="G78" s="221"/>
      <c r="H78" s="221">
        <f t="shared" si="120"/>
        <v>4.7523</v>
      </c>
      <c r="I78" s="551">
        <f t="shared" si="121"/>
        <v>12</v>
      </c>
      <c r="J78" s="176">
        <f t="shared" si="122"/>
        <v>16.399999999999999</v>
      </c>
      <c r="K78" s="451">
        <f t="shared" si="123"/>
        <v>28.4</v>
      </c>
      <c r="L78" s="451"/>
      <c r="M78" s="221">
        <f t="shared" si="124"/>
        <v>0.57746478873239437</v>
      </c>
      <c r="N78" s="176">
        <f t="shared" si="125"/>
        <v>12.78507042253521</v>
      </c>
      <c r="O78" s="176">
        <f t="shared" si="173"/>
        <v>4.7523</v>
      </c>
      <c r="P78" s="221">
        <f t="shared" si="126"/>
        <v>0.82484325306678774</v>
      </c>
      <c r="Q78" s="221">
        <f t="shared" si="127"/>
        <v>15.5</v>
      </c>
      <c r="R78" s="221">
        <f t="shared" si="128"/>
        <v>0.91649250340754196</v>
      </c>
      <c r="S78" s="176">
        <f t="shared" si="129"/>
        <v>60.387568737550659</v>
      </c>
      <c r="T78" s="176">
        <f t="shared" si="130"/>
        <v>15.5</v>
      </c>
      <c r="U78" s="221">
        <f t="shared" si="131"/>
        <v>1.5239986449864498</v>
      </c>
      <c r="V78" s="221">
        <f t="shared" si="132"/>
        <v>1.1429989837398375</v>
      </c>
      <c r="W78" s="221">
        <f t="shared" si="133"/>
        <v>0.8363407198096372</v>
      </c>
      <c r="X78" s="201">
        <f t="shared" si="134"/>
        <v>350</v>
      </c>
      <c r="Y78" s="451">
        <f t="shared" si="174"/>
        <v>350</v>
      </c>
      <c r="AA78" s="221">
        <f t="shared" si="135"/>
        <v>2.1998658618376927</v>
      </c>
      <c r="AB78" s="177">
        <f t="shared" si="136"/>
        <v>1.2072434607645877</v>
      </c>
      <c r="AC78" s="177">
        <f t="shared" si="137"/>
        <v>0.46476039334599145</v>
      </c>
      <c r="AD78" s="177"/>
      <c r="AE78" s="177">
        <f t="shared" si="138"/>
        <v>0.45</v>
      </c>
      <c r="AF78" s="555">
        <f t="shared" si="139"/>
        <v>1661.7886178861788</v>
      </c>
      <c r="AG78" s="538">
        <f t="shared" si="140"/>
        <v>6.4574999999999994E-2</v>
      </c>
      <c r="AI78" s="177">
        <f t="shared" si="141"/>
        <v>1.8834169106332399</v>
      </c>
      <c r="AJ78" s="177">
        <f t="shared" si="142"/>
        <v>1.8834169106332399</v>
      </c>
      <c r="AK78" s="177">
        <f t="shared" si="143"/>
        <v>1.9089446070888267</v>
      </c>
      <c r="AM78" s="555">
        <f t="shared" si="144"/>
        <v>306.59999999999997</v>
      </c>
      <c r="AN78" s="469">
        <f t="shared" si="145"/>
        <v>350</v>
      </c>
      <c r="AP78">
        <f t="shared" si="146"/>
        <v>306.59999999999997</v>
      </c>
      <c r="AQ78">
        <f t="shared" si="147"/>
        <v>350</v>
      </c>
      <c r="AS78" s="5">
        <f t="shared" si="175"/>
        <v>2.8571428571428572</v>
      </c>
      <c r="AT78" s="5">
        <f t="shared" si="148"/>
        <v>1.4125626829749298</v>
      </c>
      <c r="AU78" s="5">
        <f t="shared" si="176"/>
        <v>1.4445801741679274</v>
      </c>
      <c r="AV78" s="5">
        <f t="shared" si="149"/>
        <v>1.0335824509572658</v>
      </c>
      <c r="AW78" s="177">
        <f t="shared" si="177"/>
        <v>0.49439693904122545</v>
      </c>
      <c r="AX78" s="177">
        <f t="shared" si="150"/>
        <v>5.58693333333333</v>
      </c>
      <c r="AY78" s="177">
        <f t="shared" si="151"/>
        <v>0.47613067753884236</v>
      </c>
      <c r="AZ78" s="177">
        <f t="shared" si="178"/>
        <v>11.734033526704552</v>
      </c>
      <c r="BA78" s="469">
        <f t="shared" si="152"/>
        <v>19.587372721622344</v>
      </c>
      <c r="BB78" s="469">
        <f t="shared" si="153"/>
        <v>17.903238953665692</v>
      </c>
      <c r="BC78" s="5">
        <f t="shared" si="154"/>
        <v>1.0594256731015801</v>
      </c>
      <c r="BD78" s="469">
        <f t="shared" si="155"/>
        <v>64.885623719428153</v>
      </c>
      <c r="BE78" s="5"/>
      <c r="BF78" s="177">
        <f t="shared" si="179"/>
        <v>0.76458139304315231</v>
      </c>
      <c r="BG78" s="177">
        <f t="shared" si="156"/>
        <v>0.77319793487735844</v>
      </c>
      <c r="BH78" s="177"/>
      <c r="BI78" s="538">
        <f t="shared" si="157"/>
        <v>6.4304317724658805E-2</v>
      </c>
      <c r="BJ78" s="538">
        <f t="shared" si="158"/>
        <v>9.3605820458472003E-2</v>
      </c>
      <c r="BK78" s="538">
        <f t="shared" si="159"/>
        <v>1.7499999999999998E-2</v>
      </c>
      <c r="BL78" s="538">
        <f t="shared" si="160"/>
        <v>6.3516599999999993E-2</v>
      </c>
      <c r="BM78">
        <f t="shared" si="161"/>
        <v>3.48E-3</v>
      </c>
      <c r="BN78">
        <f t="shared" si="162"/>
        <v>2.4500000000000003E-5</v>
      </c>
      <c r="BO78" s="538">
        <f t="shared" si="163"/>
        <v>0.24534201178301926</v>
      </c>
      <c r="BP78" s="469">
        <f t="shared" si="180"/>
        <v>245.34201178301925</v>
      </c>
      <c r="BQ78" s="538">
        <f t="shared" si="164"/>
        <v>0.27594000000000002</v>
      </c>
      <c r="BR78" s="538"/>
      <c r="BT78" s="469">
        <f t="shared" si="181"/>
        <v>275.94</v>
      </c>
      <c r="BU78" s="538">
        <f t="shared" si="165"/>
        <v>2.8060065916214755E-2</v>
      </c>
      <c r="BV78" s="538">
        <f t="shared" si="166"/>
        <v>0.14348041115966684</v>
      </c>
      <c r="BW78" s="538">
        <f t="shared" si="167"/>
        <v>0</v>
      </c>
      <c r="BX78" s="538">
        <f t="shared" si="168"/>
        <v>0.17392732315512652</v>
      </c>
      <c r="BY78" s="538">
        <f t="shared" si="169"/>
        <v>6.2077037037037021E-2</v>
      </c>
      <c r="BZ78" s="469">
        <f t="shared" si="182"/>
        <v>236.00436019216352</v>
      </c>
      <c r="CA78" s="177">
        <f t="shared" si="183"/>
        <v>0.75728637197518278</v>
      </c>
      <c r="CB78" s="5">
        <f t="shared" si="184"/>
        <v>4.7523</v>
      </c>
      <c r="CC78" s="177">
        <f t="shared" si="185"/>
        <v>0.86255113889725699</v>
      </c>
      <c r="CD78" s="5">
        <f t="shared" si="186"/>
        <v>86.255113889725692</v>
      </c>
      <c r="CG78" s="571">
        <f t="shared" si="170"/>
        <v>-50</v>
      </c>
      <c r="CH78">
        <f t="shared" si="171"/>
        <v>-50</v>
      </c>
    </row>
    <row r="79" spans="5:86" x14ac:dyDescent="0.2">
      <c r="E79" s="174">
        <v>74</v>
      </c>
      <c r="F79" s="221">
        <f t="shared" si="172"/>
        <v>0.31079999999999997</v>
      </c>
      <c r="G79" s="221"/>
      <c r="H79" s="221">
        <f t="shared" si="120"/>
        <v>4.8173999999999992</v>
      </c>
      <c r="I79" s="551">
        <f t="shared" si="121"/>
        <v>12</v>
      </c>
      <c r="J79" s="176">
        <f t="shared" si="122"/>
        <v>16.399999999999999</v>
      </c>
      <c r="K79" s="451">
        <f t="shared" si="123"/>
        <v>28.4</v>
      </c>
      <c r="L79" s="451"/>
      <c r="M79" s="221">
        <f t="shared" si="124"/>
        <v>0.57746478873239437</v>
      </c>
      <c r="N79" s="176">
        <f t="shared" si="125"/>
        <v>12.78507042253521</v>
      </c>
      <c r="O79" s="176">
        <f t="shared" si="173"/>
        <v>4.8173999999999992</v>
      </c>
      <c r="P79" s="221">
        <f t="shared" si="126"/>
        <v>0.82484325306678774</v>
      </c>
      <c r="Q79" s="221">
        <f t="shared" si="127"/>
        <v>15.5</v>
      </c>
      <c r="R79" s="221">
        <f t="shared" si="128"/>
        <v>0.91649250340754196</v>
      </c>
      <c r="S79" s="176">
        <f t="shared" si="129"/>
        <v>59.414582410586341</v>
      </c>
      <c r="T79" s="176">
        <f t="shared" si="130"/>
        <v>15.5</v>
      </c>
      <c r="U79" s="221">
        <f t="shared" si="131"/>
        <v>1.5448753387533871</v>
      </c>
      <c r="V79" s="221">
        <f t="shared" si="132"/>
        <v>1.1586565040650403</v>
      </c>
      <c r="W79" s="221">
        <f t="shared" si="133"/>
        <v>0.84779744199881013</v>
      </c>
      <c r="X79" s="201">
        <f t="shared" si="134"/>
        <v>350</v>
      </c>
      <c r="Y79" s="451">
        <f t="shared" si="174"/>
        <v>350</v>
      </c>
      <c r="AA79" s="221">
        <f t="shared" si="135"/>
        <v>2.1998658618376927</v>
      </c>
      <c r="AB79" s="177">
        <f t="shared" si="136"/>
        <v>1.2072434607645877</v>
      </c>
      <c r="AC79" s="177">
        <f t="shared" si="137"/>
        <v>0.46476039334599145</v>
      </c>
      <c r="AD79" s="177"/>
      <c r="AE79" s="177">
        <f t="shared" si="138"/>
        <v>0.45</v>
      </c>
      <c r="AF79" s="555">
        <f t="shared" si="139"/>
        <v>1684.5528455284552</v>
      </c>
      <c r="AG79" s="538">
        <f t="shared" si="140"/>
        <v>6.4574999999999994E-2</v>
      </c>
      <c r="AI79" s="177">
        <f t="shared" si="141"/>
        <v>1.8962731480068611</v>
      </c>
      <c r="AJ79" s="177">
        <f t="shared" si="142"/>
        <v>1.8962731480068611</v>
      </c>
      <c r="AK79" s="177">
        <f t="shared" si="143"/>
        <v>1.917515432004574</v>
      </c>
      <c r="AM79" s="555">
        <f t="shared" si="144"/>
        <v>310.79999999999995</v>
      </c>
      <c r="AN79" s="469">
        <f t="shared" si="145"/>
        <v>350</v>
      </c>
      <c r="AP79">
        <f t="shared" si="146"/>
        <v>310.79999999999995</v>
      </c>
      <c r="AQ79">
        <f t="shared" si="147"/>
        <v>350</v>
      </c>
      <c r="AS79" s="5">
        <f t="shared" si="175"/>
        <v>2.8571428571428572</v>
      </c>
      <c r="AT79" s="5">
        <f t="shared" si="148"/>
        <v>1.4222048610051459</v>
      </c>
      <c r="AU79" s="5">
        <f t="shared" si="176"/>
        <v>1.4349379961377113</v>
      </c>
      <c r="AV79" s="5">
        <f t="shared" si="149"/>
        <v>1.0406377031744969</v>
      </c>
      <c r="AW79" s="177">
        <f t="shared" si="177"/>
        <v>0.49777170135180104</v>
      </c>
      <c r="AX79" s="177">
        <f t="shared" si="150"/>
        <v>5.6634666666666655</v>
      </c>
      <c r="AY79" s="177">
        <f t="shared" si="151"/>
        <v>0.47618101844787508</v>
      </c>
      <c r="AZ79" s="177">
        <f t="shared" si="178"/>
        <v>11.893516220211566</v>
      </c>
      <c r="BA79" s="469">
        <f t="shared" si="152"/>
        <v>19.587372721622344</v>
      </c>
      <c r="BB79" s="469">
        <f t="shared" si="153"/>
        <v>18.388583169501469</v>
      </c>
      <c r="BC79" s="5">
        <f t="shared" si="154"/>
        <v>1.0667701084249703</v>
      </c>
      <c r="BD79" s="469">
        <f t="shared" si="155"/>
        <v>65.344373172164907</v>
      </c>
      <c r="BE79" s="5"/>
      <c r="BF79" s="177">
        <f t="shared" si="179"/>
        <v>0.77242330667955217</v>
      </c>
      <c r="BG79" s="177">
        <f t="shared" si="156"/>
        <v>0.77587339124939936</v>
      </c>
      <c r="BH79" s="177"/>
      <c r="BI79" s="538">
        <f t="shared" si="157"/>
        <v>6.5630154117195097E-2</v>
      </c>
      <c r="BJ79" s="538">
        <f t="shared" si="158"/>
        <v>9.4244775455940982E-2</v>
      </c>
      <c r="BK79" s="538">
        <f t="shared" si="159"/>
        <v>1.7499999999999998E-2</v>
      </c>
      <c r="BL79" s="538">
        <f t="shared" si="160"/>
        <v>6.3516599999999993E-2</v>
      </c>
      <c r="BM79">
        <f t="shared" si="161"/>
        <v>3.48E-3</v>
      </c>
      <c r="BN79">
        <f t="shared" si="162"/>
        <v>2.4500000000000003E-5</v>
      </c>
      <c r="BO79" s="538">
        <f t="shared" si="163"/>
        <v>0.24739163637368927</v>
      </c>
      <c r="BP79" s="469">
        <f t="shared" si="180"/>
        <v>247.39163637368927</v>
      </c>
      <c r="BQ79" s="538">
        <f t="shared" si="164"/>
        <v>0.27971999999999997</v>
      </c>
      <c r="BR79" s="538"/>
      <c r="BT79" s="469">
        <f t="shared" si="181"/>
        <v>279.71999999999997</v>
      </c>
      <c r="BU79" s="538">
        <f t="shared" si="165"/>
        <v>2.8638612705685129E-2</v>
      </c>
      <c r="BV79" s="538">
        <f t="shared" si="166"/>
        <v>0.14447508461972244</v>
      </c>
      <c r="BW79" s="538">
        <f t="shared" si="167"/>
        <v>0</v>
      </c>
      <c r="BX79" s="538">
        <f t="shared" si="168"/>
        <v>0.17554483455388761</v>
      </c>
      <c r="BY79" s="538">
        <f t="shared" si="169"/>
        <v>6.2927407407407404E-2</v>
      </c>
      <c r="BZ79" s="469">
        <f t="shared" si="182"/>
        <v>238.47224196129503</v>
      </c>
      <c r="CA79" s="177">
        <f t="shared" si="183"/>
        <v>0.7655838783349842</v>
      </c>
      <c r="CB79" s="5">
        <f t="shared" si="184"/>
        <v>4.8173999999999992</v>
      </c>
      <c r="CC79" s="177">
        <f t="shared" si="185"/>
        <v>0.86287191669926422</v>
      </c>
      <c r="CD79" s="5">
        <f t="shared" si="186"/>
        <v>86.287191669926415</v>
      </c>
      <c r="CG79" s="571">
        <f t="shared" si="170"/>
        <v>-50</v>
      </c>
      <c r="CH79">
        <f t="shared" si="171"/>
        <v>-50</v>
      </c>
    </row>
    <row r="80" spans="5:86" x14ac:dyDescent="0.2">
      <c r="E80" s="174">
        <v>75</v>
      </c>
      <c r="F80" s="221">
        <f t="shared" si="172"/>
        <v>0.315</v>
      </c>
      <c r="G80" s="221"/>
      <c r="H80" s="221">
        <f t="shared" si="120"/>
        <v>4.8825000000000003</v>
      </c>
      <c r="I80" s="551">
        <f t="shared" si="121"/>
        <v>12</v>
      </c>
      <c r="J80" s="176">
        <f t="shared" si="122"/>
        <v>16.399999999999999</v>
      </c>
      <c r="K80" s="451">
        <f t="shared" si="123"/>
        <v>28.4</v>
      </c>
      <c r="L80" s="451"/>
      <c r="M80" s="221">
        <f t="shared" si="124"/>
        <v>0.57746478873239437</v>
      </c>
      <c r="N80" s="176">
        <f t="shared" si="125"/>
        <v>12.78507042253521</v>
      </c>
      <c r="O80" s="176">
        <f t="shared" si="173"/>
        <v>4.8825000000000003</v>
      </c>
      <c r="P80" s="221">
        <f t="shared" si="126"/>
        <v>0.82484325306678774</v>
      </c>
      <c r="Q80" s="221">
        <f t="shared" si="127"/>
        <v>15.5</v>
      </c>
      <c r="R80" s="221">
        <f t="shared" si="128"/>
        <v>0.91649250340754196</v>
      </c>
      <c r="S80" s="176">
        <f t="shared" si="129"/>
        <v>58.467631598384948</v>
      </c>
      <c r="T80" s="176">
        <f t="shared" si="130"/>
        <v>15.5</v>
      </c>
      <c r="U80" s="221">
        <f t="shared" si="131"/>
        <v>1.5657520325203251</v>
      </c>
      <c r="V80" s="221">
        <f t="shared" si="132"/>
        <v>1.1743140243902439</v>
      </c>
      <c r="W80" s="221">
        <f t="shared" si="133"/>
        <v>0.85925416418798339</v>
      </c>
      <c r="X80" s="201">
        <f t="shared" si="134"/>
        <v>350</v>
      </c>
      <c r="Y80" s="451">
        <f t="shared" si="174"/>
        <v>350</v>
      </c>
      <c r="AA80" s="221">
        <f t="shared" si="135"/>
        <v>2.1998658618376927</v>
      </c>
      <c r="AB80" s="177">
        <f t="shared" si="136"/>
        <v>1.2072434607645877</v>
      </c>
      <c r="AC80" s="177">
        <f t="shared" si="137"/>
        <v>0.46476039334599145</v>
      </c>
      <c r="AD80" s="177"/>
      <c r="AE80" s="177">
        <f t="shared" si="138"/>
        <v>0.45</v>
      </c>
      <c r="AF80" s="555">
        <f t="shared" si="139"/>
        <v>1707.3170731707319</v>
      </c>
      <c r="AG80" s="538">
        <f t="shared" si="140"/>
        <v>6.4574999999999994E-2</v>
      </c>
      <c r="AI80" s="177">
        <f t="shared" si="141"/>
        <v>1.9090428084368469</v>
      </c>
      <c r="AJ80" s="177">
        <f t="shared" si="142"/>
        <v>1.9090428084368469</v>
      </c>
      <c r="AK80" s="177">
        <f t="shared" si="143"/>
        <v>1.9260285389578979</v>
      </c>
      <c r="AM80" s="555">
        <f t="shared" si="144"/>
        <v>315</v>
      </c>
      <c r="AN80" s="469">
        <f t="shared" si="145"/>
        <v>350</v>
      </c>
      <c r="AP80">
        <f t="shared" si="146"/>
        <v>315</v>
      </c>
      <c r="AQ80">
        <f t="shared" si="147"/>
        <v>350</v>
      </c>
      <c r="AS80" s="5">
        <f t="shared" si="175"/>
        <v>2.8571428571428572</v>
      </c>
      <c r="AT80" s="5">
        <f t="shared" si="148"/>
        <v>1.4317821063276353</v>
      </c>
      <c r="AU80" s="5">
        <f t="shared" si="176"/>
        <v>1.425360750815222</v>
      </c>
      <c r="AV80" s="5">
        <f t="shared" si="149"/>
        <v>1.0476454436543672</v>
      </c>
      <c r="AW80" s="177">
        <f t="shared" si="177"/>
        <v>0.50112373721467229</v>
      </c>
      <c r="AX80" s="177">
        <f t="shared" si="150"/>
        <v>5.7399999999999993</v>
      </c>
      <c r="AY80" s="177">
        <f t="shared" si="151"/>
        <v>0.47618807088509024</v>
      </c>
      <c r="AZ80" s="177">
        <f t="shared" si="178"/>
        <v>12.054060886764903</v>
      </c>
      <c r="BA80" s="469">
        <f t="shared" si="152"/>
        <v>19.587372721622344</v>
      </c>
      <c r="BB80" s="469">
        <f t="shared" si="153"/>
        <v>18.880416422287396</v>
      </c>
      <c r="BC80" s="5">
        <f t="shared" si="154"/>
        <v>1.0739697323850801</v>
      </c>
      <c r="BD80" s="469">
        <f t="shared" si="155"/>
        <v>65.794433943104835</v>
      </c>
      <c r="BE80" s="5"/>
      <c r="BF80" s="177">
        <f t="shared" si="179"/>
        <v>0.78023877116159124</v>
      </c>
      <c r="BG80" s="177">
        <f t="shared" si="156"/>
        <v>0.77848717060145878</v>
      </c>
      <c r="BH80" s="177"/>
      <c r="BI80" s="538">
        <f t="shared" si="157"/>
        <v>6.6964979402612493E-2</v>
      </c>
      <c r="BJ80" s="538">
        <f t="shared" si="158"/>
        <v>9.4879427579311282E-2</v>
      </c>
      <c r="BK80" s="538">
        <f t="shared" si="159"/>
        <v>1.7499999999999998E-2</v>
      </c>
      <c r="BL80" s="538">
        <f t="shared" si="160"/>
        <v>6.3516599999999993E-2</v>
      </c>
      <c r="BM80">
        <f t="shared" si="161"/>
        <v>3.48E-3</v>
      </c>
      <c r="BN80">
        <f t="shared" si="162"/>
        <v>2.4500000000000003E-5</v>
      </c>
      <c r="BO80" s="538">
        <f t="shared" si="163"/>
        <v>0.24944743975364156</v>
      </c>
      <c r="BP80" s="469">
        <f t="shared" si="180"/>
        <v>249.44743975364156</v>
      </c>
      <c r="BQ80" s="538">
        <f t="shared" si="164"/>
        <v>0.28350000000000003</v>
      </c>
      <c r="BR80" s="538"/>
      <c r="BT80" s="469">
        <f t="shared" si="181"/>
        <v>283.50000000000006</v>
      </c>
      <c r="BU80" s="538">
        <f t="shared" si="165"/>
        <v>2.9221081921139997E-2</v>
      </c>
      <c r="BV80" s="538">
        <f t="shared" si="166"/>
        <v>0.14545014594985553</v>
      </c>
      <c r="BW80" s="538">
        <f t="shared" si="167"/>
        <v>0</v>
      </c>
      <c r="BX80" s="538">
        <f t="shared" si="168"/>
        <v>0.17714662129944128</v>
      </c>
      <c r="BY80" s="538">
        <f t="shared" si="169"/>
        <v>6.3777777777777767E-2</v>
      </c>
      <c r="BZ80" s="469">
        <f t="shared" si="182"/>
        <v>240.92439907721905</v>
      </c>
      <c r="CA80" s="177">
        <f t="shared" si="183"/>
        <v>0.77387183883086053</v>
      </c>
      <c r="CB80" s="5">
        <f t="shared" si="184"/>
        <v>4.8825000000000003</v>
      </c>
      <c r="CC80" s="177">
        <f t="shared" si="185"/>
        <v>0.86318582637756447</v>
      </c>
      <c r="CD80" s="5">
        <f t="shared" si="186"/>
        <v>86.31858263775645</v>
      </c>
      <c r="CG80" s="571">
        <f t="shared" si="170"/>
        <v>-50</v>
      </c>
      <c r="CH80">
        <f t="shared" si="171"/>
        <v>-50</v>
      </c>
    </row>
    <row r="81" spans="5:86" x14ac:dyDescent="0.2">
      <c r="E81" s="174">
        <v>76</v>
      </c>
      <c r="F81" s="221">
        <f t="shared" si="172"/>
        <v>0.31919999999999998</v>
      </c>
      <c r="G81" s="221"/>
      <c r="H81" s="221">
        <f t="shared" si="120"/>
        <v>4.9475999999999996</v>
      </c>
      <c r="I81" s="551">
        <f t="shared" si="121"/>
        <v>12</v>
      </c>
      <c r="J81" s="176">
        <f t="shared" si="122"/>
        <v>16.399999999999999</v>
      </c>
      <c r="K81" s="451">
        <f t="shared" si="123"/>
        <v>28.4</v>
      </c>
      <c r="L81" s="451"/>
      <c r="M81" s="221">
        <f t="shared" si="124"/>
        <v>0.57746478873239437</v>
      </c>
      <c r="N81" s="176">
        <f t="shared" si="125"/>
        <v>12.78507042253521</v>
      </c>
      <c r="O81" s="176">
        <f t="shared" si="173"/>
        <v>4.9475999999999996</v>
      </c>
      <c r="P81" s="221">
        <f t="shared" si="126"/>
        <v>0.82484325306678774</v>
      </c>
      <c r="Q81" s="221">
        <f t="shared" si="127"/>
        <v>15.5</v>
      </c>
      <c r="R81" s="221">
        <f t="shared" si="128"/>
        <v>0.91649250340754196</v>
      </c>
      <c r="S81" s="176">
        <f t="shared" si="129"/>
        <v>57.545689194570485</v>
      </c>
      <c r="T81" s="176">
        <f t="shared" si="130"/>
        <v>15.5</v>
      </c>
      <c r="U81" s="221">
        <f t="shared" si="131"/>
        <v>1.5866287262872625</v>
      </c>
      <c r="V81" s="221">
        <f t="shared" si="132"/>
        <v>1.1899715447154469</v>
      </c>
      <c r="W81" s="221">
        <f t="shared" si="133"/>
        <v>0.87071088637715643</v>
      </c>
      <c r="X81" s="201">
        <f t="shared" si="134"/>
        <v>350</v>
      </c>
      <c r="Y81" s="451">
        <f t="shared" si="174"/>
        <v>350</v>
      </c>
      <c r="AA81" s="221">
        <f t="shared" si="135"/>
        <v>2.1998658618376927</v>
      </c>
      <c r="AB81" s="177">
        <f t="shared" si="136"/>
        <v>1.2072434607645877</v>
      </c>
      <c r="AC81" s="177">
        <f t="shared" si="137"/>
        <v>0.46476039334599145</v>
      </c>
      <c r="AD81" s="177"/>
      <c r="AE81" s="177">
        <f t="shared" si="138"/>
        <v>0.45</v>
      </c>
      <c r="AF81" s="555">
        <f t="shared" si="139"/>
        <v>1730.0813008130081</v>
      </c>
      <c r="AG81" s="538">
        <f t="shared" si="140"/>
        <v>6.4574999999999994E-2</v>
      </c>
      <c r="AI81" s="177">
        <f t="shared" si="141"/>
        <v>1.921727617805665</v>
      </c>
      <c r="AJ81" s="177">
        <f t="shared" si="142"/>
        <v>1.921727617805665</v>
      </c>
      <c r="AK81" s="177">
        <f t="shared" si="143"/>
        <v>1.9344850785371102</v>
      </c>
      <c r="AM81" s="555">
        <f t="shared" si="144"/>
        <v>319.2</v>
      </c>
      <c r="AN81" s="469">
        <f t="shared" si="145"/>
        <v>350</v>
      </c>
      <c r="AP81">
        <f t="shared" si="146"/>
        <v>319.2</v>
      </c>
      <c r="AQ81">
        <f t="shared" si="147"/>
        <v>350</v>
      </c>
      <c r="AS81" s="5">
        <f t="shared" si="175"/>
        <v>2.8571428571428572</v>
      </c>
      <c r="AT81" s="5">
        <f t="shared" si="148"/>
        <v>1.4412957133542488</v>
      </c>
      <c r="AU81" s="5">
        <f t="shared" si="176"/>
        <v>1.4158471437886084</v>
      </c>
      <c r="AV81" s="5">
        <f t="shared" si="149"/>
        <v>1.054606619527499</v>
      </c>
      <c r="AW81" s="177">
        <f t="shared" si="177"/>
        <v>0.504453499673987</v>
      </c>
      <c r="AX81" s="177">
        <f t="shared" si="150"/>
        <v>5.8165333333333331</v>
      </c>
      <c r="AY81" s="177">
        <f t="shared" si="151"/>
        <v>0.47615269779172159</v>
      </c>
      <c r="AZ81" s="177">
        <f t="shared" si="178"/>
        <v>12.215689127267314</v>
      </c>
      <c r="BA81" s="469">
        <f t="shared" si="152"/>
        <v>19.587372721622344</v>
      </c>
      <c r="BB81" s="469">
        <f t="shared" si="153"/>
        <v>19.378738712023466</v>
      </c>
      <c r="BC81" s="5">
        <f t="shared" si="154"/>
        <v>1.0810255136741538</v>
      </c>
      <c r="BD81" s="469">
        <f t="shared" si="155"/>
        <v>66.235864153782572</v>
      </c>
      <c r="BE81" s="5"/>
      <c r="BF81" s="177">
        <f t="shared" si="179"/>
        <v>0.78802822660083782</v>
      </c>
      <c r="BG81" s="177">
        <f t="shared" si="156"/>
        <v>0.78104024208701983</v>
      </c>
      <c r="BH81" s="177"/>
      <c r="BI81" s="538">
        <f t="shared" si="157"/>
        <v>6.8308733451162756E-2</v>
      </c>
      <c r="BJ81" s="538">
        <f t="shared" si="158"/>
        <v>9.5509862604941542E-2</v>
      </c>
      <c r="BK81" s="538">
        <f t="shared" si="159"/>
        <v>1.7499999999999998E-2</v>
      </c>
      <c r="BL81" s="538">
        <f t="shared" si="160"/>
        <v>6.3516599999999993E-2</v>
      </c>
      <c r="BM81">
        <f t="shared" si="161"/>
        <v>3.48E-3</v>
      </c>
      <c r="BN81">
        <f t="shared" si="162"/>
        <v>2.4500000000000003E-5</v>
      </c>
      <c r="BO81" s="538">
        <f t="shared" si="163"/>
        <v>0.25150946005320646</v>
      </c>
      <c r="BP81" s="469">
        <f t="shared" si="180"/>
        <v>251.50946005320645</v>
      </c>
      <c r="BQ81" s="538">
        <f t="shared" si="164"/>
        <v>0.28727999999999998</v>
      </c>
      <c r="BR81" s="538"/>
      <c r="BT81" s="469">
        <f t="shared" si="181"/>
        <v>287.27999999999997</v>
      </c>
      <c r="BU81" s="538">
        <f t="shared" si="165"/>
        <v>2.9807447324143747E-2</v>
      </c>
      <c r="BV81" s="538">
        <f t="shared" si="166"/>
        <v>0.14640572634224414</v>
      </c>
      <c r="BW81" s="538">
        <f t="shared" si="167"/>
        <v>0</v>
      </c>
      <c r="BX81" s="538">
        <f t="shared" si="168"/>
        <v>0.17873277928851941</v>
      </c>
      <c r="BY81" s="538">
        <f t="shared" si="169"/>
        <v>6.4628148148148129E-2</v>
      </c>
      <c r="BZ81" s="469">
        <f t="shared" si="182"/>
        <v>243.36092743666754</v>
      </c>
      <c r="CA81" s="177">
        <f t="shared" si="183"/>
        <v>0.78215038748987387</v>
      </c>
      <c r="CB81" s="5">
        <f t="shared" si="184"/>
        <v>4.9475999999999996</v>
      </c>
      <c r="CC81" s="177">
        <f t="shared" si="185"/>
        <v>0.86349311320828359</v>
      </c>
      <c r="CD81" s="5">
        <f t="shared" si="186"/>
        <v>86.349311320828363</v>
      </c>
      <c r="CG81" s="571">
        <f t="shared" si="170"/>
        <v>-50</v>
      </c>
      <c r="CH81">
        <f t="shared" si="171"/>
        <v>-50</v>
      </c>
    </row>
    <row r="82" spans="5:86" x14ac:dyDescent="0.2">
      <c r="E82" s="174">
        <v>77</v>
      </c>
      <c r="F82" s="221">
        <f t="shared" si="172"/>
        <v>0.32340000000000002</v>
      </c>
      <c r="G82" s="221"/>
      <c r="H82" s="221">
        <f t="shared" si="120"/>
        <v>5.0127000000000006</v>
      </c>
      <c r="I82" s="551">
        <f t="shared" si="121"/>
        <v>12</v>
      </c>
      <c r="J82" s="176">
        <f t="shared" si="122"/>
        <v>16.399999999999999</v>
      </c>
      <c r="K82" s="451">
        <f t="shared" si="123"/>
        <v>28.4</v>
      </c>
      <c r="L82" s="451"/>
      <c r="M82" s="221">
        <f t="shared" si="124"/>
        <v>0.57746478873239437</v>
      </c>
      <c r="N82" s="176">
        <f t="shared" si="125"/>
        <v>12.78507042253521</v>
      </c>
      <c r="O82" s="176">
        <f t="shared" si="173"/>
        <v>5.0127000000000006</v>
      </c>
      <c r="P82" s="221">
        <f t="shared" si="126"/>
        <v>0.82484325306678774</v>
      </c>
      <c r="Q82" s="221">
        <f t="shared" si="127"/>
        <v>15.5</v>
      </c>
      <c r="R82" s="221">
        <f t="shared" si="128"/>
        <v>0.91649250340754196</v>
      </c>
      <c r="S82" s="176">
        <f t="shared" si="129"/>
        <v>56.647781453742084</v>
      </c>
      <c r="T82" s="176">
        <f t="shared" si="130"/>
        <v>15.5</v>
      </c>
      <c r="U82" s="221">
        <f t="shared" si="131"/>
        <v>1.6075054200542005</v>
      </c>
      <c r="V82" s="221">
        <f t="shared" si="132"/>
        <v>1.2056290650406505</v>
      </c>
      <c r="W82" s="221">
        <f t="shared" si="133"/>
        <v>0.88216760856632959</v>
      </c>
      <c r="X82" s="201">
        <f t="shared" si="134"/>
        <v>350</v>
      </c>
      <c r="Y82" s="451">
        <f t="shared" si="174"/>
        <v>350</v>
      </c>
      <c r="AA82" s="221">
        <f t="shared" si="135"/>
        <v>2.1998658618376927</v>
      </c>
      <c r="AB82" s="177">
        <f t="shared" si="136"/>
        <v>1.2072434607645877</v>
      </c>
      <c r="AC82" s="177">
        <f t="shared" si="137"/>
        <v>0.46476039334599145</v>
      </c>
      <c r="AD82" s="177"/>
      <c r="AE82" s="177">
        <f t="shared" si="138"/>
        <v>0.45</v>
      </c>
      <c r="AF82" s="555">
        <f t="shared" si="139"/>
        <v>1752.8455284552847</v>
      </c>
      <c r="AG82" s="538">
        <f t="shared" si="140"/>
        <v>6.4574999999999994E-2</v>
      </c>
      <c r="AI82" s="177">
        <f t="shared" si="141"/>
        <v>1.9343292454051428</v>
      </c>
      <c r="AJ82" s="177">
        <f t="shared" si="142"/>
        <v>1.9343292454051428</v>
      </c>
      <c r="AK82" s="177">
        <f t="shared" si="143"/>
        <v>1.9428861636034287</v>
      </c>
      <c r="AM82" s="555">
        <f t="shared" si="144"/>
        <v>323.40000000000003</v>
      </c>
      <c r="AN82" s="469">
        <f t="shared" si="145"/>
        <v>350</v>
      </c>
      <c r="AP82">
        <f t="shared" si="146"/>
        <v>323.40000000000003</v>
      </c>
      <c r="AQ82">
        <f t="shared" si="147"/>
        <v>350</v>
      </c>
      <c r="AS82" s="5">
        <f t="shared" si="175"/>
        <v>2.8571428571428572</v>
      </c>
      <c r="AT82" s="5">
        <f t="shared" si="148"/>
        <v>1.4507469340538572</v>
      </c>
      <c r="AU82" s="5">
        <f t="shared" si="176"/>
        <v>1.406395923089</v>
      </c>
      <c r="AV82" s="5">
        <f t="shared" si="149"/>
        <v>1.0615221468686762</v>
      </c>
      <c r="AW82" s="177">
        <f t="shared" si="177"/>
        <v>0.50776142691885007</v>
      </c>
      <c r="AX82" s="177">
        <f t="shared" si="150"/>
        <v>5.893066666666666</v>
      </c>
      <c r="AY82" s="177">
        <f t="shared" si="151"/>
        <v>0.47607573381368251</v>
      </c>
      <c r="AZ82" s="177">
        <f t="shared" si="178"/>
        <v>12.378422692245396</v>
      </c>
      <c r="BA82" s="469">
        <f t="shared" si="152"/>
        <v>19.587372721622344</v>
      </c>
      <c r="BB82" s="469">
        <f t="shared" si="153"/>
        <v>19.883550038709686</v>
      </c>
      <c r="BC82" s="5">
        <f t="shared" si="154"/>
        <v>1.0879384018006528</v>
      </c>
      <c r="BD82" s="469">
        <f t="shared" si="155"/>
        <v>66.668720774705847</v>
      </c>
      <c r="BE82" s="5"/>
      <c r="BF82" s="177">
        <f t="shared" si="179"/>
        <v>0.79579210009955681</v>
      </c>
      <c r="BG82" s="177">
        <f t="shared" si="156"/>
        <v>0.78353354105765416</v>
      </c>
      <c r="BH82" s="177"/>
      <c r="BI82" s="538">
        <f t="shared" si="157"/>
        <v>6.9661357323894932E-2</v>
      </c>
      <c r="BJ82" s="538">
        <f t="shared" si="158"/>
        <v>9.613616349663559E-2</v>
      </c>
      <c r="BK82" s="538">
        <f t="shared" si="159"/>
        <v>1.7499999999999998E-2</v>
      </c>
      <c r="BL82" s="538">
        <f t="shared" si="160"/>
        <v>6.3516599999999993E-2</v>
      </c>
      <c r="BM82">
        <f t="shared" si="161"/>
        <v>3.48E-3</v>
      </c>
      <c r="BN82">
        <f t="shared" si="162"/>
        <v>2.4500000000000003E-5</v>
      </c>
      <c r="BO82" s="538">
        <f t="shared" si="163"/>
        <v>0.25357773382414978</v>
      </c>
      <c r="BP82" s="469">
        <f t="shared" si="180"/>
        <v>253.57773382414979</v>
      </c>
      <c r="BQ82" s="538">
        <f t="shared" si="164"/>
        <v>0.29106000000000004</v>
      </c>
      <c r="BR82" s="538"/>
      <c r="BT82" s="469">
        <f t="shared" si="181"/>
        <v>291.06000000000006</v>
      </c>
      <c r="BU82" s="538">
        <f t="shared" si="165"/>
        <v>3.0397683195881427E-2</v>
      </c>
      <c r="BV82" s="538">
        <f t="shared" si="166"/>
        <v>0.1473419543909632</v>
      </c>
      <c r="BW82" s="538">
        <f t="shared" si="167"/>
        <v>0</v>
      </c>
      <c r="BX82" s="538">
        <f t="shared" si="168"/>
        <v>0.18030340250012847</v>
      </c>
      <c r="BY82" s="538">
        <f t="shared" si="169"/>
        <v>6.5478518518518519E-2</v>
      </c>
      <c r="BZ82" s="469">
        <f t="shared" si="182"/>
        <v>245.78192101864698</v>
      </c>
      <c r="CA82" s="177">
        <f t="shared" si="183"/>
        <v>0.79041965484279675</v>
      </c>
      <c r="CB82" s="5">
        <f t="shared" si="184"/>
        <v>5.0127000000000006</v>
      </c>
      <c r="CC82" s="177">
        <f t="shared" si="185"/>
        <v>0.86379401048827609</v>
      </c>
      <c r="CD82" s="5">
        <f t="shared" si="186"/>
        <v>86.379401048827603</v>
      </c>
      <c r="CG82" s="571">
        <f t="shared" si="170"/>
        <v>-50</v>
      </c>
      <c r="CH82">
        <f t="shared" si="171"/>
        <v>-50</v>
      </c>
    </row>
    <row r="83" spans="5:86" x14ac:dyDescent="0.2">
      <c r="E83" s="174">
        <v>78</v>
      </c>
      <c r="F83" s="221">
        <f t="shared" si="172"/>
        <v>0.3276</v>
      </c>
      <c r="G83" s="221"/>
      <c r="H83" s="221">
        <f t="shared" si="120"/>
        <v>5.0777999999999999</v>
      </c>
      <c r="I83" s="551">
        <f t="shared" si="121"/>
        <v>12</v>
      </c>
      <c r="J83" s="176">
        <f t="shared" si="122"/>
        <v>16.399999999999999</v>
      </c>
      <c r="K83" s="451">
        <f t="shared" si="123"/>
        <v>28.4</v>
      </c>
      <c r="L83" s="451"/>
      <c r="M83" s="221">
        <f t="shared" si="124"/>
        <v>0.57746478873239437</v>
      </c>
      <c r="N83" s="176">
        <f t="shared" si="125"/>
        <v>12.78507042253521</v>
      </c>
      <c r="O83" s="176">
        <f t="shared" si="173"/>
        <v>5.0777999999999999</v>
      </c>
      <c r="P83" s="221">
        <f t="shared" si="126"/>
        <v>0.82484325306678774</v>
      </c>
      <c r="Q83" s="221">
        <f t="shared" si="127"/>
        <v>15.5</v>
      </c>
      <c r="R83" s="221">
        <f t="shared" si="128"/>
        <v>0.91649250340754196</v>
      </c>
      <c r="S83" s="176">
        <f t="shared" si="129"/>
        <v>55.772984570935407</v>
      </c>
      <c r="T83" s="176">
        <f t="shared" si="130"/>
        <v>15.5</v>
      </c>
      <c r="U83" s="221">
        <f t="shared" si="131"/>
        <v>1.6283821138211381</v>
      </c>
      <c r="V83" s="221">
        <f t="shared" si="132"/>
        <v>1.2212865853658537</v>
      </c>
      <c r="W83" s="221">
        <f t="shared" si="133"/>
        <v>0.89362433075550274</v>
      </c>
      <c r="X83" s="201">
        <f t="shared" si="134"/>
        <v>350</v>
      </c>
      <c r="Y83" s="451">
        <f t="shared" si="174"/>
        <v>350</v>
      </c>
      <c r="AA83" s="221">
        <f t="shared" si="135"/>
        <v>2.1998658618376927</v>
      </c>
      <c r="AB83" s="177">
        <f t="shared" si="136"/>
        <v>1.2072434607645877</v>
      </c>
      <c r="AC83" s="177">
        <f t="shared" si="137"/>
        <v>0.46476039334599145</v>
      </c>
      <c r="AD83" s="177"/>
      <c r="AE83" s="177">
        <f t="shared" si="138"/>
        <v>0.45</v>
      </c>
      <c r="AF83" s="555">
        <f t="shared" si="139"/>
        <v>1775.6097560975609</v>
      </c>
      <c r="AG83" s="538">
        <f t="shared" si="140"/>
        <v>6.4574999999999994E-2</v>
      </c>
      <c r="AI83" s="177">
        <f t="shared" si="141"/>
        <v>1.9468493065006911</v>
      </c>
      <c r="AJ83" s="177">
        <f t="shared" si="142"/>
        <v>1.9468493065006911</v>
      </c>
      <c r="AK83" s="177">
        <f t="shared" si="143"/>
        <v>1.9512328710004607</v>
      </c>
      <c r="AM83" s="555">
        <f t="shared" si="144"/>
        <v>327.60000000000002</v>
      </c>
      <c r="AN83" s="469">
        <f t="shared" si="145"/>
        <v>350</v>
      </c>
      <c r="AP83">
        <f t="shared" si="146"/>
        <v>327.60000000000002</v>
      </c>
      <c r="AQ83">
        <f t="shared" si="147"/>
        <v>350</v>
      </c>
      <c r="AS83" s="5">
        <f t="shared" si="175"/>
        <v>2.8571428571428572</v>
      </c>
      <c r="AT83" s="5">
        <f t="shared" si="148"/>
        <v>1.4601369798755182</v>
      </c>
      <c r="AU83" s="5">
        <f t="shared" si="176"/>
        <v>1.397005877267339</v>
      </c>
      <c r="AV83" s="5">
        <f t="shared" si="149"/>
        <v>1.0683929121040379</v>
      </c>
      <c r="AW83" s="177">
        <f t="shared" si="177"/>
        <v>0.5110479429564313</v>
      </c>
      <c r="AX83" s="177">
        <f t="shared" si="150"/>
        <v>5.9696000000000007</v>
      </c>
      <c r="AY83" s="177">
        <f t="shared" si="151"/>
        <v>0.47595798658367905</v>
      </c>
      <c r="AZ83" s="177">
        <f t="shared" si="178"/>
        <v>12.542283496172564</v>
      </c>
      <c r="BA83" s="469">
        <f t="shared" si="152"/>
        <v>19.587372721622344</v>
      </c>
      <c r="BB83" s="469">
        <f t="shared" si="153"/>
        <v>20.394850402346048</v>
      </c>
      <c r="BC83" s="5">
        <f t="shared" si="154"/>
        <v>1.0947093277142117</v>
      </c>
      <c r="BD83" s="469">
        <f t="shared" si="155"/>
        <v>67.09305966285271</v>
      </c>
      <c r="BE83" s="5"/>
      <c r="BF83" s="177">
        <f t="shared" si="179"/>
        <v>0.80353080629897045</v>
      </c>
      <c r="BG83" s="177">
        <f t="shared" si="156"/>
        <v>0.78596797055346579</v>
      </c>
      <c r="BH83" s="177"/>
      <c r="BI83" s="538">
        <f t="shared" si="157"/>
        <v>7.1022793233862083E-2</v>
      </c>
      <c r="BJ83" s="538">
        <f t="shared" si="158"/>
        <v>9.6758410533084344E-2</v>
      </c>
      <c r="BK83" s="538">
        <f t="shared" si="159"/>
        <v>1.7499999999999998E-2</v>
      </c>
      <c r="BL83" s="538">
        <f t="shared" si="160"/>
        <v>6.3516599999999993E-2</v>
      </c>
      <c r="BM83">
        <f t="shared" si="161"/>
        <v>3.48E-3</v>
      </c>
      <c r="BN83">
        <f t="shared" si="162"/>
        <v>2.4500000000000003E-5</v>
      </c>
      <c r="BO83" s="538">
        <f t="shared" si="163"/>
        <v>0.25565229612787832</v>
      </c>
      <c r="BP83" s="469">
        <f t="shared" si="180"/>
        <v>255.65229612787832</v>
      </c>
      <c r="BQ83" s="538">
        <f t="shared" si="164"/>
        <v>0.29483999999999999</v>
      </c>
      <c r="BR83" s="538"/>
      <c r="BT83" s="469">
        <f t="shared" si="181"/>
        <v>294.83999999999997</v>
      </c>
      <c r="BU83" s="538">
        <f t="shared" si="165"/>
        <v>3.0991764320230729E-2</v>
      </c>
      <c r="BV83" s="538">
        <f t="shared" si="166"/>
        <v>0.14825895617662407</v>
      </c>
      <c r="BW83" s="538">
        <f t="shared" si="167"/>
        <v>0</v>
      </c>
      <c r="BX83" s="538">
        <f t="shared" si="168"/>
        <v>0.18185858306022137</v>
      </c>
      <c r="BY83" s="538">
        <f t="shared" si="169"/>
        <v>6.6328888888888896E-2</v>
      </c>
      <c r="BZ83" s="469">
        <f t="shared" si="182"/>
        <v>248.18747194911029</v>
      </c>
      <c r="CA83" s="177">
        <f t="shared" si="183"/>
        <v>0.79867976807698859</v>
      </c>
      <c r="CB83" s="5">
        <f t="shared" si="184"/>
        <v>5.0777999999999999</v>
      </c>
      <c r="CC83" s="177">
        <f t="shared" si="185"/>
        <v>0.86408874026663285</v>
      </c>
      <c r="CD83" s="5">
        <f t="shared" si="186"/>
        <v>86.408874026663284</v>
      </c>
      <c r="CG83" s="571">
        <f t="shared" si="170"/>
        <v>-50</v>
      </c>
      <c r="CH83">
        <f t="shared" si="171"/>
        <v>-50</v>
      </c>
    </row>
    <row r="84" spans="5:86" x14ac:dyDescent="0.2">
      <c r="E84" s="174">
        <v>79</v>
      </c>
      <c r="F84" s="221">
        <f t="shared" si="172"/>
        <v>0.33179999999999998</v>
      </c>
      <c r="G84" s="221"/>
      <c r="H84" s="221">
        <f t="shared" si="120"/>
        <v>5.1429</v>
      </c>
      <c r="I84" s="551">
        <f t="shared" si="121"/>
        <v>12</v>
      </c>
      <c r="J84" s="176">
        <f t="shared" si="122"/>
        <v>16.399999999999999</v>
      </c>
      <c r="K84" s="451">
        <f t="shared" si="123"/>
        <v>28.4</v>
      </c>
      <c r="L84" s="451"/>
      <c r="M84" s="221">
        <f t="shared" si="124"/>
        <v>0.57746478873239437</v>
      </c>
      <c r="N84" s="176">
        <f t="shared" si="125"/>
        <v>12.78507042253521</v>
      </c>
      <c r="O84" s="176">
        <f t="shared" si="173"/>
        <v>5.1429</v>
      </c>
      <c r="P84" s="221">
        <f t="shared" si="126"/>
        <v>0.82484325306678774</v>
      </c>
      <c r="Q84" s="221">
        <f t="shared" si="127"/>
        <v>15.5</v>
      </c>
      <c r="R84" s="221">
        <f t="shared" si="128"/>
        <v>0.91649250340754196</v>
      </c>
      <c r="S84" s="176">
        <f t="shared" si="129"/>
        <v>54.920421520871948</v>
      </c>
      <c r="T84" s="176">
        <f t="shared" si="130"/>
        <v>15.5</v>
      </c>
      <c r="U84" s="221">
        <f t="shared" si="131"/>
        <v>1.6492588075880756</v>
      </c>
      <c r="V84" s="221">
        <f t="shared" si="132"/>
        <v>1.2369441056910568</v>
      </c>
      <c r="W84" s="221">
        <f t="shared" si="133"/>
        <v>0.90508105294467589</v>
      </c>
      <c r="X84" s="201">
        <f t="shared" si="134"/>
        <v>350</v>
      </c>
      <c r="Y84" s="451">
        <f t="shared" si="174"/>
        <v>350</v>
      </c>
      <c r="AA84" s="221">
        <f t="shared" si="135"/>
        <v>2.1998658618376927</v>
      </c>
      <c r="AB84" s="177">
        <f t="shared" si="136"/>
        <v>1.2072434607645877</v>
      </c>
      <c r="AC84" s="177">
        <f t="shared" si="137"/>
        <v>0.46476039334599145</v>
      </c>
      <c r="AD84" s="177"/>
      <c r="AE84" s="177">
        <f t="shared" si="138"/>
        <v>0.45</v>
      </c>
      <c r="AF84" s="555">
        <f t="shared" si="139"/>
        <v>1798.3739837398373</v>
      </c>
      <c r="AG84" s="538">
        <f t="shared" si="140"/>
        <v>6.4574999999999994E-2</v>
      </c>
      <c r="AI84" s="177">
        <f t="shared" si="141"/>
        <v>1.9592893647480492</v>
      </c>
      <c r="AJ84" s="177">
        <f t="shared" si="142"/>
        <v>1.9592893647480492</v>
      </c>
      <c r="AK84" s="177">
        <f t="shared" si="143"/>
        <v>1.9595262431653662</v>
      </c>
      <c r="AM84" s="555">
        <f t="shared" si="144"/>
        <v>331.8</v>
      </c>
      <c r="AN84" s="469">
        <f t="shared" si="145"/>
        <v>350</v>
      </c>
      <c r="AP84">
        <f t="shared" si="146"/>
        <v>331.8</v>
      </c>
      <c r="AQ84">
        <f t="shared" si="147"/>
        <v>350</v>
      </c>
      <c r="AS84" s="5">
        <f t="shared" si="175"/>
        <v>2.8571428571428572</v>
      </c>
      <c r="AT84" s="5">
        <f t="shared" si="148"/>
        <v>1.469467023561037</v>
      </c>
      <c r="AU84" s="5">
        <f t="shared" si="176"/>
        <v>1.3876758335818202</v>
      </c>
      <c r="AV84" s="5">
        <f t="shared" si="149"/>
        <v>1.0752197733373441</v>
      </c>
      <c r="AW84" s="177">
        <f t="shared" si="177"/>
        <v>0.51431345824636288</v>
      </c>
      <c r="AX84" s="177">
        <f t="shared" si="150"/>
        <v>6.0461333333333318</v>
      </c>
      <c r="AY84" s="177">
        <f t="shared" si="151"/>
        <v>0.47580023792958026</v>
      </c>
      <c r="AZ84" s="177">
        <f t="shared" si="178"/>
        <v>12.707293631551686</v>
      </c>
      <c r="BA84" s="469">
        <f t="shared" si="152"/>
        <v>19.587372721622344</v>
      </c>
      <c r="BB84" s="469">
        <f t="shared" si="153"/>
        <v>20.912639802932556</v>
      </c>
      <c r="BC84" s="5">
        <f t="shared" si="154"/>
        <v>1.1013392044024601</v>
      </c>
      <c r="BD84" s="469">
        <f t="shared" si="155"/>
        <v>67.508935597480956</v>
      </c>
      <c r="BE84" s="5"/>
      <c r="BF84" s="177">
        <f t="shared" si="179"/>
        <v>0.81124474789769374</v>
      </c>
      <c r="BG84" s="177">
        <f t="shared" si="156"/>
        <v>0.78834440270735229</v>
      </c>
      <c r="BH84" s="177"/>
      <c r="BI84" s="538">
        <f t="shared" si="157"/>
        <v>7.2392984509075192E-2</v>
      </c>
      <c r="BJ84" s="538">
        <f t="shared" si="158"/>
        <v>9.7376681427978035E-2</v>
      </c>
      <c r="BK84" s="538">
        <f t="shared" si="159"/>
        <v>1.7499999999999998E-2</v>
      </c>
      <c r="BL84" s="538">
        <f t="shared" si="160"/>
        <v>6.3516599999999993E-2</v>
      </c>
      <c r="BM84">
        <f t="shared" si="161"/>
        <v>3.48E-3</v>
      </c>
      <c r="BN84">
        <f t="shared" si="162"/>
        <v>2.4500000000000003E-5</v>
      </c>
      <c r="BO84" s="538">
        <f t="shared" si="163"/>
        <v>0.25773318061808986</v>
      </c>
      <c r="BP84" s="469">
        <f t="shared" si="180"/>
        <v>257.73318061808988</v>
      </c>
      <c r="BQ84" s="538">
        <f t="shared" si="164"/>
        <v>0.29862</v>
      </c>
      <c r="BR84" s="538"/>
      <c r="BT84" s="469">
        <f t="shared" si="181"/>
        <v>298.62</v>
      </c>
      <c r="BU84" s="538">
        <f t="shared" si="165"/>
        <v>3.158966596759645E-2</v>
      </c>
      <c r="BV84" s="538">
        <f t="shared" si="166"/>
        <v>0.14915685534720288</v>
      </c>
      <c r="BW84" s="538">
        <f t="shared" si="167"/>
        <v>0</v>
      </c>
      <c r="BX84" s="538">
        <f t="shared" si="168"/>
        <v>0.18339841130341966</v>
      </c>
      <c r="BY84" s="538">
        <f t="shared" si="169"/>
        <v>6.7179259259259244E-2</v>
      </c>
      <c r="BZ84" s="469">
        <f t="shared" si="182"/>
        <v>250.57767056267889</v>
      </c>
      <c r="CA84" s="177">
        <f t="shared" si="183"/>
        <v>0.8069308511807689</v>
      </c>
      <c r="CB84" s="5">
        <f t="shared" si="184"/>
        <v>5.1429</v>
      </c>
      <c r="CC84" s="177">
        <f t="shared" si="185"/>
        <v>0.8643775140228348</v>
      </c>
      <c r="CD84" s="5">
        <f t="shared" si="186"/>
        <v>86.437751402283482</v>
      </c>
      <c r="CG84" s="571">
        <f t="shared" si="170"/>
        <v>-50</v>
      </c>
      <c r="CH84">
        <f t="shared" si="171"/>
        <v>-50</v>
      </c>
    </row>
    <row r="85" spans="5:86" x14ac:dyDescent="0.2">
      <c r="E85" s="174">
        <v>80</v>
      </c>
      <c r="F85" s="221">
        <f t="shared" si="172"/>
        <v>0.33600000000000002</v>
      </c>
      <c r="G85" s="221"/>
      <c r="H85" s="221">
        <f t="shared" si="120"/>
        <v>5.2080000000000002</v>
      </c>
      <c r="I85" s="551">
        <f t="shared" si="121"/>
        <v>12</v>
      </c>
      <c r="J85" s="176">
        <f t="shared" si="122"/>
        <v>16.399999999999999</v>
      </c>
      <c r="K85" s="451">
        <f t="shared" si="123"/>
        <v>28.4</v>
      </c>
      <c r="L85" s="451"/>
      <c r="M85" s="221">
        <f t="shared" si="124"/>
        <v>0.57746478873239437</v>
      </c>
      <c r="N85" s="176">
        <f t="shared" si="125"/>
        <v>12.78507042253521</v>
      </c>
      <c r="O85" s="176">
        <f t="shared" si="173"/>
        <v>5.2080000000000002</v>
      </c>
      <c r="P85" s="221">
        <f t="shared" si="126"/>
        <v>0.82484325306678774</v>
      </c>
      <c r="Q85" s="221">
        <f t="shared" si="127"/>
        <v>15.5</v>
      </c>
      <c r="R85" s="221">
        <f t="shared" si="128"/>
        <v>0.91649250340754196</v>
      </c>
      <c r="S85" s="176">
        <f t="shared" si="129"/>
        <v>54.089259134264772</v>
      </c>
      <c r="T85" s="176">
        <f t="shared" si="130"/>
        <v>15.5</v>
      </c>
      <c r="U85" s="221">
        <f t="shared" si="131"/>
        <v>1.6701355013550134</v>
      </c>
      <c r="V85" s="221">
        <f t="shared" si="132"/>
        <v>1.25260162601626</v>
      </c>
      <c r="W85" s="221">
        <f t="shared" si="133"/>
        <v>0.91653777513384893</v>
      </c>
      <c r="X85" s="201">
        <f t="shared" si="134"/>
        <v>350</v>
      </c>
      <c r="Y85" s="451">
        <f t="shared" si="174"/>
        <v>350</v>
      </c>
      <c r="AA85" s="221">
        <f t="shared" si="135"/>
        <v>2.1998658618376927</v>
      </c>
      <c r="AB85" s="177">
        <f t="shared" si="136"/>
        <v>1.2072434607645877</v>
      </c>
      <c r="AC85" s="177">
        <f t="shared" si="137"/>
        <v>0.46476039334599145</v>
      </c>
      <c r="AD85" s="177"/>
      <c r="AE85" s="177">
        <f t="shared" si="138"/>
        <v>0.45</v>
      </c>
      <c r="AF85" s="555">
        <f t="shared" si="139"/>
        <v>1821.1382113821142</v>
      </c>
      <c r="AG85" s="538">
        <f t="shared" si="140"/>
        <v>6.4574999999999994E-2</v>
      </c>
      <c r="AI85" s="177">
        <f t="shared" si="141"/>
        <v>1.9716509344727851</v>
      </c>
      <c r="AJ85" s="177">
        <f t="shared" si="142"/>
        <v>1.9716509344727851</v>
      </c>
      <c r="AK85" s="177">
        <f t="shared" si="143"/>
        <v>1.9677672896485234</v>
      </c>
      <c r="AM85" s="555">
        <f t="shared" si="144"/>
        <v>336</v>
      </c>
      <c r="AN85" s="469">
        <f t="shared" si="145"/>
        <v>350</v>
      </c>
      <c r="AP85">
        <f t="shared" si="146"/>
        <v>336</v>
      </c>
      <c r="AQ85">
        <f t="shared" si="147"/>
        <v>350</v>
      </c>
      <c r="AS85" s="5">
        <f t="shared" si="175"/>
        <v>2.8571428571428572</v>
      </c>
      <c r="AT85" s="5">
        <f t="shared" si="148"/>
        <v>1.4787382008545888</v>
      </c>
      <c r="AU85" s="5">
        <f t="shared" si="176"/>
        <v>1.3784046562882684</v>
      </c>
      <c r="AV85" s="5">
        <f t="shared" si="149"/>
        <v>1.0820035616009187</v>
      </c>
      <c r="AW85" s="177">
        <f t="shared" si="177"/>
        <v>0.51755837029910612</v>
      </c>
      <c r="AX85" s="177">
        <f t="shared" si="150"/>
        <v>6.1226666666666656</v>
      </c>
      <c r="AY85" s="177">
        <f t="shared" si="151"/>
        <v>0.47560324501417039</v>
      </c>
      <c r="AZ85" s="177">
        <f t="shared" si="178"/>
        <v>12.873475382793579</v>
      </c>
      <c r="BA85" s="469">
        <f t="shared" si="152"/>
        <v>19.587372721622344</v>
      </c>
      <c r="BB85" s="469">
        <f t="shared" si="153"/>
        <v>21.436918240469218</v>
      </c>
      <c r="BC85" s="5">
        <f t="shared" si="154"/>
        <v>1.107828927461312</v>
      </c>
      <c r="BD85" s="469">
        <f t="shared" si="155"/>
        <v>67.91640231434539</v>
      </c>
      <c r="BE85" s="5"/>
      <c r="BF85" s="177">
        <f t="shared" si="179"/>
        <v>0.81893431614231649</v>
      </c>
      <c r="BG85" s="177">
        <f t="shared" si="156"/>
        <v>0.79066368006904097</v>
      </c>
      <c r="BH85" s="177"/>
      <c r="BI85" s="538">
        <f t="shared" si="157"/>
        <v>7.3771875557103184E-2</v>
      </c>
      <c r="BJ85" s="538">
        <f t="shared" si="158"/>
        <v>9.7991051443297422E-2</v>
      </c>
      <c r="BK85" s="538">
        <f t="shared" si="159"/>
        <v>1.7499999999999998E-2</v>
      </c>
      <c r="BL85" s="538">
        <f t="shared" si="160"/>
        <v>6.3516599999999993E-2</v>
      </c>
      <c r="BM85">
        <f t="shared" si="161"/>
        <v>3.48E-3</v>
      </c>
      <c r="BN85">
        <f t="shared" si="162"/>
        <v>2.4500000000000003E-5</v>
      </c>
      <c r="BO85" s="538">
        <f t="shared" si="163"/>
        <v>0.25982041961827462</v>
      </c>
      <c r="BP85" s="469">
        <f t="shared" si="180"/>
        <v>259.82041961827463</v>
      </c>
      <c r="BQ85" s="538">
        <f t="shared" si="164"/>
        <v>0.3024</v>
      </c>
      <c r="BR85" s="538"/>
      <c r="BT85" s="469">
        <f t="shared" si="181"/>
        <v>302.39999999999998</v>
      </c>
      <c r="BU85" s="538">
        <f t="shared" si="165"/>
        <v>3.2191363879463211E-2</v>
      </c>
      <c r="BV85" s="538">
        <f t="shared" si="166"/>
        <v>0.1500357731952765</v>
      </c>
      <c r="BW85" s="538">
        <f t="shared" si="167"/>
        <v>0</v>
      </c>
      <c r="BX85" s="538">
        <f t="shared" si="168"/>
        <v>0.18492297583195558</v>
      </c>
      <c r="BY85" s="538">
        <f t="shared" si="169"/>
        <v>6.802962962962962E-2</v>
      </c>
      <c r="BZ85" s="469">
        <f t="shared" si="182"/>
        <v>252.95260546158522</v>
      </c>
      <c r="CA85" s="177">
        <f t="shared" si="183"/>
        <v>0.81517302507985989</v>
      </c>
      <c r="CB85" s="5">
        <f t="shared" si="184"/>
        <v>5.2080000000000002</v>
      </c>
      <c r="CC85" s="177">
        <f t="shared" si="185"/>
        <v>0.86466053329606096</v>
      </c>
      <c r="CD85" s="5">
        <f t="shared" si="186"/>
        <v>86.466053329606098</v>
      </c>
      <c r="CG85" s="571">
        <f t="shared" si="170"/>
        <v>-50</v>
      </c>
      <c r="CH85">
        <f t="shared" si="171"/>
        <v>-50</v>
      </c>
    </row>
    <row r="86" spans="5:86" x14ac:dyDescent="0.2">
      <c r="E86" s="174">
        <v>81</v>
      </c>
      <c r="F86" s="221">
        <f t="shared" si="172"/>
        <v>0.3402</v>
      </c>
      <c r="G86" s="221"/>
      <c r="H86" s="221">
        <f t="shared" si="120"/>
        <v>5.2731000000000003</v>
      </c>
      <c r="I86" s="551">
        <f t="shared" si="121"/>
        <v>12</v>
      </c>
      <c r="J86" s="176">
        <f t="shared" si="122"/>
        <v>16.399999999999999</v>
      </c>
      <c r="K86" s="451">
        <f t="shared" si="123"/>
        <v>28.4</v>
      </c>
      <c r="L86" s="451"/>
      <c r="M86" s="221">
        <f t="shared" si="124"/>
        <v>0.57746478873239437</v>
      </c>
      <c r="N86" s="176">
        <f t="shared" si="125"/>
        <v>12.78507042253521</v>
      </c>
      <c r="O86" s="176">
        <f t="shared" si="173"/>
        <v>5.2731000000000003</v>
      </c>
      <c r="P86" s="221">
        <f t="shared" si="126"/>
        <v>0.82484325306678774</v>
      </c>
      <c r="Q86" s="221">
        <f t="shared" si="127"/>
        <v>15.5</v>
      </c>
      <c r="R86" s="221">
        <f t="shared" si="128"/>
        <v>0.91649250340754196</v>
      </c>
      <c r="S86" s="176">
        <f t="shared" si="129"/>
        <v>53.278705390694391</v>
      </c>
      <c r="T86" s="176">
        <f t="shared" si="130"/>
        <v>15.5</v>
      </c>
      <c r="U86" s="221">
        <f t="shared" si="131"/>
        <v>1.6910121951219512</v>
      </c>
      <c r="V86" s="221">
        <f t="shared" si="132"/>
        <v>1.2682591463414634</v>
      </c>
      <c r="W86" s="221">
        <f t="shared" si="133"/>
        <v>0.92799449732302219</v>
      </c>
      <c r="X86" s="201">
        <f t="shared" si="134"/>
        <v>350</v>
      </c>
      <c r="Y86" s="451">
        <f t="shared" si="174"/>
        <v>350</v>
      </c>
      <c r="AA86" s="221">
        <f t="shared" si="135"/>
        <v>2.1998658618376927</v>
      </c>
      <c r="AB86" s="177">
        <f t="shared" si="136"/>
        <v>1.2072434607645877</v>
      </c>
      <c r="AC86" s="177">
        <f t="shared" si="137"/>
        <v>0.46476039334599145</v>
      </c>
      <c r="AD86" s="177"/>
      <c r="AE86" s="177">
        <f t="shared" si="138"/>
        <v>0.45</v>
      </c>
      <c r="AF86" s="555">
        <f t="shared" si="139"/>
        <v>1843.9024390243903</v>
      </c>
      <c r="AG86" s="538">
        <f t="shared" si="140"/>
        <v>6.4574999999999994E-2</v>
      </c>
      <c r="AI86" s="177">
        <f t="shared" si="141"/>
        <v>1.9839354828219591</v>
      </c>
      <c r="AJ86" s="177">
        <f t="shared" si="142"/>
        <v>1.9839354828219591</v>
      </c>
      <c r="AK86" s="177">
        <f t="shared" si="143"/>
        <v>1.9759569885479729</v>
      </c>
      <c r="AM86" s="555">
        <f t="shared" si="144"/>
        <v>340.2</v>
      </c>
      <c r="AN86" s="469">
        <f t="shared" si="145"/>
        <v>350</v>
      </c>
      <c r="AP86">
        <f t="shared" si="146"/>
        <v>340.2</v>
      </c>
      <c r="AQ86">
        <f t="shared" si="147"/>
        <v>350</v>
      </c>
      <c r="AS86" s="5">
        <f t="shared" si="175"/>
        <v>2.8571428571428572</v>
      </c>
      <c r="AT86" s="5">
        <f t="shared" si="148"/>
        <v>1.4879516121164691</v>
      </c>
      <c r="AU86" s="5">
        <f t="shared" si="176"/>
        <v>1.3691912450263881</v>
      </c>
      <c r="AV86" s="5">
        <f t="shared" si="149"/>
        <v>1.088745082036441</v>
      </c>
      <c r="AW86" s="177">
        <f t="shared" si="177"/>
        <v>0.52078306424076415</v>
      </c>
      <c r="AX86" s="177">
        <f t="shared" si="150"/>
        <v>6.1991999999999994</v>
      </c>
      <c r="AY86" s="177">
        <f t="shared" si="151"/>
        <v>0.47536774141097965</v>
      </c>
      <c r="AZ86" s="177">
        <f t="shared" si="178"/>
        <v>13.040851239925587</v>
      </c>
      <c r="BA86" s="469">
        <f t="shared" si="152"/>
        <v>19.587372721622344</v>
      </c>
      <c r="BB86" s="469">
        <f t="shared" si="153"/>
        <v>21.967685714956016</v>
      </c>
      <c r="BC86" s="5">
        <f t="shared" si="154"/>
        <v>1.1141793756402232</v>
      </c>
      <c r="BD86" s="469">
        <f t="shared" si="155"/>
        <v>68.315512538413401</v>
      </c>
      <c r="BE86" s="5"/>
      <c r="BF86" s="177">
        <f t="shared" si="179"/>
        <v>0.82659989129196154</v>
      </c>
      <c r="BG86" s="177">
        <f t="shared" si="156"/>
        <v>0.79292661685437027</v>
      </c>
      <c r="BH86" s="177"/>
      <c r="BI86" s="538">
        <f t="shared" si="157"/>
        <v>7.5159411831227096E-2</v>
      </c>
      <c r="BJ86" s="538">
        <f t="shared" si="158"/>
        <v>9.8601593496251375E-2</v>
      </c>
      <c r="BK86" s="538">
        <f t="shared" si="159"/>
        <v>1.7499999999999998E-2</v>
      </c>
      <c r="BL86" s="538">
        <f t="shared" si="160"/>
        <v>6.3516599999999993E-2</v>
      </c>
      <c r="BM86">
        <f t="shared" si="161"/>
        <v>3.48E-3</v>
      </c>
      <c r="BN86">
        <f t="shared" si="162"/>
        <v>2.4500000000000003E-5</v>
      </c>
      <c r="BO86" s="538">
        <f t="shared" si="163"/>
        <v>0.26191404419444103</v>
      </c>
      <c r="BP86" s="469">
        <f t="shared" si="180"/>
        <v>261.91404419444103</v>
      </c>
      <c r="BQ86" s="538">
        <f t="shared" si="164"/>
        <v>0.30618000000000001</v>
      </c>
      <c r="BR86" s="538"/>
      <c r="BT86" s="469">
        <f t="shared" si="181"/>
        <v>306.18</v>
      </c>
      <c r="BU86" s="538">
        <f t="shared" si="165"/>
        <v>3.2796834253626367E-2</v>
      </c>
      <c r="BV86" s="538">
        <f t="shared" si="166"/>
        <v>0.15089582873186813</v>
      </c>
      <c r="BW86" s="538">
        <f t="shared" si="167"/>
        <v>0</v>
      </c>
      <c r="BX86" s="538">
        <f t="shared" si="168"/>
        <v>0.18643236357199203</v>
      </c>
      <c r="BY86" s="538">
        <f t="shared" si="169"/>
        <v>6.8880000000000011E-2</v>
      </c>
      <c r="BZ86" s="469">
        <f t="shared" si="182"/>
        <v>255.31236357199205</v>
      </c>
      <c r="CA86" s="177">
        <f t="shared" si="183"/>
        <v>0.82340640776643315</v>
      </c>
      <c r="CB86" s="5">
        <f t="shared" si="184"/>
        <v>5.2731000000000003</v>
      </c>
      <c r="CC86" s="177">
        <f t="shared" si="185"/>
        <v>0.86493799026972507</v>
      </c>
      <c r="CD86" s="5">
        <f t="shared" si="186"/>
        <v>86.493799026972511</v>
      </c>
      <c r="CG86" s="571">
        <f t="shared" si="170"/>
        <v>-50</v>
      </c>
      <c r="CH86">
        <f t="shared" si="171"/>
        <v>-50</v>
      </c>
    </row>
    <row r="87" spans="5:86" x14ac:dyDescent="0.2">
      <c r="E87" s="174">
        <v>82</v>
      </c>
      <c r="F87" s="221">
        <f t="shared" si="172"/>
        <v>0.34439999999999998</v>
      </c>
      <c r="G87" s="221"/>
      <c r="H87" s="221">
        <f t="shared" si="120"/>
        <v>5.3381999999999996</v>
      </c>
      <c r="I87" s="551">
        <f t="shared" si="121"/>
        <v>12</v>
      </c>
      <c r="J87" s="176">
        <f t="shared" si="122"/>
        <v>16.399999999999999</v>
      </c>
      <c r="K87" s="451">
        <f t="shared" si="123"/>
        <v>28.4</v>
      </c>
      <c r="L87" s="451"/>
      <c r="M87" s="221">
        <f t="shared" si="124"/>
        <v>0.57746478873239437</v>
      </c>
      <c r="N87" s="176">
        <f t="shared" si="125"/>
        <v>12.78507042253521</v>
      </c>
      <c r="O87" s="176">
        <f t="shared" si="173"/>
        <v>5.3381999999999996</v>
      </c>
      <c r="P87" s="221">
        <f t="shared" si="126"/>
        <v>0.82484325306678774</v>
      </c>
      <c r="Q87" s="221">
        <f t="shared" si="127"/>
        <v>15.5</v>
      </c>
      <c r="R87" s="221">
        <f t="shared" si="128"/>
        <v>0.91649250340754196</v>
      </c>
      <c r="S87" s="176">
        <f t="shared" si="129"/>
        <v>52.488006909566941</v>
      </c>
      <c r="T87" s="176">
        <f t="shared" si="130"/>
        <v>15.5</v>
      </c>
      <c r="U87" s="221">
        <f t="shared" si="131"/>
        <v>1.7118888888888886</v>
      </c>
      <c r="V87" s="221">
        <f t="shared" si="132"/>
        <v>1.2839166666666664</v>
      </c>
      <c r="W87" s="221">
        <f t="shared" si="133"/>
        <v>0.93945121951219501</v>
      </c>
      <c r="X87" s="201">
        <f t="shared" si="134"/>
        <v>350</v>
      </c>
      <c r="Y87" s="451">
        <f t="shared" si="174"/>
        <v>350</v>
      </c>
      <c r="AA87" s="221">
        <f t="shared" si="135"/>
        <v>2.1998658618376927</v>
      </c>
      <c r="AB87" s="177">
        <f t="shared" si="136"/>
        <v>1.2072434607645877</v>
      </c>
      <c r="AC87" s="177">
        <f t="shared" si="137"/>
        <v>0.46476039334599145</v>
      </c>
      <c r="AD87" s="177"/>
      <c r="AE87" s="177">
        <f t="shared" si="138"/>
        <v>0.45</v>
      </c>
      <c r="AF87" s="555">
        <f t="shared" si="139"/>
        <v>1866.6666666666667</v>
      </c>
      <c r="AG87" s="538">
        <f t="shared" si="140"/>
        <v>6.4574999999999994E-2</v>
      </c>
      <c r="AI87" s="177">
        <f t="shared" si="141"/>
        <v>1.9961444317966053</v>
      </c>
      <c r="AJ87" s="177">
        <f t="shared" si="142"/>
        <v>1.9961444317966053</v>
      </c>
      <c r="AK87" s="177">
        <f t="shared" si="143"/>
        <v>1.9840962878644037</v>
      </c>
      <c r="AM87" s="555">
        <f t="shared" si="144"/>
        <v>344.4</v>
      </c>
      <c r="AN87" s="469">
        <f t="shared" si="145"/>
        <v>350</v>
      </c>
      <c r="AP87">
        <f t="shared" si="146"/>
        <v>344.4</v>
      </c>
      <c r="AQ87">
        <f t="shared" si="147"/>
        <v>350</v>
      </c>
      <c r="AS87" s="5">
        <f t="shared" si="175"/>
        <v>2.8571428571428572</v>
      </c>
      <c r="AT87" s="5">
        <f t="shared" si="148"/>
        <v>1.4971083238474541</v>
      </c>
      <c r="AU87" s="5">
        <f t="shared" si="176"/>
        <v>1.3600345332954031</v>
      </c>
      <c r="AV87" s="5">
        <f t="shared" si="149"/>
        <v>1.0954451150103324</v>
      </c>
      <c r="AW87" s="177">
        <f t="shared" si="177"/>
        <v>0.52398791334660888</v>
      </c>
      <c r="AX87" s="177">
        <f t="shared" si="150"/>
        <v>6.2757333333333323</v>
      </c>
      <c r="AY87" s="177">
        <f t="shared" si="151"/>
        <v>0.47509443812052493</v>
      </c>
      <c r="AZ87" s="177">
        <f t="shared" si="178"/>
        <v>13.209443912162291</v>
      </c>
      <c r="BA87" s="469">
        <f t="shared" si="152"/>
        <v>19.587372721622344</v>
      </c>
      <c r="BB87" s="469">
        <f t="shared" si="153"/>
        <v>22.504942226392966</v>
      </c>
      <c r="BC87" s="5">
        <f t="shared" si="154"/>
        <v>1.1203914113638147</v>
      </c>
      <c r="BD87" s="469">
        <f t="shared" si="155"/>
        <v>68.706318015162239</v>
      </c>
      <c r="BE87" s="5"/>
      <c r="BF87" s="177">
        <f t="shared" si="179"/>
        <v>0.83424184305850357</v>
      </c>
      <c r="BG87" s="177">
        <f t="shared" si="156"/>
        <v>0.79513400012485214</v>
      </c>
      <c r="BH87" s="177"/>
      <c r="BI87" s="538">
        <f t="shared" si="157"/>
        <v>7.6555539798061373E-2</v>
      </c>
      <c r="BJ87" s="538">
        <f t="shared" si="158"/>
        <v>9.9208378260291261E-2</v>
      </c>
      <c r="BK87" s="538">
        <f t="shared" si="159"/>
        <v>1.7499999999999998E-2</v>
      </c>
      <c r="BL87" s="538">
        <f t="shared" si="160"/>
        <v>6.3516599999999993E-2</v>
      </c>
      <c r="BM87">
        <f t="shared" si="161"/>
        <v>3.48E-3</v>
      </c>
      <c r="BN87">
        <f t="shared" si="162"/>
        <v>2.4500000000000003E-5</v>
      </c>
      <c r="BO87" s="538">
        <f t="shared" si="163"/>
        <v>0.26401408422340927</v>
      </c>
      <c r="BP87" s="469">
        <f t="shared" si="180"/>
        <v>264.01408422340927</v>
      </c>
      <c r="BQ87" s="538">
        <f t="shared" si="164"/>
        <v>0.30996000000000001</v>
      </c>
      <c r="BR87" s="538"/>
      <c r="BT87" s="469">
        <f t="shared" si="181"/>
        <v>309.96000000000004</v>
      </c>
      <c r="BU87" s="538">
        <f t="shared" si="165"/>
        <v>3.3406053730063147E-2</v>
      </c>
      <c r="BV87" s="538">
        <f t="shared" si="166"/>
        <v>0.15173713875709161</v>
      </c>
      <c r="BW87" s="538">
        <f t="shared" si="167"/>
        <v>0</v>
      </c>
      <c r="BX87" s="538">
        <f t="shared" si="168"/>
        <v>0.18792665982746712</v>
      </c>
      <c r="BY87" s="538">
        <f t="shared" si="169"/>
        <v>6.9730370370370373E-2</v>
      </c>
      <c r="BZ87" s="469">
        <f t="shared" si="182"/>
        <v>257.65703019783746</v>
      </c>
      <c r="CA87" s="177">
        <f t="shared" si="183"/>
        <v>0.83163111442124682</v>
      </c>
      <c r="CB87" s="5">
        <f t="shared" si="184"/>
        <v>5.3381999999999996</v>
      </c>
      <c r="CC87" s="177">
        <f t="shared" si="185"/>
        <v>0.86521006831493208</v>
      </c>
      <c r="CD87" s="5">
        <f t="shared" si="186"/>
        <v>86.52100683149321</v>
      </c>
      <c r="CG87" s="571">
        <f t="shared" si="170"/>
        <v>-50</v>
      </c>
      <c r="CH87">
        <f t="shared" si="171"/>
        <v>-50</v>
      </c>
    </row>
    <row r="88" spans="5:86" x14ac:dyDescent="0.2">
      <c r="E88" s="174">
        <v>83</v>
      </c>
      <c r="F88" s="221">
        <f t="shared" si="172"/>
        <v>0.34859999999999997</v>
      </c>
      <c r="G88" s="221"/>
      <c r="H88" s="221">
        <f t="shared" si="120"/>
        <v>5.4032999999999998</v>
      </c>
      <c r="I88" s="551">
        <f t="shared" si="121"/>
        <v>12</v>
      </c>
      <c r="J88" s="176">
        <f t="shared" si="122"/>
        <v>16.399999999999999</v>
      </c>
      <c r="K88" s="451">
        <f t="shared" si="123"/>
        <v>28.4</v>
      </c>
      <c r="L88" s="451"/>
      <c r="M88" s="221">
        <f t="shared" si="124"/>
        <v>0.57746478873239437</v>
      </c>
      <c r="N88" s="176">
        <f t="shared" si="125"/>
        <v>12.78507042253521</v>
      </c>
      <c r="O88" s="176">
        <f t="shared" si="173"/>
        <v>5.4032999999999998</v>
      </c>
      <c r="P88" s="221">
        <f t="shared" si="126"/>
        <v>0.82484325306678774</v>
      </c>
      <c r="Q88" s="221">
        <f t="shared" si="127"/>
        <v>15.5</v>
      </c>
      <c r="R88" s="221">
        <f t="shared" si="128"/>
        <v>0.91649250340754196</v>
      </c>
      <c r="S88" s="176">
        <f t="shared" si="129"/>
        <v>51.716446622449162</v>
      </c>
      <c r="T88" s="176">
        <f t="shared" si="130"/>
        <v>15.5</v>
      </c>
      <c r="U88" s="221">
        <f t="shared" si="131"/>
        <v>1.7327655826558264</v>
      </c>
      <c r="V88" s="221">
        <f t="shared" si="132"/>
        <v>1.2995741869918698</v>
      </c>
      <c r="W88" s="221">
        <f t="shared" si="133"/>
        <v>0.95090794170136828</v>
      </c>
      <c r="X88" s="201">
        <f t="shared" si="134"/>
        <v>350</v>
      </c>
      <c r="Y88" s="451">
        <f t="shared" si="174"/>
        <v>350</v>
      </c>
      <c r="AA88" s="221">
        <f t="shared" si="135"/>
        <v>2.1998658618376927</v>
      </c>
      <c r="AB88" s="177">
        <f t="shared" si="136"/>
        <v>1.2072434607645877</v>
      </c>
      <c r="AC88" s="177">
        <f t="shared" si="137"/>
        <v>0.46476039334599145</v>
      </c>
      <c r="AD88" s="177"/>
      <c r="AE88" s="177">
        <f t="shared" si="138"/>
        <v>0.45</v>
      </c>
      <c r="AF88" s="555">
        <f t="shared" si="139"/>
        <v>1889.4308943089432</v>
      </c>
      <c r="AG88" s="538">
        <f t="shared" si="140"/>
        <v>6.4574999999999994E-2</v>
      </c>
      <c r="AI88" s="177">
        <f t="shared" si="141"/>
        <v>2.0082791601730037</v>
      </c>
      <c r="AJ88" s="177">
        <f t="shared" si="142"/>
        <v>2.0082791601730037</v>
      </c>
      <c r="AK88" s="177">
        <f t="shared" si="143"/>
        <v>1.9921861067820026</v>
      </c>
      <c r="AM88" s="555">
        <f t="shared" si="144"/>
        <v>348.59999999999997</v>
      </c>
      <c r="AN88" s="469">
        <f t="shared" si="145"/>
        <v>350</v>
      </c>
      <c r="AP88">
        <f t="shared" si="146"/>
        <v>348.59999999999997</v>
      </c>
      <c r="AQ88">
        <f t="shared" si="147"/>
        <v>350</v>
      </c>
      <c r="AS88" s="5">
        <f t="shared" si="175"/>
        <v>2.8571428571428572</v>
      </c>
      <c r="AT88" s="5">
        <f t="shared" si="148"/>
        <v>1.5062093701297528</v>
      </c>
      <c r="AU88" s="5">
        <f t="shared" si="176"/>
        <v>1.3509334870131045</v>
      </c>
      <c r="AV88" s="5">
        <f t="shared" si="149"/>
        <v>1.102104417168112</v>
      </c>
      <c r="AW88" s="177">
        <f t="shared" si="177"/>
        <v>0.52717327954541349</v>
      </c>
      <c r="AX88" s="177">
        <f t="shared" si="150"/>
        <v>6.3522666666666669</v>
      </c>
      <c r="AY88" s="177">
        <f t="shared" si="151"/>
        <v>0.47478402453094631</v>
      </c>
      <c r="AZ88" s="177">
        <f t="shared" si="178"/>
        <v>13.379276341368616</v>
      </c>
      <c r="BA88" s="469">
        <f t="shared" si="152"/>
        <v>19.587372721622344</v>
      </c>
      <c r="BB88" s="469">
        <f t="shared" si="153"/>
        <v>23.04868777478006</v>
      </c>
      <c r="BC88" s="5">
        <f t="shared" si="154"/>
        <v>1.1264658812311581</v>
      </c>
      <c r="BD88" s="469">
        <f t="shared" si="155"/>
        <v>69.08886954053618</v>
      </c>
      <c r="BE88" s="5"/>
      <c r="BF88" s="177">
        <f t="shared" si="179"/>
        <v>0.84186053102400327</v>
      </c>
      <c r="BG88" s="177">
        <f t="shared" si="156"/>
        <v>0.79728659090215381</v>
      </c>
      <c r="BH88" s="177"/>
      <c r="BI88" s="538">
        <f t="shared" si="157"/>
        <v>7.7960206906561844E-2</v>
      </c>
      <c r="BJ88" s="538">
        <f t="shared" si="158"/>
        <v>9.9811474260598276E-2</v>
      </c>
      <c r="BK88" s="538">
        <f t="shared" si="159"/>
        <v>1.7499999999999998E-2</v>
      </c>
      <c r="BL88" s="538">
        <f t="shared" si="160"/>
        <v>6.3516599999999993E-2</v>
      </c>
      <c r="BM88">
        <f t="shared" si="161"/>
        <v>3.48E-3</v>
      </c>
      <c r="BN88">
        <f t="shared" si="162"/>
        <v>2.4500000000000003E-5</v>
      </c>
      <c r="BO88" s="538">
        <f t="shared" si="163"/>
        <v>0.26612056845698534</v>
      </c>
      <c r="BP88" s="469">
        <f t="shared" si="180"/>
        <v>266.12056845698532</v>
      </c>
      <c r="BQ88" s="538">
        <f t="shared" si="164"/>
        <v>0.31373999999999996</v>
      </c>
      <c r="BR88" s="538"/>
      <c r="BT88" s="469">
        <f t="shared" si="181"/>
        <v>313.73999999999995</v>
      </c>
      <c r="BU88" s="538">
        <f t="shared" si="165"/>
        <v>3.4018999377408807E-2</v>
      </c>
      <c r="BV88" s="538">
        <f t="shared" si="166"/>
        <v>0.15255981792777079</v>
      </c>
      <c r="BW88" s="538">
        <f t="shared" si="167"/>
        <v>0</v>
      </c>
      <c r="BX88" s="538">
        <f t="shared" si="168"/>
        <v>0.18940594833160171</v>
      </c>
      <c r="BY88" s="538">
        <f t="shared" si="169"/>
        <v>7.0580740740740736E-2</v>
      </c>
      <c r="BZ88" s="469">
        <f t="shared" si="182"/>
        <v>259.98668907234247</v>
      </c>
      <c r="CA88" s="177">
        <f t="shared" si="183"/>
        <v>0.83984725752932776</v>
      </c>
      <c r="CB88" s="5">
        <f t="shared" si="184"/>
        <v>5.4032999999999998</v>
      </c>
      <c r="CC88" s="177">
        <f t="shared" si="185"/>
        <v>0.865476942496197</v>
      </c>
      <c r="CD88" s="5">
        <f t="shared" si="186"/>
        <v>86.547694249619695</v>
      </c>
      <c r="CG88" s="571">
        <f t="shared" si="170"/>
        <v>-50</v>
      </c>
      <c r="CH88">
        <f t="shared" si="171"/>
        <v>-50</v>
      </c>
    </row>
    <row r="89" spans="5:86" x14ac:dyDescent="0.2">
      <c r="E89" s="174">
        <v>84</v>
      </c>
      <c r="F89" s="221">
        <f t="shared" si="172"/>
        <v>0.35279999999999995</v>
      </c>
      <c r="G89" s="221"/>
      <c r="H89" s="221">
        <f t="shared" si="120"/>
        <v>5.468399999999999</v>
      </c>
      <c r="I89" s="551">
        <f t="shared" si="121"/>
        <v>12</v>
      </c>
      <c r="J89" s="176">
        <f t="shared" si="122"/>
        <v>16.399999999999999</v>
      </c>
      <c r="K89" s="451">
        <f t="shared" si="123"/>
        <v>28.4</v>
      </c>
      <c r="L89" s="451"/>
      <c r="M89" s="221">
        <f t="shared" si="124"/>
        <v>0.57746478873239437</v>
      </c>
      <c r="N89" s="176">
        <f t="shared" si="125"/>
        <v>12.78507042253521</v>
      </c>
      <c r="O89" s="176">
        <f t="shared" si="173"/>
        <v>5.468399999999999</v>
      </c>
      <c r="P89" s="221">
        <f t="shared" si="126"/>
        <v>0.82484325306678774</v>
      </c>
      <c r="Q89" s="221">
        <f t="shared" si="127"/>
        <v>15.5</v>
      </c>
      <c r="R89" s="221">
        <f t="shared" si="128"/>
        <v>0.91649250340754196</v>
      </c>
      <c r="S89" s="176">
        <f t="shared" si="129"/>
        <v>50.963341611665179</v>
      </c>
      <c r="T89" s="176">
        <f t="shared" si="130"/>
        <v>15.5</v>
      </c>
      <c r="U89" s="221">
        <f t="shared" si="131"/>
        <v>1.7536422764227637</v>
      </c>
      <c r="V89" s="221">
        <f t="shared" si="132"/>
        <v>1.315231707317073</v>
      </c>
      <c r="W89" s="221">
        <f t="shared" si="133"/>
        <v>0.96236466389054109</v>
      </c>
      <c r="X89" s="201">
        <f t="shared" si="134"/>
        <v>350</v>
      </c>
      <c r="Y89" s="451">
        <f t="shared" si="174"/>
        <v>350</v>
      </c>
      <c r="AA89" s="221">
        <f t="shared" si="135"/>
        <v>2.1998658618376927</v>
      </c>
      <c r="AB89" s="177">
        <f t="shared" si="136"/>
        <v>1.2072434607645877</v>
      </c>
      <c r="AC89" s="177">
        <f t="shared" si="137"/>
        <v>0.46476039334599145</v>
      </c>
      <c r="AD89" s="177"/>
      <c r="AE89" s="177">
        <f t="shared" si="138"/>
        <v>0.45</v>
      </c>
      <c r="AF89" s="555">
        <f t="shared" si="139"/>
        <v>1912.1951219512193</v>
      </c>
      <c r="AG89" s="538">
        <f t="shared" si="140"/>
        <v>6.4574999999999994E-2</v>
      </c>
      <c r="AI89" s="177">
        <f t="shared" si="141"/>
        <v>2.0203410053200863</v>
      </c>
      <c r="AJ89" s="177">
        <f t="shared" si="142"/>
        <v>2.0203410053200863</v>
      </c>
      <c r="AK89" s="177">
        <f t="shared" si="143"/>
        <v>2.0002273368800578</v>
      </c>
      <c r="AM89" s="555">
        <f t="shared" si="144"/>
        <v>352.79999999999995</v>
      </c>
      <c r="AN89" s="469">
        <f t="shared" si="145"/>
        <v>350</v>
      </c>
      <c r="AP89">
        <f t="shared" si="146"/>
        <v>352.79999999999995</v>
      </c>
      <c r="AQ89">
        <f t="shared" si="147"/>
        <v>350</v>
      </c>
      <c r="AS89" s="5">
        <f t="shared" si="175"/>
        <v>2.8571428571428572</v>
      </c>
      <c r="AT89" s="5">
        <f t="shared" si="148"/>
        <v>1.5152557539900648</v>
      </c>
      <c r="AU89" s="5">
        <f t="shared" si="176"/>
        <v>1.3418871031527924</v>
      </c>
      <c r="AV89" s="5">
        <f t="shared" si="149"/>
        <v>1.1087237224317548</v>
      </c>
      <c r="AW89" s="177">
        <f t="shared" si="177"/>
        <v>0.53033951389652267</v>
      </c>
      <c r="AX89" s="177">
        <f t="shared" si="150"/>
        <v>6.428799999999999</v>
      </c>
      <c r="AY89" s="177">
        <f t="shared" si="151"/>
        <v>0.47443716932670993</v>
      </c>
      <c r="AZ89" s="177">
        <f t="shared" si="178"/>
        <v>13.55037171544407</v>
      </c>
      <c r="BA89" s="469">
        <f t="shared" si="152"/>
        <v>19.587372721622344</v>
      </c>
      <c r="BB89" s="469">
        <f t="shared" si="153"/>
        <v>23.598922360117303</v>
      </c>
      <c r="BC89" s="5">
        <f t="shared" si="154"/>
        <v>1.1324036164939393</v>
      </c>
      <c r="BD89" s="469">
        <f t="shared" si="155"/>
        <v>69.463216989636393</v>
      </c>
      <c r="BE89" s="5"/>
      <c r="BF89" s="177">
        <f t="shared" si="179"/>
        <v>0.84945630503679526</v>
      </c>
      <c r="BG89" s="177">
        <f t="shared" si="156"/>
        <v>0.79938512522177163</v>
      </c>
      <c r="BH89" s="177"/>
      <c r="BI89" s="538">
        <f t="shared" si="157"/>
        <v>7.9373361558344152E-2</v>
      </c>
      <c r="BJ89" s="538">
        <f t="shared" si="158"/>
        <v>0.10041094796440829</v>
      </c>
      <c r="BK89" s="538">
        <f t="shared" si="159"/>
        <v>1.7499999999999998E-2</v>
      </c>
      <c r="BL89" s="538">
        <f t="shared" si="160"/>
        <v>6.3516599999999993E-2</v>
      </c>
      <c r="BM89">
        <f t="shared" si="161"/>
        <v>3.48E-3</v>
      </c>
      <c r="BN89">
        <f t="shared" si="162"/>
        <v>2.4500000000000003E-5</v>
      </c>
      <c r="BO89" s="538">
        <f t="shared" si="163"/>
        <v>0.26823352458230509</v>
      </c>
      <c r="BP89" s="469">
        <f t="shared" si="180"/>
        <v>268.23352458230511</v>
      </c>
      <c r="BQ89" s="538">
        <f t="shared" si="164"/>
        <v>0.31751999999999997</v>
      </c>
      <c r="BR89" s="538"/>
      <c r="BT89" s="469">
        <f t="shared" si="181"/>
        <v>317.52</v>
      </c>
      <c r="BU89" s="538">
        <f t="shared" si="165"/>
        <v>3.4635648680004717E-2</v>
      </c>
      <c r="BV89" s="538">
        <f t="shared" si="166"/>
        <v>0.1533639788221986</v>
      </c>
      <c r="BW89" s="538">
        <f t="shared" si="167"/>
        <v>0</v>
      </c>
      <c r="BX89" s="538">
        <f t="shared" si="168"/>
        <v>0.19087031129619647</v>
      </c>
      <c r="BY89" s="538">
        <f t="shared" si="169"/>
        <v>7.1431111111111098E-2</v>
      </c>
      <c r="BZ89" s="469">
        <f t="shared" si="182"/>
        <v>262.3014224073076</v>
      </c>
      <c r="CA89" s="177">
        <f t="shared" si="183"/>
        <v>0.8480549469896127</v>
      </c>
      <c r="CB89" s="5">
        <f t="shared" si="184"/>
        <v>5.468399999999999</v>
      </c>
      <c r="CC89" s="177">
        <f t="shared" si="185"/>
        <v>0.86573878004246818</v>
      </c>
      <c r="CD89" s="5">
        <f t="shared" si="186"/>
        <v>86.573878004246822</v>
      </c>
      <c r="CG89" s="571">
        <f t="shared" si="170"/>
        <v>-50</v>
      </c>
      <c r="CH89">
        <f t="shared" si="171"/>
        <v>-50</v>
      </c>
    </row>
    <row r="90" spans="5:86" x14ac:dyDescent="0.2">
      <c r="E90" s="174">
        <v>85</v>
      </c>
      <c r="F90" s="221">
        <f t="shared" si="172"/>
        <v>0.35699999999999998</v>
      </c>
      <c r="G90" s="221"/>
      <c r="H90" s="221">
        <f t="shared" si="120"/>
        <v>5.5335000000000001</v>
      </c>
      <c r="I90" s="551">
        <f t="shared" si="121"/>
        <v>12</v>
      </c>
      <c r="J90" s="176">
        <f t="shared" si="122"/>
        <v>16.399999999999999</v>
      </c>
      <c r="K90" s="451">
        <f t="shared" si="123"/>
        <v>28.4</v>
      </c>
      <c r="L90" s="451"/>
      <c r="M90" s="221">
        <f t="shared" si="124"/>
        <v>0.57746478873239437</v>
      </c>
      <c r="N90" s="176">
        <f t="shared" si="125"/>
        <v>12.78507042253521</v>
      </c>
      <c r="O90" s="176">
        <f t="shared" si="173"/>
        <v>5.5335000000000001</v>
      </c>
      <c r="P90" s="221">
        <f t="shared" si="126"/>
        <v>0.82484325306678774</v>
      </c>
      <c r="Q90" s="221">
        <f t="shared" si="127"/>
        <v>15.5</v>
      </c>
      <c r="R90" s="221">
        <f t="shared" si="128"/>
        <v>0.91649250340754196</v>
      </c>
      <c r="S90" s="176">
        <f t="shared" si="129"/>
        <v>50.228041101463099</v>
      </c>
      <c r="T90" s="176">
        <f t="shared" si="130"/>
        <v>15.5</v>
      </c>
      <c r="U90" s="221">
        <f t="shared" si="131"/>
        <v>1.7745189701897017</v>
      </c>
      <c r="V90" s="221">
        <f t="shared" si="132"/>
        <v>1.3308892276422764</v>
      </c>
      <c r="W90" s="221">
        <f t="shared" si="133"/>
        <v>0.97382138607971447</v>
      </c>
      <c r="X90" s="201">
        <f t="shared" si="134"/>
        <v>350</v>
      </c>
      <c r="Y90" s="451">
        <f t="shared" si="174"/>
        <v>350</v>
      </c>
      <c r="AA90" s="221">
        <f t="shared" si="135"/>
        <v>2.1998658618376927</v>
      </c>
      <c r="AB90" s="177">
        <f t="shared" si="136"/>
        <v>1.2072434607645877</v>
      </c>
      <c r="AC90" s="177">
        <f t="shared" si="137"/>
        <v>0.46476039334599145</v>
      </c>
      <c r="AD90" s="177"/>
      <c r="AE90" s="177">
        <f t="shared" si="138"/>
        <v>0.45</v>
      </c>
      <c r="AF90" s="555">
        <f t="shared" si="139"/>
        <v>1934.959349593496</v>
      </c>
      <c r="AG90" s="538">
        <f t="shared" si="140"/>
        <v>6.4574999999999994E-2</v>
      </c>
      <c r="AI90" s="177">
        <f t="shared" si="141"/>
        <v>2.0323312649197645</v>
      </c>
      <c r="AJ90" s="177">
        <f t="shared" si="142"/>
        <v>2.0323312649197645</v>
      </c>
      <c r="AK90" s="177">
        <f t="shared" si="143"/>
        <v>2.008220843279843</v>
      </c>
      <c r="AM90" s="555">
        <f t="shared" si="144"/>
        <v>357</v>
      </c>
      <c r="AN90" s="469">
        <f t="shared" si="145"/>
        <v>350</v>
      </c>
      <c r="AP90">
        <f t="shared" si="146"/>
        <v>357</v>
      </c>
      <c r="AQ90">
        <f t="shared" si="147"/>
        <v>350</v>
      </c>
      <c r="AS90" s="5">
        <f t="shared" si="175"/>
        <v>2.8571428571428572</v>
      </c>
      <c r="AT90" s="5">
        <f t="shared" si="148"/>
        <v>1.5242484486898236</v>
      </c>
      <c r="AU90" s="5">
        <f t="shared" si="176"/>
        <v>1.3328944084530336</v>
      </c>
      <c r="AV90" s="5">
        <f t="shared" si="149"/>
        <v>1.1153037429437733</v>
      </c>
      <c r="AW90" s="177">
        <f t="shared" si="177"/>
        <v>0.53348695704143823</v>
      </c>
      <c r="AX90" s="177">
        <f t="shared" si="150"/>
        <v>6.5053333333333336</v>
      </c>
      <c r="AY90" s="177">
        <f t="shared" si="151"/>
        <v>0.47405452134877113</v>
      </c>
      <c r="AZ90" s="177">
        <f t="shared" si="178"/>
        <v>13.722753481655401</v>
      </c>
      <c r="BA90" s="469">
        <f t="shared" si="152"/>
        <v>19.587372721622344</v>
      </c>
      <c r="BB90" s="469">
        <f t="shared" si="153"/>
        <v>24.155645982404696</v>
      </c>
      <c r="BC90" s="5">
        <f t="shared" si="154"/>
        <v>1.1382054335146392</v>
      </c>
      <c r="BD90" s="469">
        <f t="shared" si="155"/>
        <v>69.829409344211683</v>
      </c>
      <c r="BE90" s="5"/>
      <c r="BF90" s="177">
        <f t="shared" si="179"/>
        <v>0.85702950558756674</v>
      </c>
      <c r="BG90" s="177">
        <f t="shared" si="156"/>
        <v>0.80143031512984397</v>
      </c>
      <c r="BH90" s="177"/>
      <c r="BI90" s="538">
        <f t="shared" si="157"/>
        <v>8.07949530792436E-2</v>
      </c>
      <c r="BJ90" s="538">
        <f t="shared" si="158"/>
        <v>0.10100686386651229</v>
      </c>
      <c r="BK90" s="538">
        <f t="shared" si="159"/>
        <v>1.7499999999999998E-2</v>
      </c>
      <c r="BL90" s="538">
        <f t="shared" si="160"/>
        <v>6.3516599999999993E-2</v>
      </c>
      <c r="BM90">
        <f t="shared" si="161"/>
        <v>3.48E-3</v>
      </c>
      <c r="BN90">
        <f t="shared" si="162"/>
        <v>2.4500000000000003E-5</v>
      </c>
      <c r="BO90" s="538">
        <f t="shared" si="163"/>
        <v>0.27035297927861324</v>
      </c>
      <c r="BP90" s="469">
        <f t="shared" si="180"/>
        <v>270.35297927861325</v>
      </c>
      <c r="BQ90" s="538">
        <f t="shared" si="164"/>
        <v>0.32129999999999997</v>
      </c>
      <c r="BR90" s="538"/>
      <c r="BT90" s="469">
        <f t="shared" si="181"/>
        <v>321.29999999999995</v>
      </c>
      <c r="BU90" s="538">
        <f t="shared" si="165"/>
        <v>3.5255979525488118E-2</v>
      </c>
      <c r="BV90" s="538">
        <f t="shared" si="166"/>
        <v>0.15414973200218904</v>
      </c>
      <c r="BW90" s="538">
        <f t="shared" si="167"/>
        <v>0</v>
      </c>
      <c r="BX90" s="538">
        <f t="shared" si="168"/>
        <v>0.1923198294588398</v>
      </c>
      <c r="BY90" s="538">
        <f t="shared" si="169"/>
        <v>7.2281481481481488E-2</v>
      </c>
      <c r="BZ90" s="469">
        <f t="shared" si="182"/>
        <v>264.6013109403213</v>
      </c>
      <c r="CA90" s="177">
        <f t="shared" si="183"/>
        <v>0.8562542902189344</v>
      </c>
      <c r="CB90" s="5">
        <f t="shared" si="184"/>
        <v>5.5335000000000001</v>
      </c>
      <c r="CC90" s="177">
        <f t="shared" si="185"/>
        <v>0.86599574078620856</v>
      </c>
      <c r="CD90" s="5">
        <f t="shared" si="186"/>
        <v>86.599574078620861</v>
      </c>
      <c r="CG90" s="571">
        <f t="shared" si="170"/>
        <v>-50</v>
      </c>
      <c r="CH90">
        <f t="shared" si="171"/>
        <v>-50</v>
      </c>
    </row>
    <row r="91" spans="5:86" x14ac:dyDescent="0.2">
      <c r="E91" s="174">
        <v>86</v>
      </c>
      <c r="F91" s="221">
        <f t="shared" si="172"/>
        <v>0.36119999999999997</v>
      </c>
      <c r="G91" s="221"/>
      <c r="H91" s="221">
        <f t="shared" si="120"/>
        <v>5.5985999999999994</v>
      </c>
      <c r="I91" s="551">
        <f t="shared" si="121"/>
        <v>12</v>
      </c>
      <c r="J91" s="176">
        <f t="shared" si="122"/>
        <v>16.399999999999999</v>
      </c>
      <c r="K91" s="451">
        <f t="shared" si="123"/>
        <v>28.4</v>
      </c>
      <c r="L91" s="451"/>
      <c r="M91" s="221">
        <f t="shared" si="124"/>
        <v>0.57746478873239437</v>
      </c>
      <c r="N91" s="176">
        <f t="shared" si="125"/>
        <v>12.78507042253521</v>
      </c>
      <c r="O91" s="176">
        <f t="shared" si="173"/>
        <v>5.5985999999999994</v>
      </c>
      <c r="P91" s="221">
        <f t="shared" si="126"/>
        <v>0.82484325306678774</v>
      </c>
      <c r="Q91" s="221">
        <f t="shared" si="127"/>
        <v>15.5</v>
      </c>
      <c r="R91" s="221">
        <f t="shared" si="128"/>
        <v>0.91649250340754196</v>
      </c>
      <c r="S91" s="176">
        <f t="shared" si="129"/>
        <v>49.509924589332954</v>
      </c>
      <c r="T91" s="176">
        <f t="shared" si="130"/>
        <v>15.5</v>
      </c>
      <c r="U91" s="221">
        <f t="shared" si="131"/>
        <v>1.7953956639566393</v>
      </c>
      <c r="V91" s="221">
        <f t="shared" si="132"/>
        <v>1.3465467479674795</v>
      </c>
      <c r="W91" s="221">
        <f t="shared" si="133"/>
        <v>0.98527810826888751</v>
      </c>
      <c r="X91" s="201">
        <f t="shared" si="134"/>
        <v>350</v>
      </c>
      <c r="Y91" s="451">
        <f t="shared" si="174"/>
        <v>350</v>
      </c>
      <c r="AA91" s="221">
        <f t="shared" si="135"/>
        <v>2.1998658618376927</v>
      </c>
      <c r="AB91" s="177">
        <f t="shared" si="136"/>
        <v>1.2072434607645877</v>
      </c>
      <c r="AC91" s="177">
        <f t="shared" si="137"/>
        <v>0.46476039334599145</v>
      </c>
      <c r="AD91" s="177"/>
      <c r="AE91" s="177">
        <f t="shared" si="138"/>
        <v>0.45</v>
      </c>
      <c r="AF91" s="555">
        <f t="shared" si="139"/>
        <v>1957.7235772357724</v>
      </c>
      <c r="AG91" s="538">
        <f t="shared" si="140"/>
        <v>6.4574999999999994E-2</v>
      </c>
      <c r="AI91" s="177">
        <f t="shared" si="141"/>
        <v>2.0442511985964349</v>
      </c>
      <c r="AJ91" s="177">
        <f t="shared" si="142"/>
        <v>2.0442511985964349</v>
      </c>
      <c r="AK91" s="177">
        <f t="shared" si="143"/>
        <v>2.0161674657309567</v>
      </c>
      <c r="AM91" s="555">
        <f t="shared" si="144"/>
        <v>361.2</v>
      </c>
      <c r="AN91" s="469">
        <f t="shared" si="145"/>
        <v>350</v>
      </c>
      <c r="AP91">
        <f t="shared" si="146"/>
        <v>361.2</v>
      </c>
      <c r="AQ91">
        <f t="shared" si="147"/>
        <v>350</v>
      </c>
      <c r="AS91" s="5">
        <f t="shared" si="175"/>
        <v>2.8571428571428572</v>
      </c>
      <c r="AT91" s="5">
        <f t="shared" si="148"/>
        <v>1.5331883989473261</v>
      </c>
      <c r="AU91" s="5">
        <f t="shared" si="176"/>
        <v>1.3239544581955311</v>
      </c>
      <c r="AV91" s="5">
        <f t="shared" si="149"/>
        <v>1.1218451699614582</v>
      </c>
      <c r="AW91" s="177">
        <f t="shared" si="177"/>
        <v>0.53661593963156407</v>
      </c>
      <c r="AX91" s="177">
        <f t="shared" si="150"/>
        <v>6.5818666666666621</v>
      </c>
      <c r="AY91" s="177">
        <f t="shared" si="151"/>
        <v>0.47363671040932898</v>
      </c>
      <c r="AZ91" s="177">
        <f t="shared" si="178"/>
        <v>13.896445359943582</v>
      </c>
      <c r="BA91" s="469">
        <f t="shared" si="152"/>
        <v>19.587372721622344</v>
      </c>
      <c r="BB91" s="469">
        <f t="shared" si="153"/>
        <v>24.718858641642232</v>
      </c>
      <c r="BC91" s="5">
        <f t="shared" si="154"/>
        <v>1.1438721342057867</v>
      </c>
      <c r="BD91" s="469">
        <f t="shared" si="155"/>
        <v>70.187494719013884</v>
      </c>
      <c r="BE91" s="5"/>
      <c r="BF91" s="177">
        <f t="shared" si="179"/>
        <v>0.8645804641666528</v>
      </c>
      <c r="BG91" s="177">
        <f t="shared" si="156"/>
        <v>0.80342284962674682</v>
      </c>
      <c r="BH91" s="177"/>
      <c r="BI91" s="538">
        <f t="shared" si="157"/>
        <v>8.2224931692048739E-2</v>
      </c>
      <c r="BJ91" s="538">
        <f t="shared" si="158"/>
        <v>0.10159928457024282</v>
      </c>
      <c r="BK91" s="538">
        <f t="shared" si="159"/>
        <v>1.7499999999999998E-2</v>
      </c>
      <c r="BL91" s="538">
        <f t="shared" si="160"/>
        <v>6.3516599999999993E-2</v>
      </c>
      <c r="BM91">
        <f t="shared" si="161"/>
        <v>3.48E-3</v>
      </c>
      <c r="BN91">
        <f t="shared" si="162"/>
        <v>2.4500000000000003E-5</v>
      </c>
      <c r="BO91" s="538">
        <f t="shared" si="163"/>
        <v>0.2724789582707221</v>
      </c>
      <c r="BP91" s="469">
        <f t="shared" si="180"/>
        <v>272.4789582707221</v>
      </c>
      <c r="BQ91" s="538">
        <f t="shared" si="164"/>
        <v>0.32507999999999998</v>
      </c>
      <c r="BR91" s="538"/>
      <c r="BT91" s="469">
        <f t="shared" si="181"/>
        <v>325.08</v>
      </c>
      <c r="BU91" s="538">
        <f t="shared" si="165"/>
        <v>3.5879970192893997E-2</v>
      </c>
      <c r="BV91" s="538">
        <f t="shared" si="166"/>
        <v>0.15491718607256691</v>
      </c>
      <c r="BW91" s="538">
        <f t="shared" si="167"/>
        <v>0</v>
      </c>
      <c r="BX91" s="538">
        <f t="shared" si="168"/>
        <v>0.19375458212813701</v>
      </c>
      <c r="BY91" s="538">
        <f t="shared" si="169"/>
        <v>7.3131851851851809E-2</v>
      </c>
      <c r="BZ91" s="469">
        <f t="shared" si="182"/>
        <v>266.88643397998879</v>
      </c>
      <c r="CA91" s="177">
        <f t="shared" si="183"/>
        <v>0.86444539225071093</v>
      </c>
      <c r="CB91" s="5">
        <f t="shared" si="184"/>
        <v>5.5985999999999994</v>
      </c>
      <c r="CC91" s="177">
        <f t="shared" si="185"/>
        <v>0.86624797757305028</v>
      </c>
      <c r="CD91" s="5">
        <f t="shared" si="186"/>
        <v>86.624797757305032</v>
      </c>
      <c r="CG91" s="571">
        <f t="shared" si="170"/>
        <v>-50</v>
      </c>
      <c r="CH91">
        <f t="shared" si="171"/>
        <v>-50</v>
      </c>
    </row>
    <row r="92" spans="5:86" x14ac:dyDescent="0.2">
      <c r="E92" s="174">
        <v>87</v>
      </c>
      <c r="F92" s="221">
        <f t="shared" si="172"/>
        <v>0.3654</v>
      </c>
      <c r="G92" s="221"/>
      <c r="H92" s="221">
        <f t="shared" si="120"/>
        <v>5.6637000000000004</v>
      </c>
      <c r="I92" s="551">
        <f t="shared" si="121"/>
        <v>12</v>
      </c>
      <c r="J92" s="176">
        <f t="shared" si="122"/>
        <v>16.399999999999999</v>
      </c>
      <c r="K92" s="451">
        <f t="shared" si="123"/>
        <v>28.4</v>
      </c>
      <c r="L92" s="451"/>
      <c r="M92" s="221">
        <f t="shared" si="124"/>
        <v>0.57746478873239437</v>
      </c>
      <c r="N92" s="176">
        <f t="shared" si="125"/>
        <v>12.78507042253521</v>
      </c>
      <c r="O92" s="176">
        <f t="shared" si="173"/>
        <v>5.6637000000000004</v>
      </c>
      <c r="P92" s="221">
        <f t="shared" si="126"/>
        <v>0.82484325306678774</v>
      </c>
      <c r="Q92" s="221">
        <f t="shared" si="127"/>
        <v>15.5</v>
      </c>
      <c r="R92" s="221">
        <f t="shared" si="128"/>
        <v>0.91649250340754196</v>
      </c>
      <c r="S92" s="176">
        <f t="shared" si="129"/>
        <v>48.808400106199265</v>
      </c>
      <c r="T92" s="176">
        <f t="shared" si="130"/>
        <v>15.5</v>
      </c>
      <c r="U92" s="221">
        <f t="shared" si="131"/>
        <v>1.8162723577235771</v>
      </c>
      <c r="V92" s="221">
        <f t="shared" si="132"/>
        <v>1.3622042682926827</v>
      </c>
      <c r="W92" s="221">
        <f t="shared" si="133"/>
        <v>0.99673483045806066</v>
      </c>
      <c r="X92" s="201">
        <f t="shared" si="134"/>
        <v>350</v>
      </c>
      <c r="Y92" s="451">
        <f t="shared" si="174"/>
        <v>350</v>
      </c>
      <c r="AA92" s="221">
        <f t="shared" si="135"/>
        <v>2.1998658618376927</v>
      </c>
      <c r="AB92" s="177">
        <f t="shared" si="136"/>
        <v>1.2072434607645877</v>
      </c>
      <c r="AC92" s="177">
        <f t="shared" si="137"/>
        <v>0.46476039334599145</v>
      </c>
      <c r="AD92" s="177"/>
      <c r="AE92" s="177">
        <f t="shared" si="138"/>
        <v>0.45</v>
      </c>
      <c r="AF92" s="555">
        <f t="shared" si="139"/>
        <v>1980.4878048780488</v>
      </c>
      <c r="AG92" s="538">
        <f t="shared" si="140"/>
        <v>6.4574999999999994E-2</v>
      </c>
      <c r="AI92" s="177">
        <f t="shared" si="141"/>
        <v>2.0561020294614649</v>
      </c>
      <c r="AJ92" s="177">
        <f t="shared" si="142"/>
        <v>2.0561020294614649</v>
      </c>
      <c r="AK92" s="177">
        <f t="shared" si="143"/>
        <v>2.0240680196409766</v>
      </c>
      <c r="AM92" s="555">
        <f t="shared" si="144"/>
        <v>365.4</v>
      </c>
      <c r="AN92" s="469">
        <f t="shared" si="145"/>
        <v>350</v>
      </c>
      <c r="AP92">
        <f t="shared" si="146"/>
        <v>365.4</v>
      </c>
      <c r="AQ92">
        <f t="shared" si="147"/>
        <v>350</v>
      </c>
      <c r="AS92" s="5">
        <f t="shared" si="175"/>
        <v>2.8571428571428572</v>
      </c>
      <c r="AT92" s="5">
        <f t="shared" si="148"/>
        <v>1.5420765220960986</v>
      </c>
      <c r="AU92" s="5">
        <f t="shared" si="176"/>
        <v>1.3150663350467586</v>
      </c>
      <c r="AV92" s="5">
        <f t="shared" si="149"/>
        <v>1.1283486747044624</v>
      </c>
      <c r="AW92" s="177">
        <f t="shared" si="177"/>
        <v>0.5397267827336345</v>
      </c>
      <c r="AX92" s="177">
        <f t="shared" si="150"/>
        <v>6.6584000000000003</v>
      </c>
      <c r="AY92" s="177">
        <f t="shared" si="151"/>
        <v>0.47318434806406595</v>
      </c>
      <c r="AZ92" s="177">
        <f t="shared" si="178"/>
        <v>14.071471356230274</v>
      </c>
      <c r="BA92" s="469">
        <f t="shared" si="152"/>
        <v>19.587372721622344</v>
      </c>
      <c r="BB92" s="469">
        <f t="shared" si="153"/>
        <v>25.288560337829917</v>
      </c>
      <c r="BC92" s="5">
        <f t="shared" si="154"/>
        <v>1.1494045064512848</v>
      </c>
      <c r="BD92" s="469">
        <f t="shared" si="155"/>
        <v>70.537520387077095</v>
      </c>
      <c r="BE92" s="5"/>
      <c r="BF92" s="177">
        <f t="shared" si="179"/>
        <v>0.87210950360370498</v>
      </c>
      <c r="BG92" s="177">
        <f t="shared" si="156"/>
        <v>0.8053633955608388</v>
      </c>
      <c r="BH92" s="177"/>
      <c r="BI92" s="538">
        <f t="shared" si="157"/>
        <v>8.3663248490349076E-2</v>
      </c>
      <c r="BJ92" s="538">
        <f t="shared" si="158"/>
        <v>0.10218827086423481</v>
      </c>
      <c r="BK92" s="538">
        <f t="shared" si="159"/>
        <v>1.7499999999999998E-2</v>
      </c>
      <c r="BL92" s="538">
        <f t="shared" si="160"/>
        <v>6.3516599999999993E-2</v>
      </c>
      <c r="BM92">
        <f t="shared" si="161"/>
        <v>3.48E-3</v>
      </c>
      <c r="BN92">
        <f t="shared" si="162"/>
        <v>2.4500000000000003E-5</v>
      </c>
      <c r="BO92" s="538">
        <f t="shared" si="163"/>
        <v>0.27461148637937571</v>
      </c>
      <c r="BP92" s="469">
        <f t="shared" si="180"/>
        <v>274.61148637937572</v>
      </c>
      <c r="BQ92" s="538">
        <f t="shared" si="164"/>
        <v>0.32885999999999999</v>
      </c>
      <c r="BR92" s="538"/>
      <c r="BT92" s="469">
        <f t="shared" si="181"/>
        <v>328.86</v>
      </c>
      <c r="BU92" s="538">
        <f t="shared" si="165"/>
        <v>3.6507599341243237E-2</v>
      </c>
      <c r="BV92" s="538">
        <f t="shared" si="166"/>
        <v>0.15566644773822816</v>
      </c>
      <c r="BW92" s="538">
        <f t="shared" si="167"/>
        <v>0</v>
      </c>
      <c r="BX92" s="538">
        <f t="shared" si="168"/>
        <v>0.19517464722706607</v>
      </c>
      <c r="BY92" s="538">
        <f t="shared" si="169"/>
        <v>7.3982222222222213E-2</v>
      </c>
      <c r="BZ92" s="469">
        <f t="shared" si="182"/>
        <v>269.15686944928831</v>
      </c>
      <c r="CA92" s="177">
        <f t="shared" si="183"/>
        <v>0.87262835582866405</v>
      </c>
      <c r="CB92" s="5">
        <f t="shared" si="184"/>
        <v>5.6637000000000004</v>
      </c>
      <c r="CC92" s="177">
        <f t="shared" si="185"/>
        <v>0.86649563664430784</v>
      </c>
      <c r="CD92" s="5">
        <f t="shared" si="186"/>
        <v>86.649563664430787</v>
      </c>
      <c r="CG92" s="571">
        <f t="shared" si="170"/>
        <v>-50</v>
      </c>
      <c r="CH92">
        <f t="shared" si="171"/>
        <v>-50</v>
      </c>
    </row>
    <row r="93" spans="5:86" x14ac:dyDescent="0.2">
      <c r="E93" s="174">
        <v>88</v>
      </c>
      <c r="F93" s="221">
        <f t="shared" si="172"/>
        <v>0.36959999999999998</v>
      </c>
      <c r="G93" s="221"/>
      <c r="H93" s="221">
        <f t="shared" si="120"/>
        <v>5.7287999999999997</v>
      </c>
      <c r="I93" s="551">
        <f t="shared" si="121"/>
        <v>12</v>
      </c>
      <c r="J93" s="176">
        <f t="shared" si="122"/>
        <v>16.399999999999999</v>
      </c>
      <c r="K93" s="451">
        <f t="shared" si="123"/>
        <v>28.4</v>
      </c>
      <c r="L93" s="451"/>
      <c r="M93" s="221">
        <f t="shared" si="124"/>
        <v>0.57746478873239437</v>
      </c>
      <c r="N93" s="176">
        <f t="shared" si="125"/>
        <v>12.78507042253521</v>
      </c>
      <c r="O93" s="176">
        <f t="shared" si="173"/>
        <v>5.7287999999999997</v>
      </c>
      <c r="P93" s="221">
        <f t="shared" si="126"/>
        <v>0.82484325306678774</v>
      </c>
      <c r="Q93" s="221">
        <f t="shared" si="127"/>
        <v>15.5</v>
      </c>
      <c r="R93" s="221">
        <f t="shared" si="128"/>
        <v>0.91649250340754196</v>
      </c>
      <c r="S93" s="176">
        <f t="shared" si="129"/>
        <v>48.122902595237086</v>
      </c>
      <c r="T93" s="176">
        <f t="shared" si="130"/>
        <v>15.5</v>
      </c>
      <c r="U93" s="221">
        <f t="shared" si="131"/>
        <v>1.8371490514905147</v>
      </c>
      <c r="V93" s="221">
        <f t="shared" si="132"/>
        <v>1.3778617886178861</v>
      </c>
      <c r="W93" s="221">
        <f t="shared" si="133"/>
        <v>1.0081915526472338</v>
      </c>
      <c r="X93" s="201">
        <f t="shared" si="134"/>
        <v>350</v>
      </c>
      <c r="Y93" s="451">
        <f t="shared" si="174"/>
        <v>350</v>
      </c>
      <c r="AA93" s="221">
        <f t="shared" si="135"/>
        <v>2.1998658618376927</v>
      </c>
      <c r="AB93" s="177">
        <f t="shared" si="136"/>
        <v>1.2072434607645877</v>
      </c>
      <c r="AC93" s="177">
        <f t="shared" si="137"/>
        <v>0.46476039334599145</v>
      </c>
      <c r="AD93" s="177"/>
      <c r="AE93" s="177">
        <f t="shared" si="138"/>
        <v>0.45</v>
      </c>
      <c r="AF93" s="555">
        <f t="shared" si="139"/>
        <v>2003.2520325203252</v>
      </c>
      <c r="AG93" s="538">
        <f t="shared" si="140"/>
        <v>6.4574999999999994E-2</v>
      </c>
      <c r="AI93" s="177">
        <f t="shared" si="141"/>
        <v>2.0678849455780046</v>
      </c>
      <c r="AJ93" s="177">
        <f t="shared" si="142"/>
        <v>2.0678849455780046</v>
      </c>
      <c r="AK93" s="177">
        <f t="shared" si="143"/>
        <v>2.0319232970520034</v>
      </c>
      <c r="AM93" s="555">
        <f t="shared" si="144"/>
        <v>369.59999999999997</v>
      </c>
      <c r="AN93" s="469">
        <f t="shared" si="145"/>
        <v>350</v>
      </c>
      <c r="AP93">
        <f t="shared" si="146"/>
        <v>369.59999999999997</v>
      </c>
      <c r="AQ93">
        <f t="shared" si="147"/>
        <v>350</v>
      </c>
      <c r="AS93" s="5">
        <f t="shared" si="175"/>
        <v>2.8571428571428572</v>
      </c>
      <c r="AT93" s="5">
        <f t="shared" si="148"/>
        <v>1.5509137091835035</v>
      </c>
      <c r="AU93" s="5">
        <f t="shared" si="176"/>
        <v>1.3062291479593537</v>
      </c>
      <c r="AV93" s="5">
        <f t="shared" si="149"/>
        <v>1.1348149091586612</v>
      </c>
      <c r="AW93" s="177">
        <f t="shared" si="177"/>
        <v>0.54281979821422621</v>
      </c>
      <c r="AX93" s="177">
        <f t="shared" si="150"/>
        <v>6.7349333333333314</v>
      </c>
      <c r="AY93" s="177">
        <f t="shared" si="151"/>
        <v>0.47269802834455799</v>
      </c>
      <c r="AZ93" s="177">
        <f t="shared" si="178"/>
        <v>14.247855775747215</v>
      </c>
      <c r="BA93" s="469">
        <f t="shared" si="152"/>
        <v>19.587372721622344</v>
      </c>
      <c r="BB93" s="469">
        <f t="shared" si="153"/>
        <v>25.864751070967749</v>
      </c>
      <c r="BC93" s="5">
        <f t="shared" si="154"/>
        <v>1.1548033245107321</v>
      </c>
      <c r="BD93" s="469">
        <f t="shared" si="155"/>
        <v>70.87953280397727</v>
      </c>
      <c r="BE93" s="5"/>
      <c r="BF93" s="177">
        <f t="shared" si="179"/>
        <v>0.87961693839078114</v>
      </c>
      <c r="BG93" s="177">
        <f t="shared" si="156"/>
        <v>0.80725259847547781</v>
      </c>
      <c r="BH93" s="177"/>
      <c r="BI93" s="538">
        <f t="shared" si="157"/>
        <v>8.5109855413436838E-2</v>
      </c>
      <c r="BJ93" s="538">
        <f t="shared" si="158"/>
        <v>0.10277388179522683</v>
      </c>
      <c r="BK93" s="538">
        <f t="shared" si="159"/>
        <v>1.7499999999999998E-2</v>
      </c>
      <c r="BL93" s="538">
        <f t="shared" si="160"/>
        <v>6.3516599999999993E-2</v>
      </c>
      <c r="BM93">
        <f t="shared" si="161"/>
        <v>3.48E-3</v>
      </c>
      <c r="BN93">
        <f t="shared" si="162"/>
        <v>2.4500000000000003E-5</v>
      </c>
      <c r="BO93" s="538">
        <f t="shared" si="163"/>
        <v>0.27675058756872517</v>
      </c>
      <c r="BP93" s="469">
        <f t="shared" si="180"/>
        <v>276.75058756872517</v>
      </c>
      <c r="BQ93" s="538">
        <f t="shared" si="164"/>
        <v>0.33263999999999999</v>
      </c>
      <c r="BR93" s="538"/>
      <c r="BT93" s="469">
        <f t="shared" si="181"/>
        <v>332.64</v>
      </c>
      <c r="BU93" s="538">
        <f t="shared" si="165"/>
        <v>3.7138845998590624E-2</v>
      </c>
      <c r="BV93" s="538">
        <f t="shared" si="166"/>
        <v>0.15639762185889863</v>
      </c>
      <c r="BW93" s="538">
        <f t="shared" si="167"/>
        <v>0</v>
      </c>
      <c r="BX93" s="538">
        <f t="shared" si="168"/>
        <v>0.19658010133455789</v>
      </c>
      <c r="BY93" s="538">
        <f t="shared" si="169"/>
        <v>7.4832592592592576E-2</v>
      </c>
      <c r="BZ93" s="469">
        <f t="shared" si="182"/>
        <v>271.41269392715043</v>
      </c>
      <c r="CA93" s="177">
        <f t="shared" si="183"/>
        <v>0.8808032814958755</v>
      </c>
      <c r="CB93" s="5">
        <f t="shared" si="184"/>
        <v>5.7287999999999997</v>
      </c>
      <c r="CC93" s="177">
        <f t="shared" si="185"/>
        <v>0.86673885799443418</v>
      </c>
      <c r="CD93" s="5">
        <f t="shared" si="186"/>
        <v>86.673885799443411</v>
      </c>
      <c r="CG93" s="571">
        <f t="shared" si="170"/>
        <v>-50</v>
      </c>
      <c r="CH93">
        <f t="shared" si="171"/>
        <v>-50</v>
      </c>
    </row>
    <row r="94" spans="5:86" x14ac:dyDescent="0.2">
      <c r="E94" s="174">
        <v>89</v>
      </c>
      <c r="F94" s="221">
        <f t="shared" si="172"/>
        <v>0.37379999999999997</v>
      </c>
      <c r="G94" s="221"/>
      <c r="H94" s="221">
        <f t="shared" si="120"/>
        <v>5.7938999999999998</v>
      </c>
      <c r="I94" s="551">
        <f t="shared" si="121"/>
        <v>12</v>
      </c>
      <c r="J94" s="176">
        <f t="shared" si="122"/>
        <v>16.399999999999999</v>
      </c>
      <c r="K94" s="451">
        <f t="shared" si="123"/>
        <v>28.4</v>
      </c>
      <c r="L94" s="451"/>
      <c r="M94" s="221">
        <f t="shared" si="124"/>
        <v>0.57746478873239437</v>
      </c>
      <c r="N94" s="176">
        <f t="shared" si="125"/>
        <v>12.78507042253521</v>
      </c>
      <c r="O94" s="176">
        <f t="shared" si="173"/>
        <v>5.7938999999999998</v>
      </c>
      <c r="P94" s="221">
        <f t="shared" si="126"/>
        <v>0.82484325306678774</v>
      </c>
      <c r="Q94" s="221">
        <f t="shared" si="127"/>
        <v>15.5</v>
      </c>
      <c r="R94" s="221">
        <f t="shared" si="128"/>
        <v>0.91649250340754196</v>
      </c>
      <c r="S94" s="176">
        <f t="shared" si="129"/>
        <v>47.452892399981373</v>
      </c>
      <c r="T94" s="176">
        <f t="shared" si="130"/>
        <v>15.5</v>
      </c>
      <c r="U94" s="221">
        <f t="shared" si="131"/>
        <v>1.8580257452574525</v>
      </c>
      <c r="V94" s="221">
        <f t="shared" si="132"/>
        <v>1.3935193089430895</v>
      </c>
      <c r="W94" s="221">
        <f t="shared" si="133"/>
        <v>1.0196482748364071</v>
      </c>
      <c r="X94" s="201">
        <f t="shared" si="134"/>
        <v>350</v>
      </c>
      <c r="Y94" s="451">
        <f t="shared" si="174"/>
        <v>350</v>
      </c>
      <c r="AA94" s="221">
        <f t="shared" si="135"/>
        <v>2.1998658618376927</v>
      </c>
      <c r="AB94" s="177">
        <f t="shared" si="136"/>
        <v>1.2072434607645877</v>
      </c>
      <c r="AC94" s="177">
        <f t="shared" si="137"/>
        <v>0.46476039334599145</v>
      </c>
      <c r="AD94" s="177"/>
      <c r="AE94" s="177">
        <f t="shared" si="138"/>
        <v>0.45</v>
      </c>
      <c r="AF94" s="555">
        <f t="shared" si="139"/>
        <v>2026.0162601626014</v>
      </c>
      <c r="AG94" s="538">
        <f t="shared" si="140"/>
        <v>6.4574999999999994E-2</v>
      </c>
      <c r="AI94" s="177">
        <f t="shared" si="141"/>
        <v>2.0796011013511073</v>
      </c>
      <c r="AJ94" s="177">
        <f t="shared" si="142"/>
        <v>2.0796011013511073</v>
      </c>
      <c r="AK94" s="177">
        <f t="shared" si="143"/>
        <v>2.0397340675674052</v>
      </c>
      <c r="AM94" s="555">
        <f t="shared" si="144"/>
        <v>373.79999999999995</v>
      </c>
      <c r="AN94" s="469">
        <f t="shared" si="145"/>
        <v>350</v>
      </c>
      <c r="AP94">
        <f t="shared" si="146"/>
        <v>373.79999999999995</v>
      </c>
      <c r="AQ94">
        <f t="shared" si="147"/>
        <v>350</v>
      </c>
      <c r="AS94" s="5">
        <f t="shared" si="175"/>
        <v>2.8571428571428572</v>
      </c>
      <c r="AT94" s="5">
        <f t="shared" si="148"/>
        <v>1.5597008260133305</v>
      </c>
      <c r="AU94" s="5">
        <f t="shared" si="176"/>
        <v>1.2974420311295267</v>
      </c>
      <c r="AV94" s="5">
        <f t="shared" si="149"/>
        <v>1.1412445068390225</v>
      </c>
      <c r="AW94" s="177">
        <f t="shared" si="177"/>
        <v>0.54589528910466567</v>
      </c>
      <c r="AX94" s="177">
        <f t="shared" si="150"/>
        <v>6.8114666666666634</v>
      </c>
      <c r="AY94" s="177">
        <f t="shared" si="151"/>
        <v>0.47217832845333174</v>
      </c>
      <c r="AZ94" s="177">
        <f t="shared" si="178"/>
        <v>14.425623236412219</v>
      </c>
      <c r="BA94" s="469">
        <f t="shared" si="152"/>
        <v>19.587372721622344</v>
      </c>
      <c r="BB94" s="469">
        <f t="shared" si="153"/>
        <v>26.447430841055724</v>
      </c>
      <c r="BC94" s="5">
        <f t="shared" si="154"/>
        <v>1.1600693494076177</v>
      </c>
      <c r="BD94" s="469">
        <f t="shared" si="155"/>
        <v>71.213577631123755</v>
      </c>
      <c r="BE94" s="5"/>
      <c r="BF94" s="177">
        <f t="shared" si="179"/>
        <v>0.88710307498985919</v>
      </c>
      <c r="BG94" s="177">
        <f t="shared" si="156"/>
        <v>0.80909108341219271</v>
      </c>
      <c r="BH94" s="177"/>
      <c r="BI94" s="538">
        <f t="shared" si="157"/>
        <v>8.6564705222211005E-2</v>
      </c>
      <c r="BJ94" s="538">
        <f t="shared" si="158"/>
        <v>0.10335617473715004</v>
      </c>
      <c r="BK94" s="538">
        <f t="shared" si="159"/>
        <v>1.7499999999999998E-2</v>
      </c>
      <c r="BL94" s="538">
        <f t="shared" si="160"/>
        <v>6.3516599999999993E-2</v>
      </c>
      <c r="BM94">
        <f t="shared" si="161"/>
        <v>3.48E-3</v>
      </c>
      <c r="BN94">
        <f t="shared" si="162"/>
        <v>2.4500000000000003E-5</v>
      </c>
      <c r="BO94" s="538">
        <f t="shared" si="163"/>
        <v>0.2788962849911098</v>
      </c>
      <c r="BP94" s="469">
        <f t="shared" si="180"/>
        <v>278.89628499110978</v>
      </c>
      <c r="BQ94" s="538">
        <f t="shared" si="164"/>
        <v>0.33642</v>
      </c>
      <c r="BR94" s="538"/>
      <c r="BT94" s="469">
        <f t="shared" si="181"/>
        <v>336.42</v>
      </c>
      <c r="BU94" s="538">
        <f t="shared" si="165"/>
        <v>3.777368955151026E-2</v>
      </c>
      <c r="BV94" s="538">
        <f t="shared" si="166"/>
        <v>0.15711081150170778</v>
      </c>
      <c r="BW94" s="538">
        <f t="shared" si="167"/>
        <v>0</v>
      </c>
      <c r="BX94" s="538">
        <f t="shared" si="168"/>
        <v>0.19797101972539241</v>
      </c>
      <c r="BY94" s="538">
        <f t="shared" si="169"/>
        <v>7.5682962962962938E-2</v>
      </c>
      <c r="BZ94" s="469">
        <f t="shared" si="182"/>
        <v>273.65398268835531</v>
      </c>
      <c r="CA94" s="177">
        <f t="shared" si="183"/>
        <v>0.88897026767946519</v>
      </c>
      <c r="CB94" s="5">
        <f t="shared" si="184"/>
        <v>5.7938999999999998</v>
      </c>
      <c r="CC94" s="177">
        <f t="shared" si="185"/>
        <v>0.86697777570532619</v>
      </c>
      <c r="CD94" s="5">
        <f t="shared" si="186"/>
        <v>86.697777570532622</v>
      </c>
      <c r="CG94" s="571">
        <f t="shared" si="170"/>
        <v>-50</v>
      </c>
      <c r="CH94">
        <f t="shared" si="171"/>
        <v>-50</v>
      </c>
    </row>
    <row r="95" spans="5:86" x14ac:dyDescent="0.2">
      <c r="E95" s="174">
        <v>90</v>
      </c>
      <c r="F95" s="221">
        <f t="shared" si="172"/>
        <v>0.378</v>
      </c>
      <c r="G95" s="221"/>
      <c r="H95" s="221">
        <f t="shared" si="120"/>
        <v>5.859</v>
      </c>
      <c r="I95" s="551">
        <f t="shared" si="121"/>
        <v>12</v>
      </c>
      <c r="J95" s="176">
        <f t="shared" si="122"/>
        <v>16.399999999999999</v>
      </c>
      <c r="K95" s="451">
        <f t="shared" si="123"/>
        <v>28.4</v>
      </c>
      <c r="L95" s="451"/>
      <c r="M95" s="221">
        <f t="shared" si="124"/>
        <v>0.57746478873239437</v>
      </c>
      <c r="N95" s="176">
        <f t="shared" si="125"/>
        <v>12.78507042253521</v>
      </c>
      <c r="O95" s="176">
        <f t="shared" si="173"/>
        <v>5.859</v>
      </c>
      <c r="P95" s="221">
        <f t="shared" si="126"/>
        <v>0.82484325306678774</v>
      </c>
      <c r="Q95" s="221">
        <f t="shared" si="127"/>
        <v>15.5</v>
      </c>
      <c r="R95" s="221">
        <f t="shared" si="128"/>
        <v>0.91649250340754196</v>
      </c>
      <c r="S95" s="176">
        <f t="shared" si="129"/>
        <v>46.797853853229149</v>
      </c>
      <c r="T95" s="176">
        <f t="shared" si="130"/>
        <v>15.5</v>
      </c>
      <c r="U95" s="221">
        <f t="shared" si="131"/>
        <v>1.87890243902439</v>
      </c>
      <c r="V95" s="221">
        <f t="shared" si="132"/>
        <v>1.4091768292682925</v>
      </c>
      <c r="W95" s="221">
        <f t="shared" si="133"/>
        <v>1.0311049970255799</v>
      </c>
      <c r="X95" s="201">
        <f t="shared" si="134"/>
        <v>350</v>
      </c>
      <c r="Y95" s="451">
        <f t="shared" si="174"/>
        <v>350</v>
      </c>
      <c r="AA95" s="221">
        <f t="shared" si="135"/>
        <v>2.1998658618376927</v>
      </c>
      <c r="AB95" s="177">
        <f t="shared" si="136"/>
        <v>1.2072434607645877</v>
      </c>
      <c r="AC95" s="177">
        <f t="shared" si="137"/>
        <v>0.46476039334599145</v>
      </c>
      <c r="AD95" s="177"/>
      <c r="AE95" s="177">
        <f t="shared" si="138"/>
        <v>0.45</v>
      </c>
      <c r="AF95" s="555">
        <f t="shared" si="139"/>
        <v>2048.7804878048782</v>
      </c>
      <c r="AG95" s="538">
        <f t="shared" si="140"/>
        <v>6.4574999999999994E-2</v>
      </c>
      <c r="AI95" s="177">
        <f t="shared" si="141"/>
        <v>2.0912516188477492</v>
      </c>
      <c r="AJ95" s="177">
        <f t="shared" si="142"/>
        <v>2.0912516188477492</v>
      </c>
      <c r="AK95" s="177">
        <f t="shared" si="143"/>
        <v>2.0475010792318331</v>
      </c>
      <c r="AM95" s="555">
        <f t="shared" si="144"/>
        <v>378</v>
      </c>
      <c r="AN95" s="469">
        <f t="shared" si="145"/>
        <v>350</v>
      </c>
      <c r="AP95">
        <f t="shared" si="146"/>
        <v>378</v>
      </c>
      <c r="AQ95">
        <f t="shared" si="147"/>
        <v>350</v>
      </c>
      <c r="AS95" s="5">
        <f t="shared" si="175"/>
        <v>2.8571428571428572</v>
      </c>
      <c r="AT95" s="5">
        <f t="shared" si="148"/>
        <v>1.5684387141358118</v>
      </c>
      <c r="AU95" s="5">
        <f t="shared" si="176"/>
        <v>1.2887041430070454</v>
      </c>
      <c r="AV95" s="5">
        <f t="shared" si="149"/>
        <v>1.1476380835140088</v>
      </c>
      <c r="AW95" s="177">
        <f t="shared" si="177"/>
        <v>0.54895354994753409</v>
      </c>
      <c r="AX95" s="177">
        <f t="shared" si="150"/>
        <v>6.8879999999999981</v>
      </c>
      <c r="AY95" s="177">
        <f t="shared" si="151"/>
        <v>0.47162580942387489</v>
      </c>
      <c r="AZ95" s="177">
        <f t="shared" si="178"/>
        <v>14.604798682273536</v>
      </c>
      <c r="BA95" s="469">
        <f t="shared" si="152"/>
        <v>19.587372721622344</v>
      </c>
      <c r="BB95" s="469">
        <f t="shared" si="153"/>
        <v>27.036599648093851</v>
      </c>
      <c r="BC95" s="5">
        <f t="shared" si="154"/>
        <v>1.1652033293022033</v>
      </c>
      <c r="BD95" s="469">
        <f t="shared" si="155"/>
        <v>71.539699758132201</v>
      </c>
      <c r="BE95" s="5"/>
      <c r="BF95" s="177">
        <f t="shared" si="179"/>
        <v>0.89456821212568149</v>
      </c>
      <c r="BG95" s="177">
        <f t="shared" si="156"/>
        <v>0.8108794556726906</v>
      </c>
      <c r="BH95" s="177"/>
      <c r="BI95" s="538">
        <f t="shared" si="157"/>
        <v>8.8027751476031216E-2</v>
      </c>
      <c r="BJ95" s="538">
        <f t="shared" si="158"/>
        <v>0.10393520545673313</v>
      </c>
      <c r="BK95" s="538">
        <f t="shared" si="159"/>
        <v>1.7499999999999998E-2</v>
      </c>
      <c r="BL95" s="538">
        <f t="shared" si="160"/>
        <v>6.3516599999999993E-2</v>
      </c>
      <c r="BM95">
        <f t="shared" si="161"/>
        <v>3.48E-3</v>
      </c>
      <c r="BN95">
        <f t="shared" si="162"/>
        <v>2.4500000000000003E-5</v>
      </c>
      <c r="BO95" s="538">
        <f t="shared" si="163"/>
        <v>0.28104860102931994</v>
      </c>
      <c r="BP95" s="469">
        <f t="shared" si="180"/>
        <v>281.04860102931997</v>
      </c>
      <c r="BQ95" s="538">
        <f t="shared" si="164"/>
        <v>0.3402</v>
      </c>
      <c r="BR95" s="538"/>
      <c r="BT95" s="469">
        <f t="shared" si="181"/>
        <v>340.2</v>
      </c>
      <c r="BU95" s="538">
        <f t="shared" si="165"/>
        <v>3.8412109734995439E-2</v>
      </c>
      <c r="BV95" s="538">
        <f t="shared" si="166"/>
        <v>0.15780611799168937</v>
      </c>
      <c r="BW95" s="538">
        <f t="shared" si="167"/>
        <v>0</v>
      </c>
      <c r="BX95" s="538">
        <f t="shared" si="168"/>
        <v>0.19934747640849781</v>
      </c>
      <c r="BY95" s="538">
        <f t="shared" si="169"/>
        <v>7.6533333333333328E-2</v>
      </c>
      <c r="BZ95" s="469">
        <f t="shared" si="182"/>
        <v>275.88080974183117</v>
      </c>
      <c r="CA95" s="177">
        <f t="shared" si="183"/>
        <v>0.89712941077115105</v>
      </c>
      <c r="CB95" s="5">
        <f t="shared" si="184"/>
        <v>5.859</v>
      </c>
      <c r="CC95" s="177">
        <f t="shared" si="185"/>
        <v>0.86721251825921553</v>
      </c>
      <c r="CD95" s="5">
        <f t="shared" si="186"/>
        <v>86.721251825921556</v>
      </c>
      <c r="CG95" s="571">
        <f t="shared" si="170"/>
        <v>-50</v>
      </c>
      <c r="CH95">
        <f t="shared" si="171"/>
        <v>-50</v>
      </c>
    </row>
    <row r="96" spans="5:86" x14ac:dyDescent="0.2">
      <c r="E96" s="174">
        <v>91</v>
      </c>
      <c r="F96" s="221">
        <f t="shared" si="172"/>
        <v>0.38219999999999998</v>
      </c>
      <c r="G96" s="221"/>
      <c r="H96" s="221">
        <f t="shared" si="120"/>
        <v>5.9241000000000001</v>
      </c>
      <c r="I96" s="551">
        <f t="shared" si="121"/>
        <v>12</v>
      </c>
      <c r="J96" s="176">
        <f t="shared" si="122"/>
        <v>16.399999999999999</v>
      </c>
      <c r="K96" s="451">
        <f t="shared" si="123"/>
        <v>28.4</v>
      </c>
      <c r="L96" s="451"/>
      <c r="M96" s="221">
        <f t="shared" si="124"/>
        <v>0.57746478873239437</v>
      </c>
      <c r="N96" s="176">
        <f t="shared" si="125"/>
        <v>12.78507042253521</v>
      </c>
      <c r="O96" s="176">
        <f t="shared" si="173"/>
        <v>5.9241000000000001</v>
      </c>
      <c r="P96" s="221">
        <f t="shared" si="126"/>
        <v>0.82484325306678774</v>
      </c>
      <c r="Q96" s="221">
        <f t="shared" si="127"/>
        <v>15.5</v>
      </c>
      <c r="R96" s="221">
        <f t="shared" si="128"/>
        <v>0.91649250340754196</v>
      </c>
      <c r="S96" s="176">
        <f t="shared" si="129"/>
        <v>46.157293958981327</v>
      </c>
      <c r="T96" s="221">
        <f t="shared" si="130"/>
        <v>15.5</v>
      </c>
      <c r="U96" s="221">
        <f t="shared" si="131"/>
        <v>1.8997791327913278</v>
      </c>
      <c r="V96" s="221">
        <f t="shared" si="132"/>
        <v>1.4248343495934959</v>
      </c>
      <c r="W96" s="221">
        <f t="shared" si="133"/>
        <v>1.0425617192147532</v>
      </c>
      <c r="X96" s="201">
        <f t="shared" si="134"/>
        <v>350</v>
      </c>
      <c r="Y96" s="451">
        <f t="shared" si="174"/>
        <v>350</v>
      </c>
      <c r="AA96" s="221">
        <f t="shared" si="135"/>
        <v>2.1998658618376927</v>
      </c>
      <c r="AB96" s="177">
        <f t="shared" si="136"/>
        <v>1.2072434607645877</v>
      </c>
      <c r="AC96" s="177">
        <f t="shared" si="137"/>
        <v>0.46476039334599145</v>
      </c>
      <c r="AD96" s="177"/>
      <c r="AE96" s="177">
        <f t="shared" si="138"/>
        <v>0.45</v>
      </c>
      <c r="AF96" s="555">
        <f t="shared" si="139"/>
        <v>2071.5447154471544</v>
      </c>
      <c r="AG96" s="538">
        <f t="shared" si="140"/>
        <v>6.4574999999999994E-2</v>
      </c>
      <c r="AI96" s="177">
        <f t="shared" si="141"/>
        <v>2.1028375890510245</v>
      </c>
      <c r="AJ96" s="177">
        <f t="shared" si="142"/>
        <v>2.1028375890510245</v>
      </c>
      <c r="AK96" s="177">
        <f t="shared" si="143"/>
        <v>2.0552250593673498</v>
      </c>
      <c r="AM96" s="555">
        <f t="shared" si="144"/>
        <v>382.2</v>
      </c>
      <c r="AN96" s="469">
        <f t="shared" si="145"/>
        <v>350</v>
      </c>
      <c r="AP96">
        <f t="shared" si="146"/>
        <v>382.2</v>
      </c>
      <c r="AQ96">
        <f t="shared" si="147"/>
        <v>350</v>
      </c>
      <c r="AS96" s="5">
        <f t="shared" si="175"/>
        <v>2.8571428571428572</v>
      </c>
      <c r="AT96" s="5">
        <f t="shared" si="148"/>
        <v>1.5771281917882682</v>
      </c>
      <c r="AU96" s="5">
        <f t="shared" si="176"/>
        <v>1.280014665354589</v>
      </c>
      <c r="AV96" s="5">
        <f t="shared" si="149"/>
        <v>1.1539962378938549</v>
      </c>
      <c r="AW96" s="177">
        <f t="shared" si="177"/>
        <v>0.55199486712589385</v>
      </c>
      <c r="AX96" s="177">
        <f t="shared" si="150"/>
        <v>6.9645333333333319</v>
      </c>
      <c r="AY96" s="177">
        <f t="shared" si="151"/>
        <v>0.47104101674773463</v>
      </c>
      <c r="AZ96" s="177">
        <f t="shared" si="178"/>
        <v>14.78540739704453</v>
      </c>
      <c r="BA96" s="469">
        <f t="shared" si="152"/>
        <v>19.587372721622344</v>
      </c>
      <c r="BB96" s="469">
        <f t="shared" si="153"/>
        <v>27.632257492082118</v>
      </c>
      <c r="BC96" s="5">
        <f t="shared" si="154"/>
        <v>1.1702059998498644</v>
      </c>
      <c r="BD96" s="469">
        <f t="shared" si="155"/>
        <v>71.85794332432522</v>
      </c>
      <c r="BE96" s="5"/>
      <c r="BF96" s="177">
        <f t="shared" si="179"/>
        <v>0.90201264106478873</v>
      </c>
      <c r="BG96" s="177">
        <f t="shared" si="156"/>
        <v>0.8126183015421814</v>
      </c>
      <c r="BH96" s="177"/>
      <c r="BI96" s="538">
        <f t="shared" si="157"/>
        <v>8.9498948510474297E-2</v>
      </c>
      <c r="BJ96" s="538">
        <f t="shared" si="158"/>
        <v>0.10451102817583591</v>
      </c>
      <c r="BK96" s="538">
        <f t="shared" si="159"/>
        <v>1.7499999999999998E-2</v>
      </c>
      <c r="BL96" s="538">
        <f t="shared" si="160"/>
        <v>6.3516599999999993E-2</v>
      </c>
      <c r="BM96">
        <f t="shared" si="161"/>
        <v>3.48E-3</v>
      </c>
      <c r="BN96">
        <f t="shared" si="162"/>
        <v>2.4500000000000003E-5</v>
      </c>
      <c r="BO96" s="538">
        <f t="shared" si="163"/>
        <v>0.28320755733650416</v>
      </c>
      <c r="BP96" s="469">
        <f t="shared" si="180"/>
        <v>283.20755733650418</v>
      </c>
      <c r="BQ96" s="538">
        <f t="shared" si="164"/>
        <v>0.34398000000000001</v>
      </c>
      <c r="BR96" s="538"/>
      <c r="BT96" s="469">
        <f t="shared" si="181"/>
        <v>343.98</v>
      </c>
      <c r="BU96" s="538">
        <f t="shared" si="165"/>
        <v>3.9054086622752421E-2</v>
      </c>
      <c r="BV96" s="538">
        <f t="shared" si="166"/>
        <v>0.15848364096031189</v>
      </c>
      <c r="BW96" s="538">
        <f t="shared" si="167"/>
        <v>0</v>
      </c>
      <c r="BX96" s="538">
        <f t="shared" si="168"/>
        <v>0.20070954416373119</v>
      </c>
      <c r="BY96" s="538">
        <f t="shared" si="169"/>
        <v>7.7383703703703691E-2</v>
      </c>
      <c r="BZ96" s="469">
        <f t="shared" si="182"/>
        <v>278.09324786743491</v>
      </c>
      <c r="CA96" s="177">
        <f t="shared" si="183"/>
        <v>0.90528080520393917</v>
      </c>
      <c r="CB96" s="5">
        <f t="shared" si="184"/>
        <v>5.9241000000000001</v>
      </c>
      <c r="CC96" s="177">
        <f t="shared" si="185"/>
        <v>0.86744320883174042</v>
      </c>
      <c r="CD96" s="5">
        <f t="shared" si="186"/>
        <v>86.744320883174041</v>
      </c>
      <c r="CG96" s="571">
        <f t="shared" si="170"/>
        <v>-50</v>
      </c>
      <c r="CH96">
        <f t="shared" si="171"/>
        <v>-50</v>
      </c>
    </row>
    <row r="97" spans="5:86" x14ac:dyDescent="0.2">
      <c r="E97" s="174">
        <v>92</v>
      </c>
      <c r="F97" s="221">
        <f t="shared" si="172"/>
        <v>0.38640000000000002</v>
      </c>
      <c r="G97" s="221"/>
      <c r="H97" s="221">
        <f t="shared" si="120"/>
        <v>5.9892000000000003</v>
      </c>
      <c r="I97" s="551">
        <f t="shared" si="121"/>
        <v>12</v>
      </c>
      <c r="J97" s="176">
        <f t="shared" si="122"/>
        <v>16.399999999999999</v>
      </c>
      <c r="K97" s="451">
        <f t="shared" si="123"/>
        <v>28.4</v>
      </c>
      <c r="L97" s="451"/>
      <c r="M97" s="221">
        <f t="shared" si="124"/>
        <v>0.57746478873239437</v>
      </c>
      <c r="N97" s="176">
        <f t="shared" si="125"/>
        <v>12.78507042253521</v>
      </c>
      <c r="O97" s="176">
        <f t="shared" si="173"/>
        <v>5.9892000000000003</v>
      </c>
      <c r="P97" s="221">
        <f t="shared" si="126"/>
        <v>0.82484325306678774</v>
      </c>
      <c r="Q97" s="221">
        <f t="shared" si="127"/>
        <v>15.5</v>
      </c>
      <c r="R97" s="221">
        <f t="shared" si="128"/>
        <v>0.91649250340754196</v>
      </c>
      <c r="S97" s="176">
        <f t="shared" si="129"/>
        <v>45.53074116034476</v>
      </c>
      <c r="T97" s="542">
        <f t="shared" si="130"/>
        <v>15.5</v>
      </c>
      <c r="U97" s="221">
        <f t="shared" si="131"/>
        <v>1.9206558265582656</v>
      </c>
      <c r="V97" s="221">
        <f t="shared" si="132"/>
        <v>1.4404918699186995</v>
      </c>
      <c r="W97" s="221">
        <f t="shared" si="133"/>
        <v>1.0540184414039264</v>
      </c>
      <c r="X97" s="201">
        <f t="shared" si="134"/>
        <v>350</v>
      </c>
      <c r="Y97" s="451">
        <f t="shared" si="174"/>
        <v>350</v>
      </c>
      <c r="AA97" s="221">
        <f t="shared" si="135"/>
        <v>2.1998658618376927</v>
      </c>
      <c r="AB97" s="177">
        <f t="shared" si="136"/>
        <v>1.2072434607645877</v>
      </c>
      <c r="AC97" s="177">
        <f t="shared" si="137"/>
        <v>0.46476039334599145</v>
      </c>
      <c r="AD97" s="177"/>
      <c r="AE97" s="177">
        <f t="shared" si="138"/>
        <v>0.45</v>
      </c>
      <c r="AF97" s="555">
        <f t="shared" si="139"/>
        <v>2094.3089430894311</v>
      </c>
      <c r="AG97" s="538">
        <f t="shared" si="140"/>
        <v>6.4574999999999994E-2</v>
      </c>
      <c r="AI97" s="177">
        <f t="shared" si="141"/>
        <v>2.1143600730524872</v>
      </c>
      <c r="AJ97" s="177">
        <f t="shared" si="142"/>
        <v>2.1143600730524872</v>
      </c>
      <c r="AK97" s="177">
        <f t="shared" si="143"/>
        <v>2.0629067153683249</v>
      </c>
      <c r="AM97" s="555">
        <f t="shared" si="144"/>
        <v>386.40000000000003</v>
      </c>
      <c r="AN97" s="469">
        <f t="shared" si="145"/>
        <v>350</v>
      </c>
      <c r="AP97">
        <f t="shared" si="146"/>
        <v>386.40000000000003</v>
      </c>
      <c r="AQ97">
        <f t="shared" si="147"/>
        <v>350</v>
      </c>
      <c r="AS97" s="5">
        <f t="shared" si="175"/>
        <v>2.8571428571428572</v>
      </c>
      <c r="AT97" s="5">
        <f t="shared" si="148"/>
        <v>1.5857700547893654</v>
      </c>
      <c r="AU97" s="5">
        <f t="shared" si="176"/>
        <v>1.2713728023534918</v>
      </c>
      <c r="AV97" s="5">
        <f t="shared" si="149"/>
        <v>1.1603195522849015</v>
      </c>
      <c r="AW97" s="177">
        <f t="shared" si="177"/>
        <v>0.5550195191762779</v>
      </c>
      <c r="AX97" s="177">
        <f t="shared" si="150"/>
        <v>7.0410666666666675</v>
      </c>
      <c r="AY97" s="177">
        <f t="shared" si="151"/>
        <v>0.47042448097068795</v>
      </c>
      <c r="AZ97" s="177">
        <f t="shared" si="178"/>
        <v>14.967475017749756</v>
      </c>
      <c r="BA97" s="469">
        <f t="shared" si="152"/>
        <v>19.587372721622344</v>
      </c>
      <c r="BB97" s="469">
        <f t="shared" si="153"/>
        <v>28.234404373020539</v>
      </c>
      <c r="BC97" s="5">
        <f t="shared" si="154"/>
        <v>1.1750780845456068</v>
      </c>
      <c r="BD97" s="469">
        <f t="shared" si="155"/>
        <v>72.168351739403079</v>
      </c>
      <c r="BE97" s="5"/>
      <c r="BF97" s="177">
        <f t="shared" si="179"/>
        <v>0.90943664588153961</v>
      </c>
      <c r="BG97" s="177">
        <f t="shared" si="156"/>
        <v>0.81430818897632862</v>
      </c>
      <c r="BH97" s="177"/>
      <c r="BI97" s="538">
        <f t="shared" si="157"/>
        <v>9.0978251415949146E-2</v>
      </c>
      <c r="BJ97" s="538">
        <f t="shared" si="158"/>
        <v>0.10508369563070862</v>
      </c>
      <c r="BK97" s="538">
        <f t="shared" si="159"/>
        <v>1.7499999999999998E-2</v>
      </c>
      <c r="BL97" s="538">
        <f t="shared" si="160"/>
        <v>6.3516599999999993E-2</v>
      </c>
      <c r="BM97">
        <f t="shared" si="161"/>
        <v>3.48E-3</v>
      </c>
      <c r="BN97">
        <f t="shared" si="162"/>
        <v>2.4500000000000003E-5</v>
      </c>
      <c r="BO97" s="538">
        <f t="shared" si="163"/>
        <v>0.28537317487387526</v>
      </c>
      <c r="BP97" s="469">
        <f t="shared" si="180"/>
        <v>285.37317487387526</v>
      </c>
      <c r="BQ97" s="538">
        <f t="shared" si="164"/>
        <v>0.34776000000000001</v>
      </c>
      <c r="BR97" s="538"/>
      <c r="BT97" s="469">
        <f t="shared" si="181"/>
        <v>347.76</v>
      </c>
      <c r="BU97" s="538">
        <f t="shared" si="165"/>
        <v>3.9699600617868716E-2</v>
      </c>
      <c r="BV97" s="538">
        <f t="shared" si="166"/>
        <v>0.15914347839213794</v>
      </c>
      <c r="BW97" s="538">
        <f t="shared" si="167"/>
        <v>0</v>
      </c>
      <c r="BX97" s="538">
        <f t="shared" si="168"/>
        <v>0.20205729457721994</v>
      </c>
      <c r="BY97" s="538">
        <f t="shared" si="169"/>
        <v>7.8234074074074081E-2</v>
      </c>
      <c r="BZ97" s="469">
        <f t="shared" si="182"/>
        <v>280.29136865129402</v>
      </c>
      <c r="CA97" s="177">
        <f t="shared" si="183"/>
        <v>0.91342454352516933</v>
      </c>
      <c r="CB97" s="5">
        <f t="shared" si="184"/>
        <v>5.9892000000000003</v>
      </c>
      <c r="CC97" s="177">
        <f t="shared" si="185"/>
        <v>0.86766996556665055</v>
      </c>
      <c r="CD97" s="5">
        <f t="shared" si="186"/>
        <v>86.766996556665049</v>
      </c>
      <c r="CG97" s="571">
        <f t="shared" si="170"/>
        <v>-50</v>
      </c>
      <c r="CH97">
        <f t="shared" si="171"/>
        <v>-50</v>
      </c>
    </row>
    <row r="98" spans="5:86" x14ac:dyDescent="0.2">
      <c r="E98" s="174">
        <v>93</v>
      </c>
      <c r="F98" s="221">
        <f t="shared" si="172"/>
        <v>0.3906</v>
      </c>
      <c r="G98" s="221"/>
      <c r="H98" s="221">
        <f t="shared" si="120"/>
        <v>6.0543000000000005</v>
      </c>
      <c r="I98" s="551">
        <f t="shared" si="121"/>
        <v>12</v>
      </c>
      <c r="J98" s="176">
        <f t="shared" si="122"/>
        <v>16.399999999999999</v>
      </c>
      <c r="K98" s="451">
        <f t="shared" si="123"/>
        <v>28.4</v>
      </c>
      <c r="L98" s="451"/>
      <c r="M98" s="221">
        <f t="shared" si="124"/>
        <v>0.57746478873239437</v>
      </c>
      <c r="N98" s="176">
        <f t="shared" si="125"/>
        <v>12.78507042253521</v>
      </c>
      <c r="O98" s="176">
        <f t="shared" si="173"/>
        <v>6.0543000000000005</v>
      </c>
      <c r="P98" s="221">
        <f t="shared" si="126"/>
        <v>0.82484325306678774</v>
      </c>
      <c r="Q98" s="221">
        <f t="shared" si="127"/>
        <v>15.5</v>
      </c>
      <c r="R98" s="221">
        <f t="shared" si="128"/>
        <v>0.91649250340754196</v>
      </c>
      <c r="S98" s="176">
        <f t="shared" si="129"/>
        <v>44.917744186924686</v>
      </c>
      <c r="T98" s="542">
        <f t="shared" si="130"/>
        <v>15.5</v>
      </c>
      <c r="U98" s="221">
        <f t="shared" si="131"/>
        <v>1.9415325203252032</v>
      </c>
      <c r="V98" s="221">
        <f t="shared" si="132"/>
        <v>1.4561493902439024</v>
      </c>
      <c r="W98" s="221">
        <f t="shared" si="133"/>
        <v>1.0654751635930995</v>
      </c>
      <c r="X98" s="201">
        <f t="shared" si="134"/>
        <v>350</v>
      </c>
      <c r="Y98" s="451">
        <f t="shared" si="174"/>
        <v>350</v>
      </c>
      <c r="AA98" s="221">
        <f t="shared" si="135"/>
        <v>2.1998658618376927</v>
      </c>
      <c r="AB98" s="177">
        <f t="shared" si="136"/>
        <v>1.2072434607645877</v>
      </c>
      <c r="AC98" s="177">
        <f t="shared" si="137"/>
        <v>0.46476039334599145</v>
      </c>
      <c r="AD98" s="177"/>
      <c r="AE98" s="177">
        <f t="shared" si="138"/>
        <v>0.45</v>
      </c>
      <c r="AF98" s="555">
        <f t="shared" si="139"/>
        <v>2117.0731707317073</v>
      </c>
      <c r="AG98" s="538">
        <f t="shared" si="140"/>
        <v>6.4574999999999994E-2</v>
      </c>
      <c r="AI98" s="177">
        <f t="shared" si="141"/>
        <v>2.1258201031863231</v>
      </c>
      <c r="AJ98" s="177">
        <f t="shared" si="142"/>
        <v>2.1258201031863231</v>
      </c>
      <c r="AK98" s="177">
        <f t="shared" si="143"/>
        <v>2.0705467354575489</v>
      </c>
      <c r="AM98" s="555">
        <f t="shared" si="144"/>
        <v>390.6</v>
      </c>
      <c r="AN98" s="469">
        <f t="shared" si="145"/>
        <v>350</v>
      </c>
      <c r="AP98">
        <f t="shared" si="146"/>
        <v>390.6</v>
      </c>
      <c r="AQ98">
        <f t="shared" si="147"/>
        <v>350</v>
      </c>
      <c r="AS98" s="5">
        <f t="shared" si="175"/>
        <v>2.8571428571428572</v>
      </c>
      <c r="AT98" s="5">
        <f t="shared" si="148"/>
        <v>1.5943650773897422</v>
      </c>
      <c r="AU98" s="5">
        <f t="shared" si="176"/>
        <v>1.262777779753115</v>
      </c>
      <c r="AV98" s="5">
        <f t="shared" si="149"/>
        <v>1.1666085932120065</v>
      </c>
      <c r="AW98" s="177">
        <f t="shared" si="177"/>
        <v>0.55802777708640972</v>
      </c>
      <c r="AX98" s="177">
        <f t="shared" si="150"/>
        <v>7.1175999999999977</v>
      </c>
      <c r="AY98" s="177">
        <f t="shared" si="151"/>
        <v>0.46977671825982853</v>
      </c>
      <c r="AZ98" s="177">
        <f t="shared" si="178"/>
        <v>15.151027548503007</v>
      </c>
      <c r="BA98" s="469">
        <f t="shared" si="152"/>
        <v>19.587372721622344</v>
      </c>
      <c r="BB98" s="469">
        <f t="shared" si="153"/>
        <v>28.843040290909101</v>
      </c>
      <c r="BC98" s="5">
        <f t="shared" si="154"/>
        <v>1.1798202950554448</v>
      </c>
      <c r="BD98" s="469">
        <f t="shared" si="155"/>
        <v>72.470967703326693</v>
      </c>
      <c r="BE98" s="5"/>
      <c r="BF98" s="177">
        <f t="shared" si="179"/>
        <v>0.91684050371185566</v>
      </c>
      <c r="BG98" s="177">
        <f t="shared" si="156"/>
        <v>0.81594966825396809</v>
      </c>
      <c r="BH98" s="177"/>
      <c r="BI98" s="538">
        <f t="shared" si="157"/>
        <v>9.2465616017127009E-2</v>
      </c>
      <c r="BJ98" s="538">
        <f t="shared" si="158"/>
        <v>0.10565325912836025</v>
      </c>
      <c r="BK98" s="538">
        <f t="shared" si="159"/>
        <v>1.7499999999999998E-2</v>
      </c>
      <c r="BL98" s="538">
        <f t="shared" si="160"/>
        <v>6.3516599999999993E-2</v>
      </c>
      <c r="BM98">
        <f t="shared" si="161"/>
        <v>3.48E-3</v>
      </c>
      <c r="BN98">
        <f t="shared" si="162"/>
        <v>2.4500000000000003E-5</v>
      </c>
      <c r="BO98" s="538">
        <f t="shared" si="163"/>
        <v>0.28754547394635305</v>
      </c>
      <c r="BP98" s="469">
        <f t="shared" si="180"/>
        <v>287.54547394635307</v>
      </c>
      <c r="BQ98" s="538">
        <f t="shared" si="164"/>
        <v>0.35154000000000002</v>
      </c>
      <c r="BR98" s="538"/>
      <c r="BT98" s="469">
        <f t="shared" si="181"/>
        <v>351.54</v>
      </c>
      <c r="BU98" s="538">
        <f t="shared" si="165"/>
        <v>4.0348632443837247E-2</v>
      </c>
      <c r="BV98" s="538">
        <f t="shared" si="166"/>
        <v>0.15978572666970253</v>
      </c>
      <c r="BW98" s="538">
        <f t="shared" si="167"/>
        <v>0</v>
      </c>
      <c r="BX98" s="538">
        <f t="shared" si="168"/>
        <v>0.20339079807533159</v>
      </c>
      <c r="BY98" s="538">
        <f t="shared" si="169"/>
        <v>7.9084444444444416E-2</v>
      </c>
      <c r="BZ98" s="469">
        <f t="shared" si="182"/>
        <v>282.47524251977603</v>
      </c>
      <c r="CA98" s="177">
        <f t="shared" si="183"/>
        <v>0.92156071646612903</v>
      </c>
      <c r="CB98" s="5">
        <f t="shared" si="184"/>
        <v>6.0543000000000005</v>
      </c>
      <c r="CC98" s="177">
        <f t="shared" si="185"/>
        <v>0.86789290183348455</v>
      </c>
      <c r="CD98" s="5">
        <f t="shared" si="186"/>
        <v>86.789290183348456</v>
      </c>
      <c r="CG98" s="571">
        <f t="shared" si="170"/>
        <v>-50</v>
      </c>
      <c r="CH98">
        <f t="shared" si="171"/>
        <v>-50</v>
      </c>
    </row>
    <row r="99" spans="5:86" x14ac:dyDescent="0.2">
      <c r="E99" s="174">
        <v>94</v>
      </c>
      <c r="F99" s="221">
        <f t="shared" si="172"/>
        <v>0.39479999999999998</v>
      </c>
      <c r="G99" s="221"/>
      <c r="H99" s="221">
        <f t="shared" si="120"/>
        <v>6.1193999999999997</v>
      </c>
      <c r="I99" s="551">
        <f t="shared" si="121"/>
        <v>12</v>
      </c>
      <c r="J99" s="176">
        <f t="shared" si="122"/>
        <v>16.399999999999999</v>
      </c>
      <c r="K99" s="451">
        <f t="shared" si="123"/>
        <v>28.4</v>
      </c>
      <c r="L99" s="451"/>
      <c r="M99" s="221">
        <f t="shared" si="124"/>
        <v>0.57746478873239437</v>
      </c>
      <c r="N99" s="176">
        <f t="shared" si="125"/>
        <v>12.78507042253521</v>
      </c>
      <c r="O99" s="176">
        <f t="shared" si="173"/>
        <v>6.1193999999999997</v>
      </c>
      <c r="P99" s="221">
        <f t="shared" si="126"/>
        <v>0.82484325306678774</v>
      </c>
      <c r="Q99" s="221">
        <f t="shared" si="127"/>
        <v>15.5</v>
      </c>
      <c r="R99" s="221">
        <f t="shared" si="128"/>
        <v>0.91649250340754196</v>
      </c>
      <c r="S99" s="176">
        <f t="shared" si="129"/>
        <v>44.317870975787855</v>
      </c>
      <c r="T99" s="542">
        <f t="shared" si="130"/>
        <v>15.5</v>
      </c>
      <c r="U99" s="221">
        <f t="shared" si="131"/>
        <v>1.9624092140921408</v>
      </c>
      <c r="V99" s="221">
        <f t="shared" si="132"/>
        <v>1.4718069105691054</v>
      </c>
      <c r="W99" s="221">
        <f t="shared" si="133"/>
        <v>1.0769318857822723</v>
      </c>
      <c r="X99" s="201">
        <f t="shared" si="134"/>
        <v>350</v>
      </c>
      <c r="Y99" s="451">
        <f t="shared" si="174"/>
        <v>350</v>
      </c>
      <c r="AA99" s="221">
        <f t="shared" si="135"/>
        <v>2.1998658618376927</v>
      </c>
      <c r="AB99" s="177">
        <f t="shared" si="136"/>
        <v>1.2072434607645877</v>
      </c>
      <c r="AC99" s="177">
        <f t="shared" si="137"/>
        <v>0.46476039334599145</v>
      </c>
      <c r="AD99" s="177"/>
      <c r="AE99" s="177">
        <f t="shared" si="138"/>
        <v>0.45</v>
      </c>
      <c r="AF99" s="555">
        <f t="shared" si="139"/>
        <v>2139.8373983739839</v>
      </c>
      <c r="AG99" s="538">
        <f t="shared" si="140"/>
        <v>6.4574999999999994E-2</v>
      </c>
      <c r="AI99" s="177">
        <f t="shared" si="141"/>
        <v>2.137218684108789</v>
      </c>
      <c r="AJ99" s="177">
        <f t="shared" si="142"/>
        <v>2.137218684108789</v>
      </c>
      <c r="AK99" s="177">
        <f t="shared" si="143"/>
        <v>2.0781457894058595</v>
      </c>
      <c r="AM99" s="555">
        <f t="shared" si="144"/>
        <v>394.8</v>
      </c>
      <c r="AN99" s="469">
        <f t="shared" si="145"/>
        <v>350</v>
      </c>
      <c r="AP99">
        <f t="shared" si="146"/>
        <v>394.8</v>
      </c>
      <c r="AQ99">
        <f t="shared" si="147"/>
        <v>350</v>
      </c>
      <c r="AS99" s="5">
        <f t="shared" si="175"/>
        <v>2.8571428571428572</v>
      </c>
      <c r="AT99" s="5">
        <f t="shared" si="148"/>
        <v>1.6029140130815918</v>
      </c>
      <c r="AU99" s="5">
        <f t="shared" si="176"/>
        <v>1.2542288440612654</v>
      </c>
      <c r="AV99" s="5">
        <f t="shared" si="149"/>
        <v>1.172863912010921</v>
      </c>
      <c r="AW99" s="177">
        <f t="shared" si="177"/>
        <v>0.5610199045785571</v>
      </c>
      <c r="AX99" s="177">
        <f t="shared" si="150"/>
        <v>7.1941333333333342</v>
      </c>
      <c r="AY99" s="177">
        <f t="shared" si="151"/>
        <v>0.4690982309432834</v>
      </c>
      <c r="AZ99" s="177">
        <f t="shared" si="178"/>
        <v>15.336091374437832</v>
      </c>
      <c r="BA99" s="469">
        <f t="shared" si="152"/>
        <v>19.587372721622344</v>
      </c>
      <c r="BB99" s="469">
        <f t="shared" si="153"/>
        <v>29.458165245747804</v>
      </c>
      <c r="BC99" s="5">
        <f t="shared" si="154"/>
        <v>1.1844333315352633</v>
      </c>
      <c r="BD99" s="469">
        <f t="shared" si="155"/>
        <v>72.765833225449128</v>
      </c>
      <c r="BE99" s="5"/>
      <c r="BF99" s="177">
        <f t="shared" si="179"/>
        <v>0.92422448499538856</v>
      </c>
      <c r="BG99" s="177">
        <f t="shared" si="156"/>
        <v>0.81754327259758963</v>
      </c>
      <c r="BH99" s="177"/>
      <c r="BI99" s="538">
        <f t="shared" si="157"/>
        <v>9.3960998853149028E-2</v>
      </c>
      <c r="BJ99" s="538">
        <f t="shared" si="158"/>
        <v>0.10621976860020681</v>
      </c>
      <c r="BK99" s="538">
        <f t="shared" si="159"/>
        <v>1.7499999999999998E-2</v>
      </c>
      <c r="BL99" s="538">
        <f t="shared" si="160"/>
        <v>6.3516599999999993E-2</v>
      </c>
      <c r="BM99">
        <f t="shared" si="161"/>
        <v>3.48E-3</v>
      </c>
      <c r="BN99">
        <f t="shared" si="162"/>
        <v>2.4500000000000003E-5</v>
      </c>
      <c r="BO99" s="538">
        <f t="shared" si="163"/>
        <v>0.28972447423627729</v>
      </c>
      <c r="BP99" s="469">
        <f t="shared" si="180"/>
        <v>289.72447423627727</v>
      </c>
      <c r="BQ99" s="538">
        <f t="shared" si="164"/>
        <v>0.35531999999999997</v>
      </c>
      <c r="BR99" s="538"/>
      <c r="BT99" s="469">
        <f t="shared" si="181"/>
        <v>355.32</v>
      </c>
      <c r="BU99" s="538">
        <f t="shared" si="165"/>
        <v>4.1001163135919581E-2</v>
      </c>
      <c r="BV99" s="538">
        <f t="shared" si="166"/>
        <v>0.16041048061669841</v>
      </c>
      <c r="BW99" s="538">
        <f t="shared" si="167"/>
        <v>0</v>
      </c>
      <c r="BX99" s="538">
        <f t="shared" si="168"/>
        <v>0.20471012395734203</v>
      </c>
      <c r="BY99" s="538">
        <f t="shared" si="169"/>
        <v>7.9934814814814834E-2</v>
      </c>
      <c r="BZ99" s="469">
        <f t="shared" si="182"/>
        <v>284.64493877215688</v>
      </c>
      <c r="CA99" s="177">
        <f t="shared" si="183"/>
        <v>0.92968941300843411</v>
      </c>
      <c r="CB99" s="5">
        <f t="shared" si="184"/>
        <v>6.1193999999999997</v>
      </c>
      <c r="CC99" s="177">
        <f t="shared" si="185"/>
        <v>0.86811212646944447</v>
      </c>
      <c r="CD99" s="5">
        <f t="shared" si="186"/>
        <v>86.811212646944441</v>
      </c>
      <c r="CG99" s="571">
        <f t="shared" si="170"/>
        <v>-50</v>
      </c>
      <c r="CH99">
        <f t="shared" si="171"/>
        <v>-50</v>
      </c>
    </row>
    <row r="100" spans="5:86" x14ac:dyDescent="0.2">
      <c r="E100" s="174">
        <v>95</v>
      </c>
      <c r="F100" s="221">
        <f t="shared" si="172"/>
        <v>0.39899999999999997</v>
      </c>
      <c r="G100" s="221"/>
      <c r="H100" s="221">
        <f t="shared" si="120"/>
        <v>6.1844999999999999</v>
      </c>
      <c r="I100" s="551">
        <f t="shared" si="121"/>
        <v>12</v>
      </c>
      <c r="J100" s="176">
        <f t="shared" si="122"/>
        <v>16.399999999999999</v>
      </c>
      <c r="K100" s="451">
        <f t="shared" si="123"/>
        <v>28.4</v>
      </c>
      <c r="L100" s="451"/>
      <c r="M100" s="221">
        <f t="shared" si="124"/>
        <v>0.57746478873239437</v>
      </c>
      <c r="N100" s="176">
        <f t="shared" si="125"/>
        <v>12.78507042253521</v>
      </c>
      <c r="O100" s="176">
        <f t="shared" si="173"/>
        <v>6.1844999999999999</v>
      </c>
      <c r="P100" s="221">
        <f t="shared" si="126"/>
        <v>0.82484325306678774</v>
      </c>
      <c r="Q100" s="221">
        <f t="shared" si="127"/>
        <v>15.5</v>
      </c>
      <c r="R100" s="221">
        <f t="shared" si="128"/>
        <v>0.91649250340754196</v>
      </c>
      <c r="S100" s="176">
        <f t="shared" si="129"/>
        <v>43.730707660575582</v>
      </c>
      <c r="T100" s="542">
        <f t="shared" si="130"/>
        <v>15.5</v>
      </c>
      <c r="U100" s="221">
        <f t="shared" si="131"/>
        <v>1.9832859078590783</v>
      </c>
      <c r="V100" s="221">
        <f t="shared" si="132"/>
        <v>1.487464430894309</v>
      </c>
      <c r="W100" s="221">
        <f t="shared" si="133"/>
        <v>1.0883886079714458</v>
      </c>
      <c r="X100" s="201">
        <f t="shared" si="134"/>
        <v>350</v>
      </c>
      <c r="Y100" s="451">
        <f t="shared" si="174"/>
        <v>350</v>
      </c>
      <c r="AA100" s="221">
        <f t="shared" si="135"/>
        <v>2.1998658618376927</v>
      </c>
      <c r="AB100" s="177">
        <f t="shared" si="136"/>
        <v>1.2072434607645877</v>
      </c>
      <c r="AC100" s="177">
        <f t="shared" si="137"/>
        <v>0.46476039334599145</v>
      </c>
      <c r="AD100" s="177"/>
      <c r="AE100" s="177">
        <f t="shared" si="138"/>
        <v>0.45</v>
      </c>
      <c r="AF100" s="555">
        <f t="shared" si="139"/>
        <v>2162.6016260162601</v>
      </c>
      <c r="AG100" s="538">
        <f t="shared" si="140"/>
        <v>6.4574999999999994E-2</v>
      </c>
      <c r="AI100" s="177">
        <f t="shared" si="141"/>
        <v>2.148556793826101</v>
      </c>
      <c r="AJ100" s="177">
        <f t="shared" si="142"/>
        <v>2.148556793826101</v>
      </c>
      <c r="AK100" s="177">
        <f t="shared" si="143"/>
        <v>2.0857045292174008</v>
      </c>
      <c r="AM100" s="555">
        <f t="shared" si="144"/>
        <v>398.99999999999994</v>
      </c>
      <c r="AN100" s="469">
        <f t="shared" si="145"/>
        <v>350</v>
      </c>
      <c r="AP100">
        <f t="shared" si="146"/>
        <v>398.99999999999994</v>
      </c>
      <c r="AQ100">
        <f t="shared" si="147"/>
        <v>350</v>
      </c>
      <c r="AS100" s="5">
        <f t="shared" si="175"/>
        <v>2.8571428571428572</v>
      </c>
      <c r="AT100" s="5">
        <f t="shared" si="148"/>
        <v>1.6114175953695757</v>
      </c>
      <c r="AU100" s="5">
        <f t="shared" si="176"/>
        <v>1.2457252617732815</v>
      </c>
      <c r="AV100" s="5">
        <f t="shared" si="149"/>
        <v>1.1790860453923726</v>
      </c>
      <c r="AW100" s="177">
        <f t="shared" si="177"/>
        <v>0.56399615837935146</v>
      </c>
      <c r="AX100" s="177">
        <f t="shared" si="150"/>
        <v>7.2706666666666644</v>
      </c>
      <c r="AY100" s="177">
        <f t="shared" si="151"/>
        <v>0.46838950802416185</v>
      </c>
      <c r="AZ100" s="177">
        <f t="shared" si="178"/>
        <v>15.522693275810113</v>
      </c>
      <c r="BA100" s="469">
        <f t="shared" si="152"/>
        <v>19.587372721622344</v>
      </c>
      <c r="BB100" s="469">
        <f t="shared" si="153"/>
        <v>30.079779237536666</v>
      </c>
      <c r="BC100" s="5">
        <f t="shared" si="154"/>
        <v>1.1889178829377864</v>
      </c>
      <c r="BD100" s="469">
        <f t="shared" si="155"/>
        <v>73.052989642933881</v>
      </c>
      <c r="BE100" s="5"/>
      <c r="BF100" s="177">
        <f t="shared" si="179"/>
        <v>0.9315888537067446</v>
      </c>
      <c r="BG100" s="177">
        <f t="shared" si="156"/>
        <v>0.81908951876343694</v>
      </c>
      <c r="BH100" s="177"/>
      <c r="BI100" s="538">
        <f t="shared" si="157"/>
        <v>9.54643571585711E-2</v>
      </c>
      <c r="BJ100" s="538">
        <f t="shared" si="158"/>
        <v>0.10678327265315724</v>
      </c>
      <c r="BK100" s="538">
        <f t="shared" si="159"/>
        <v>1.7499999999999998E-2</v>
      </c>
      <c r="BL100" s="538">
        <f t="shared" si="160"/>
        <v>6.3516599999999993E-2</v>
      </c>
      <c r="BM100">
        <f t="shared" si="161"/>
        <v>3.48E-3</v>
      </c>
      <c r="BN100">
        <f t="shared" si="162"/>
        <v>2.4500000000000003E-5</v>
      </c>
      <c r="BO100" s="538">
        <f t="shared" si="163"/>
        <v>0.29191019483530672</v>
      </c>
      <c r="BP100" s="469">
        <f t="shared" si="180"/>
        <v>291.9101948353067</v>
      </c>
      <c r="BQ100" s="538">
        <f t="shared" si="164"/>
        <v>0.35909999999999997</v>
      </c>
      <c r="BR100" s="538"/>
      <c r="BT100" s="469">
        <f t="shared" si="181"/>
        <v>359.09999999999997</v>
      </c>
      <c r="BU100" s="538">
        <f t="shared" si="165"/>
        <v>4.1657174032831028E-2</v>
      </c>
      <c r="BV100" s="538">
        <f t="shared" si="166"/>
        <v>0.16101783353954849</v>
      </c>
      <c r="BW100" s="538">
        <f t="shared" si="167"/>
        <v>0</v>
      </c>
      <c r="BX100" s="538">
        <f t="shared" si="168"/>
        <v>0.20601534042686279</v>
      </c>
      <c r="BY100" s="538">
        <f t="shared" si="169"/>
        <v>8.0785185185185154E-2</v>
      </c>
      <c r="BZ100" s="469">
        <f t="shared" si="182"/>
        <v>286.80052561204792</v>
      </c>
      <c r="CA100" s="177">
        <f t="shared" si="183"/>
        <v>0.93781072044735458</v>
      </c>
      <c r="CB100" s="5">
        <f t="shared" si="184"/>
        <v>6.1844999999999999</v>
      </c>
      <c r="CC100" s="177">
        <f t="shared" si="185"/>
        <v>0.86832774400658963</v>
      </c>
      <c r="CD100" s="5">
        <f t="shared" si="186"/>
        <v>86.832774400658963</v>
      </c>
      <c r="CG100" s="571">
        <f t="shared" si="170"/>
        <v>-50</v>
      </c>
      <c r="CH100">
        <f t="shared" si="171"/>
        <v>-50</v>
      </c>
    </row>
    <row r="101" spans="5:86" x14ac:dyDescent="0.2">
      <c r="E101" s="174">
        <v>96</v>
      </c>
      <c r="F101" s="221">
        <f t="shared" si="172"/>
        <v>0.40319999999999995</v>
      </c>
      <c r="G101" s="221"/>
      <c r="H101" s="221">
        <f t="shared" ref="H101:H105" si="187">F101*Vout</f>
        <v>6.2495999999999992</v>
      </c>
      <c r="I101" s="551">
        <f t="shared" si="121"/>
        <v>12</v>
      </c>
      <c r="J101" s="176">
        <f t="shared" si="122"/>
        <v>16.399999999999999</v>
      </c>
      <c r="K101" s="451">
        <f t="shared" si="123"/>
        <v>28.4</v>
      </c>
      <c r="L101" s="451"/>
      <c r="M101" s="221">
        <f t="shared" si="124"/>
        <v>0.57746478873239437</v>
      </c>
      <c r="N101" s="176">
        <f t="shared" ref="N101:N105" si="188">M101*I101*Isw_max*0.5*Efficiency</f>
        <v>12.78507042253521</v>
      </c>
      <c r="O101" s="176">
        <f t="shared" si="173"/>
        <v>6.2495999999999992</v>
      </c>
      <c r="P101" s="221">
        <f t="shared" ref="P101:P105" si="189">N101/Vout</f>
        <v>0.82484325306678774</v>
      </c>
      <c r="Q101" s="221">
        <f t="shared" si="127"/>
        <v>15.5</v>
      </c>
      <c r="R101" s="221">
        <f t="shared" ref="R101:R105" si="190">Isw_max/2*I101*Nps*(Q101+Vfwd1)/Q101/(I101+Nps*(Q101+Vfwd1))</f>
        <v>0.91649250340754196</v>
      </c>
      <c r="S101" s="176">
        <f t="shared" si="129"/>
        <v>43.155857623797132</v>
      </c>
      <c r="T101" s="542">
        <f t="shared" ref="T101:T105" si="191">MIN(Vout, S101)</f>
        <v>15.5</v>
      </c>
      <c r="U101" s="221">
        <f t="shared" si="131"/>
        <v>2.0041626016260157</v>
      </c>
      <c r="V101" s="221">
        <f t="shared" ref="V101:V105" si="192">L*U101/I101*1000000</f>
        <v>1.5031219512195118</v>
      </c>
      <c r="W101" s="221">
        <f t="shared" si="133"/>
        <v>1.0998453301606184</v>
      </c>
      <c r="X101" s="201">
        <f t="shared" si="134"/>
        <v>350</v>
      </c>
      <c r="Y101" s="451">
        <f t="shared" si="174"/>
        <v>350</v>
      </c>
      <c r="AA101" s="221">
        <f t="shared" si="135"/>
        <v>2.1998658618376927</v>
      </c>
      <c r="AB101" s="177">
        <f t="shared" ref="AB101:AB105" si="193">L*AA101/J101*1000000</f>
        <v>1.2072434607645877</v>
      </c>
      <c r="AC101" s="177">
        <f t="shared" ref="AC101:AC105" si="194">0.5*AB101*AA101*Nps*X101/1000</f>
        <v>0.46476039334599145</v>
      </c>
      <c r="AD101" s="177"/>
      <c r="AE101" s="177">
        <f t="shared" si="138"/>
        <v>0.45</v>
      </c>
      <c r="AF101" s="555">
        <f t="shared" ref="AF101:AF105" si="195">MAX(12, F101/(0.5*AE101/1000000*Isw_min*Nps)/1000)</f>
        <v>2185.3658536585363</v>
      </c>
      <c r="AG101" s="538">
        <f t="shared" si="140"/>
        <v>6.4574999999999994E-2</v>
      </c>
      <c r="AI101" s="177">
        <f t="shared" si="141"/>
        <v>2.159835384673769</v>
      </c>
      <c r="AJ101" s="177">
        <f t="shared" ref="AJ101:AJ105" si="196">MAX(IF(F101&gt;AC101,U101,AI101),Isw_min)</f>
        <v>2.159835384673769</v>
      </c>
      <c r="AK101" s="177">
        <f t="shared" ref="AK101:AK105" si="197">IF(F101&gt;AG101, (AJ101-Isw_min)/1.2*0.8+1.2, AF101*0.2/350+1)</f>
        <v>2.0932235897825127</v>
      </c>
      <c r="AM101" s="555">
        <f t="shared" si="144"/>
        <v>403.19999999999993</v>
      </c>
      <c r="AN101" s="469">
        <f t="shared" si="145"/>
        <v>350</v>
      </c>
      <c r="AP101">
        <f t="shared" si="146"/>
        <v>403.19999999999993</v>
      </c>
      <c r="AQ101">
        <f t="shared" si="147"/>
        <v>350</v>
      </c>
      <c r="AS101" s="5">
        <f t="shared" si="175"/>
        <v>2.8571428571428572</v>
      </c>
      <c r="AT101" s="5">
        <f t="shared" si="148"/>
        <v>1.6198765385053269</v>
      </c>
      <c r="AU101" s="5">
        <f t="shared" si="176"/>
        <v>1.2372663186375303</v>
      </c>
      <c r="AV101" s="5">
        <f t="shared" si="149"/>
        <v>1.1852755159795076</v>
      </c>
      <c r="AW101" s="177">
        <f t="shared" si="177"/>
        <v>0.56695678847686437</v>
      </c>
      <c r="AX101" s="177">
        <f t="shared" si="150"/>
        <v>7.3471999999999982</v>
      </c>
      <c r="AY101" s="177">
        <f t="shared" si="151"/>
        <v>0.46765102567021799</v>
      </c>
      <c r="AZ101" s="177">
        <f t="shared" si="178"/>
        <v>15.710860442293047</v>
      </c>
      <c r="BA101" s="469">
        <f t="shared" si="152"/>
        <v>19.587372721622344</v>
      </c>
      <c r="BB101" s="469">
        <f t="shared" si="153"/>
        <v>30.707882266275657</v>
      </c>
      <c r="BC101" s="5">
        <f t="shared" si="154"/>
        <v>1.1932746273081956</v>
      </c>
      <c r="BD101" s="469">
        <f t="shared" si="155"/>
        <v>73.332477638491739</v>
      </c>
      <c r="BE101" s="5"/>
      <c r="BF101" s="177">
        <f t="shared" si="179"/>
        <v>0.93893386757638619</v>
      </c>
      <c r="BG101" s="177">
        <f t="shared" si="156"/>
        <v>0.82058890760295555</v>
      </c>
      <c r="BH101" s="177"/>
      <c r="BI101" s="538">
        <f t="shared" si="157"/>
        <v>9.6975648845014584E-2</v>
      </c>
      <c r="BJ101" s="538">
        <f t="shared" si="158"/>
        <v>0.1073438186182863</v>
      </c>
      <c r="BK101" s="538">
        <f t="shared" si="159"/>
        <v>1.7499999999999998E-2</v>
      </c>
      <c r="BL101" s="538">
        <f t="shared" si="160"/>
        <v>6.3516599999999993E-2</v>
      </c>
      <c r="BM101">
        <f t="shared" si="161"/>
        <v>3.48E-3</v>
      </c>
      <c r="BN101">
        <f t="shared" si="162"/>
        <v>2.4500000000000003E-5</v>
      </c>
      <c r="BO101" s="538">
        <f t="shared" ref="BO101:BO105" si="198">(BJ101+BK101+BL101+BM101+BN101+BI101*(1+RdsonTC*(Ta-25)))/(1-BI101*RdsonTC*ThetaJA)</f>
        <v>0.2941026542746229</v>
      </c>
      <c r="BP101" s="469">
        <f t="shared" si="180"/>
        <v>294.10265427462292</v>
      </c>
      <c r="BQ101" s="538">
        <f t="shared" si="164"/>
        <v>0.36287999999999998</v>
      </c>
      <c r="BR101" s="538"/>
      <c r="BT101" s="469">
        <f t="shared" si="181"/>
        <v>362.88</v>
      </c>
      <c r="BU101" s="538">
        <f t="shared" si="165"/>
        <v>4.2316646768733632E-2</v>
      </c>
      <c r="BV101" s="538">
        <f t="shared" si="166"/>
        <v>0.16160787726744286</v>
      </c>
      <c r="BW101" s="538">
        <f t="shared" si="167"/>
        <v>0</v>
      </c>
      <c r="BX101" s="538">
        <f t="shared" ref="BX101:BX105" si="199">(BW101+(BU101+BV101)*(1+Ltc*(Ta-25)))/(1-(BU101+BV101)*Ltc*ThetaCa)</f>
        <v>0.20730651462208916</v>
      </c>
      <c r="BY101" s="538">
        <f t="shared" si="169"/>
        <v>8.1635555555555545E-2</v>
      </c>
      <c r="BZ101" s="469">
        <f t="shared" si="182"/>
        <v>288.94207017764472</v>
      </c>
      <c r="CA101" s="177">
        <f t="shared" si="183"/>
        <v>0.94592472445226761</v>
      </c>
      <c r="CB101" s="5">
        <f t="shared" si="184"/>
        <v>6.2495999999999992</v>
      </c>
      <c r="CC101" s="177">
        <f t="shared" si="185"/>
        <v>0.86853985488538876</v>
      </c>
      <c r="CD101" s="5">
        <f t="shared" si="186"/>
        <v>86.853985488538882</v>
      </c>
      <c r="CG101" s="571">
        <f t="shared" si="170"/>
        <v>-50</v>
      </c>
      <c r="CH101">
        <f t="shared" si="171"/>
        <v>-50</v>
      </c>
    </row>
    <row r="102" spans="5:86" x14ac:dyDescent="0.2">
      <c r="E102" s="174">
        <v>97</v>
      </c>
      <c r="F102" s="221">
        <f t="shared" ref="F102:F105" si="200">IF(PLOT_TYPE=1, E102/100*Iout_max, min_I*EXP(N102*rr/100))</f>
        <v>0.40739999999999998</v>
      </c>
      <c r="G102" s="221"/>
      <c r="H102" s="221">
        <f t="shared" si="187"/>
        <v>6.3147000000000002</v>
      </c>
      <c r="I102" s="551">
        <f t="shared" si="121"/>
        <v>12</v>
      </c>
      <c r="J102" s="176">
        <f t="shared" si="122"/>
        <v>16.399999999999999</v>
      </c>
      <c r="K102" s="451">
        <f t="shared" si="123"/>
        <v>28.4</v>
      </c>
      <c r="L102" s="451"/>
      <c r="M102" s="221">
        <f t="shared" si="124"/>
        <v>0.57746478873239437</v>
      </c>
      <c r="N102" s="176">
        <f t="shared" si="188"/>
        <v>12.78507042253521</v>
      </c>
      <c r="O102" s="176">
        <f t="shared" si="173"/>
        <v>6.3147000000000002</v>
      </c>
      <c r="P102" s="221">
        <f t="shared" si="189"/>
        <v>0.82484325306678774</v>
      </c>
      <c r="Q102" s="221">
        <f t="shared" si="127"/>
        <v>15.5</v>
      </c>
      <c r="R102" s="221">
        <f t="shared" si="190"/>
        <v>0.91649250340754196</v>
      </c>
      <c r="S102" s="176">
        <f t="shared" si="129"/>
        <v>42.592940607744289</v>
      </c>
      <c r="T102" s="542">
        <f t="shared" si="191"/>
        <v>15.5</v>
      </c>
      <c r="U102" s="221">
        <f t="shared" si="131"/>
        <v>2.0250392953929537</v>
      </c>
      <c r="V102" s="221">
        <f t="shared" si="192"/>
        <v>1.5187794715447154</v>
      </c>
      <c r="W102" s="221">
        <f t="shared" si="133"/>
        <v>1.1113020523497918</v>
      </c>
      <c r="X102" s="201">
        <f t="shared" si="134"/>
        <v>350</v>
      </c>
      <c r="Y102" s="451">
        <f t="shared" si="174"/>
        <v>350</v>
      </c>
      <c r="AA102" s="221">
        <f t="shared" si="135"/>
        <v>2.1998658618376927</v>
      </c>
      <c r="AB102" s="177">
        <f t="shared" si="193"/>
        <v>1.2072434607645877</v>
      </c>
      <c r="AC102" s="177">
        <f t="shared" si="194"/>
        <v>0.46476039334599145</v>
      </c>
      <c r="AD102" s="177"/>
      <c r="AE102" s="177">
        <f t="shared" si="138"/>
        <v>0.45</v>
      </c>
      <c r="AF102" s="555">
        <f t="shared" si="195"/>
        <v>2208.1300813008133</v>
      </c>
      <c r="AG102" s="538">
        <f t="shared" si="140"/>
        <v>6.4574999999999994E-2</v>
      </c>
      <c r="AI102" s="177">
        <f t="shared" si="141"/>
        <v>2.1710553842501303</v>
      </c>
      <c r="AJ102" s="177">
        <f t="shared" si="196"/>
        <v>2.1710553842501303</v>
      </c>
      <c r="AK102" s="177">
        <f t="shared" si="197"/>
        <v>2.1007035895000872</v>
      </c>
      <c r="AM102" s="555">
        <f t="shared" si="144"/>
        <v>407.4</v>
      </c>
      <c r="AN102" s="469">
        <f t="shared" si="145"/>
        <v>350</v>
      </c>
      <c r="AP102">
        <f t="shared" si="146"/>
        <v>407.4</v>
      </c>
      <c r="AQ102">
        <f t="shared" si="147"/>
        <v>350</v>
      </c>
      <c r="AS102" s="5">
        <f t="shared" si="175"/>
        <v>2.8571428571428572</v>
      </c>
      <c r="AT102" s="5">
        <f t="shared" si="148"/>
        <v>1.6282915381875978</v>
      </c>
      <c r="AU102" s="5">
        <f t="shared" si="176"/>
        <v>1.2288513189552595</v>
      </c>
      <c r="AV102" s="5">
        <f t="shared" si="149"/>
        <v>1.1914328328201937</v>
      </c>
      <c r="AW102" s="177">
        <f t="shared" si="177"/>
        <v>0.56990203836565922</v>
      </c>
      <c r="AX102" s="177">
        <f t="shared" si="150"/>
        <v>7.4237333333333329</v>
      </c>
      <c r="AY102" s="177">
        <f t="shared" si="151"/>
        <v>0.46688324768062078</v>
      </c>
      <c r="AZ102" s="177">
        <f t="shared" si="178"/>
        <v>15.900620487483545</v>
      </c>
      <c r="BA102" s="469">
        <f t="shared" si="152"/>
        <v>19.587372721622344</v>
      </c>
      <c r="BB102" s="469">
        <f t="shared" si="153"/>
        <v>31.342474331964816</v>
      </c>
      <c r="BC102" s="5">
        <f t="shared" si="154"/>
        <v>1.1975042320689471</v>
      </c>
      <c r="BD102" s="469">
        <f t="shared" si="155"/>
        <v>73.604337257470164</v>
      </c>
      <c r="BE102" s="5"/>
      <c r="BF102" s="177">
        <f t="shared" si="179"/>
        <v>0.94625977830175922</v>
      </c>
      <c r="BG102" s="177">
        <f t="shared" si="156"/>
        <v>0.82204192459719838</v>
      </c>
      <c r="BH102" s="177"/>
      <c r="BI102" s="538">
        <f t="shared" si="157"/>
        <v>9.8494832483486394E-2</v>
      </c>
      <c r="BJ102" s="538">
        <f t="shared" si="158"/>
        <v>0.10790145259723148</v>
      </c>
      <c r="BK102" s="538">
        <f t="shared" si="159"/>
        <v>1.7499999999999998E-2</v>
      </c>
      <c r="BL102" s="538">
        <f t="shared" si="160"/>
        <v>6.3516599999999993E-2</v>
      </c>
      <c r="BM102">
        <f t="shared" si="161"/>
        <v>3.48E-3</v>
      </c>
      <c r="BN102">
        <f t="shared" si="162"/>
        <v>2.4500000000000003E-5</v>
      </c>
      <c r="BO102" s="538">
        <f t="shared" si="198"/>
        <v>0.29630187055353768</v>
      </c>
      <c r="BP102" s="469">
        <f t="shared" si="180"/>
        <v>296.3018705535377</v>
      </c>
      <c r="BQ102" s="538">
        <f t="shared" si="164"/>
        <v>0.36665999999999999</v>
      </c>
      <c r="BR102" s="538"/>
      <c r="BT102" s="469">
        <f t="shared" si="181"/>
        <v>366.65999999999997</v>
      </c>
      <c r="BU102" s="538">
        <f t="shared" si="165"/>
        <v>4.2979563265521339E-2</v>
      </c>
      <c r="BV102" s="538">
        <f t="shared" si="166"/>
        <v>0.16218070219091182</v>
      </c>
      <c r="BW102" s="538">
        <f t="shared" si="167"/>
        <v>0</v>
      </c>
      <c r="BX102" s="538">
        <f t="shared" si="199"/>
        <v>0.20858371264492284</v>
      </c>
      <c r="BY102" s="538">
        <f t="shared" si="169"/>
        <v>8.2485925925925935E-2</v>
      </c>
      <c r="BZ102" s="469">
        <f t="shared" si="182"/>
        <v>291.06963857084878</v>
      </c>
      <c r="CA102" s="177">
        <f t="shared" si="183"/>
        <v>0.95403150912438639</v>
      </c>
      <c r="CB102" s="5">
        <f t="shared" si="184"/>
        <v>6.3147000000000002</v>
      </c>
      <c r="CC102" s="177">
        <f t="shared" si="185"/>
        <v>0.86874855565557785</v>
      </c>
      <c r="CD102" s="5">
        <f t="shared" si="186"/>
        <v>86.87485556555778</v>
      </c>
      <c r="CG102" s="571">
        <f t="shared" si="170"/>
        <v>-50</v>
      </c>
      <c r="CH102">
        <f t="shared" si="171"/>
        <v>-50</v>
      </c>
    </row>
    <row r="103" spans="5:86" x14ac:dyDescent="0.2">
      <c r="E103" s="174">
        <v>98</v>
      </c>
      <c r="F103" s="221">
        <f t="shared" si="200"/>
        <v>0.41159999999999997</v>
      </c>
      <c r="G103" s="221"/>
      <c r="H103" s="221">
        <f t="shared" si="187"/>
        <v>6.3797999999999995</v>
      </c>
      <c r="I103" s="551">
        <f t="shared" si="121"/>
        <v>12</v>
      </c>
      <c r="J103" s="176">
        <f t="shared" si="122"/>
        <v>16.399999999999999</v>
      </c>
      <c r="K103" s="451">
        <f t="shared" si="123"/>
        <v>28.4</v>
      </c>
      <c r="L103" s="451"/>
      <c r="M103" s="221">
        <f t="shared" si="124"/>
        <v>0.57746478873239437</v>
      </c>
      <c r="N103" s="176">
        <f t="shared" si="188"/>
        <v>12.78507042253521</v>
      </c>
      <c r="O103" s="176">
        <f t="shared" si="173"/>
        <v>6.3797999999999995</v>
      </c>
      <c r="P103" s="221">
        <f t="shared" si="189"/>
        <v>0.82484325306678774</v>
      </c>
      <c r="Q103" s="221">
        <f t="shared" si="127"/>
        <v>15.5</v>
      </c>
      <c r="R103" s="221">
        <f t="shared" si="190"/>
        <v>0.91649250340754196</v>
      </c>
      <c r="S103" s="176">
        <f t="shared" si="129"/>
        <v>42.041591879839814</v>
      </c>
      <c r="T103" s="542">
        <f t="shared" si="191"/>
        <v>15.5</v>
      </c>
      <c r="U103" s="221">
        <f t="shared" si="131"/>
        <v>2.0459159891598913</v>
      </c>
      <c r="V103" s="221">
        <f t="shared" si="192"/>
        <v>1.5344369918699183</v>
      </c>
      <c r="W103" s="221">
        <f t="shared" si="133"/>
        <v>1.1227587745389647</v>
      </c>
      <c r="X103" s="201">
        <f t="shared" si="134"/>
        <v>350</v>
      </c>
      <c r="Y103" s="451">
        <f t="shared" si="174"/>
        <v>350</v>
      </c>
      <c r="AA103" s="221">
        <f t="shared" si="135"/>
        <v>2.1998658618376927</v>
      </c>
      <c r="AB103" s="177">
        <f t="shared" si="193"/>
        <v>1.2072434607645877</v>
      </c>
      <c r="AC103" s="177">
        <f t="shared" si="194"/>
        <v>0.46476039334599145</v>
      </c>
      <c r="AD103" s="177"/>
      <c r="AE103" s="177">
        <f t="shared" si="138"/>
        <v>0.45</v>
      </c>
      <c r="AF103" s="555">
        <f t="shared" si="195"/>
        <v>2230.8943089430895</v>
      </c>
      <c r="AG103" s="538">
        <f t="shared" si="140"/>
        <v>6.4574999999999994E-2</v>
      </c>
      <c r="AI103" s="177">
        <f t="shared" si="141"/>
        <v>2.1822176963066888</v>
      </c>
      <c r="AJ103" s="177">
        <f t="shared" si="196"/>
        <v>2.1822176963066888</v>
      </c>
      <c r="AK103" s="177">
        <f t="shared" si="197"/>
        <v>2.1081451308711259</v>
      </c>
      <c r="AM103" s="555">
        <f t="shared" si="144"/>
        <v>411.59999999999997</v>
      </c>
      <c r="AN103" s="469">
        <f t="shared" si="145"/>
        <v>350</v>
      </c>
      <c r="AP103">
        <f t="shared" si="146"/>
        <v>411.59999999999997</v>
      </c>
      <c r="AQ103">
        <f t="shared" si="147"/>
        <v>350</v>
      </c>
      <c r="AS103" s="5">
        <f t="shared" si="175"/>
        <v>2.8571428571428572</v>
      </c>
      <c r="AT103" s="5">
        <f t="shared" si="148"/>
        <v>1.6366632722300165</v>
      </c>
      <c r="AU103" s="5">
        <f t="shared" si="176"/>
        <v>1.2204795849128407</v>
      </c>
      <c r="AV103" s="5">
        <f t="shared" si="149"/>
        <v>1.1975584918756221</v>
      </c>
      <c r="AW103" s="177">
        <f t="shared" si="177"/>
        <v>0.57283214528050574</v>
      </c>
      <c r="AX103" s="177">
        <f t="shared" si="150"/>
        <v>7.500266666666664</v>
      </c>
      <c r="AY103" s="177">
        <f t="shared" si="151"/>
        <v>0.46608662593112254</v>
      </c>
      <c r="AZ103" s="177">
        <f t="shared" si="178"/>
        <v>16.092001463640024</v>
      </c>
      <c r="BA103" s="469">
        <f t="shared" si="152"/>
        <v>19.587372721622344</v>
      </c>
      <c r="BB103" s="469">
        <f t="shared" si="153"/>
        <v>31.983555434604106</v>
      </c>
      <c r="BC103" s="5">
        <f t="shared" si="154"/>
        <v>1.2016073542942807</v>
      </c>
      <c r="BD103" s="469">
        <f t="shared" si="155"/>
        <v>73.868607924323527</v>
      </c>
      <c r="BE103" s="5"/>
      <c r="BF103" s="177">
        <f t="shared" si="179"/>
        <v>0.95356683174918377</v>
      </c>
      <c r="BG103" s="177">
        <f t="shared" si="156"/>
        <v>0.82344904036569322</v>
      </c>
      <c r="BH103" s="177"/>
      <c r="BI103" s="538">
        <f t="shared" si="157"/>
        <v>0.10002186728733937</v>
      </c>
      <c r="BJ103" s="538">
        <f t="shared" si="158"/>
        <v>0.10845621950644244</v>
      </c>
      <c r="BK103" s="538">
        <f t="shared" si="159"/>
        <v>1.7499999999999998E-2</v>
      </c>
      <c r="BL103" s="538">
        <f t="shared" si="160"/>
        <v>6.3516599999999993E-2</v>
      </c>
      <c r="BM103">
        <f t="shared" si="161"/>
        <v>3.48E-3</v>
      </c>
      <c r="BN103">
        <f t="shared" si="162"/>
        <v>2.4500000000000003E-5</v>
      </c>
      <c r="BO103" s="538">
        <f t="shared" si="198"/>
        <v>0.2985078611666041</v>
      </c>
      <c r="BP103" s="469">
        <f t="shared" si="180"/>
        <v>298.50786116660413</v>
      </c>
      <c r="BQ103" s="538">
        <f t="shared" si="164"/>
        <v>0.37043999999999999</v>
      </c>
      <c r="BR103" s="538"/>
      <c r="BT103" s="469">
        <f t="shared" si="181"/>
        <v>370.44</v>
      </c>
      <c r="BU103" s="538">
        <f t="shared" si="165"/>
        <v>4.3645905725384453E-2</v>
      </c>
      <c r="BV103" s="538">
        <f t="shared" si="166"/>
        <v>0.16273639729900347</v>
      </c>
      <c r="BW103" s="538">
        <f t="shared" si="167"/>
        <v>0</v>
      </c>
      <c r="BX103" s="538">
        <f t="shared" si="199"/>
        <v>0.20984699958902317</v>
      </c>
      <c r="BY103" s="538">
        <f t="shared" si="169"/>
        <v>8.3336296296296269E-2</v>
      </c>
      <c r="BZ103" s="469">
        <f t="shared" si="182"/>
        <v>293.18329588531947</v>
      </c>
      <c r="CA103" s="177">
        <f t="shared" si="183"/>
        <v>0.96213115705192354</v>
      </c>
      <c r="CB103" s="5">
        <f t="shared" si="184"/>
        <v>6.3797999999999995</v>
      </c>
      <c r="CC103" s="177">
        <f t="shared" si="185"/>
        <v>0.86895393916520225</v>
      </c>
      <c r="CD103" s="5">
        <f t="shared" si="186"/>
        <v>86.89539391652022</v>
      </c>
      <c r="CG103" s="571">
        <f t="shared" si="170"/>
        <v>-50</v>
      </c>
      <c r="CH103">
        <f t="shared" si="171"/>
        <v>-50</v>
      </c>
    </row>
    <row r="104" spans="5:86" x14ac:dyDescent="0.2">
      <c r="E104" s="174">
        <v>99</v>
      </c>
      <c r="F104" s="221">
        <f t="shared" si="200"/>
        <v>0.4158</v>
      </c>
      <c r="G104" s="221"/>
      <c r="H104" s="221">
        <f t="shared" si="187"/>
        <v>6.4448999999999996</v>
      </c>
      <c r="I104" s="551">
        <f t="shared" si="121"/>
        <v>12</v>
      </c>
      <c r="J104" s="176">
        <f t="shared" si="122"/>
        <v>16.399999999999999</v>
      </c>
      <c r="K104" s="451">
        <f t="shared" si="123"/>
        <v>28.4</v>
      </c>
      <c r="L104" s="451"/>
      <c r="M104" s="221">
        <f t="shared" si="124"/>
        <v>0.57746478873239437</v>
      </c>
      <c r="N104" s="176">
        <f t="shared" si="188"/>
        <v>12.78507042253521</v>
      </c>
      <c r="O104" s="176">
        <f t="shared" si="173"/>
        <v>6.4448999999999996</v>
      </c>
      <c r="P104" s="221">
        <f t="shared" si="189"/>
        <v>0.82484325306678774</v>
      </c>
      <c r="Q104" s="221">
        <f t="shared" si="127"/>
        <v>15.5</v>
      </c>
      <c r="R104" s="221">
        <f t="shared" si="190"/>
        <v>0.91649250340754196</v>
      </c>
      <c r="S104" s="176">
        <f t="shared" si="129"/>
        <v>41.501461448570758</v>
      </c>
      <c r="T104" s="542">
        <f t="shared" si="191"/>
        <v>15.5</v>
      </c>
      <c r="U104" s="221">
        <f t="shared" si="131"/>
        <v>2.0667926829268288</v>
      </c>
      <c r="V104" s="221">
        <f t="shared" si="192"/>
        <v>1.5500945121951217</v>
      </c>
      <c r="W104" s="221">
        <f t="shared" si="133"/>
        <v>1.1342154967281379</v>
      </c>
      <c r="X104" s="201">
        <f t="shared" si="134"/>
        <v>350</v>
      </c>
      <c r="Y104" s="451">
        <f t="shared" si="174"/>
        <v>350</v>
      </c>
      <c r="AA104" s="221">
        <f t="shared" si="135"/>
        <v>2.1998658618376927</v>
      </c>
      <c r="AB104" s="177">
        <f t="shared" si="193"/>
        <v>1.2072434607645877</v>
      </c>
      <c r="AC104" s="177">
        <f t="shared" si="194"/>
        <v>0.46476039334599145</v>
      </c>
      <c r="AD104" s="177"/>
      <c r="AE104" s="177">
        <f t="shared" si="138"/>
        <v>0.45</v>
      </c>
      <c r="AF104" s="555">
        <f t="shared" si="195"/>
        <v>2253.6585365853657</v>
      </c>
      <c r="AG104" s="538">
        <f t="shared" si="140"/>
        <v>6.4574999999999994E-2</v>
      </c>
      <c r="AI104" s="177">
        <f t="shared" si="141"/>
        <v>2.1933232015976727</v>
      </c>
      <c r="AJ104" s="177">
        <f t="shared" si="196"/>
        <v>2.1933232015976727</v>
      </c>
      <c r="AK104" s="177">
        <f t="shared" si="197"/>
        <v>2.1155488010651151</v>
      </c>
      <c r="AM104" s="555">
        <f t="shared" si="144"/>
        <v>415.8</v>
      </c>
      <c r="AN104" s="469">
        <f t="shared" si="145"/>
        <v>350</v>
      </c>
      <c r="AP104">
        <f t="shared" si="146"/>
        <v>415.8</v>
      </c>
      <c r="AQ104">
        <f t="shared" si="147"/>
        <v>350</v>
      </c>
      <c r="AS104" s="5">
        <f t="shared" si="175"/>
        <v>2.8571428571428572</v>
      </c>
      <c r="AT104" s="5">
        <f t="shared" si="148"/>
        <v>1.6449924011982544</v>
      </c>
      <c r="AU104" s="5">
        <f t="shared" si="176"/>
        <v>1.2121504559446028</v>
      </c>
      <c r="AV104" s="5">
        <f t="shared" si="149"/>
        <v>1.2036529764865278</v>
      </c>
      <c r="AW104" s="177">
        <f t="shared" si="177"/>
        <v>0.57574734041938902</v>
      </c>
      <c r="AX104" s="177">
        <f t="shared" si="150"/>
        <v>7.5767999999999969</v>
      </c>
      <c r="AY104" s="177">
        <f t="shared" si="151"/>
        <v>0.46526160079883661</v>
      </c>
      <c r="AZ104" s="177">
        <f t="shared" si="178"/>
        <v>16.285031876670924</v>
      </c>
      <c r="BA104" s="469">
        <f t="shared" si="152"/>
        <v>19.587372721622344</v>
      </c>
      <c r="BB104" s="469">
        <f t="shared" si="153"/>
        <v>32.631125574193568</v>
      </c>
      <c r="BC104" s="5">
        <f t="shared" si="154"/>
        <v>1.2055846409749027</v>
      </c>
      <c r="BD104" s="469">
        <f t="shared" si="155"/>
        <v>74.125328458494167</v>
      </c>
      <c r="BE104" s="5"/>
      <c r="BF104" s="177">
        <f t="shared" si="179"/>
        <v>0.96085526814700173</v>
      </c>
      <c r="BG104" s="177">
        <f t="shared" si="156"/>
        <v>0.82481071115117588</v>
      </c>
      <c r="BH104" s="177"/>
      <c r="BI104" s="538">
        <f t="shared" si="157"/>
        <v>0.10155671309584313</v>
      </c>
      <c r="BJ104" s="538">
        <f t="shared" si="158"/>
        <v>0.10900816311940434</v>
      </c>
      <c r="BK104" s="538">
        <f t="shared" si="159"/>
        <v>1.7499999999999998E-2</v>
      </c>
      <c r="BL104" s="538">
        <f t="shared" si="160"/>
        <v>6.3516599999999993E-2</v>
      </c>
      <c r="BM104">
        <f t="shared" si="161"/>
        <v>3.48E-3</v>
      </c>
      <c r="BN104">
        <f t="shared" si="162"/>
        <v>2.4500000000000003E-5</v>
      </c>
      <c r="BO104" s="538">
        <f t="shared" si="198"/>
        <v>0.30072064312932151</v>
      </c>
      <c r="BP104" s="469">
        <f t="shared" si="180"/>
        <v>300.7206431293215</v>
      </c>
      <c r="BQ104" s="538">
        <f t="shared" si="164"/>
        <v>0.37422</v>
      </c>
      <c r="BR104" s="538"/>
      <c r="BT104" s="469">
        <f t="shared" si="181"/>
        <v>374.21999999999997</v>
      </c>
      <c r="BU104" s="538">
        <f t="shared" si="165"/>
        <v>4.4315656623640641E-2</v>
      </c>
      <c r="BV104" s="538">
        <f t="shared" si="166"/>
        <v>0.16327505021513006</v>
      </c>
      <c r="BW104" s="538">
        <f t="shared" si="167"/>
        <v>0</v>
      </c>
      <c r="BX104" s="538">
        <f t="shared" si="199"/>
        <v>0.21109643956683691</v>
      </c>
      <c r="BY104" s="538">
        <f t="shared" si="169"/>
        <v>8.4186666666666632E-2</v>
      </c>
      <c r="BZ104" s="469">
        <f t="shared" si="182"/>
        <v>295.28310623350353</v>
      </c>
      <c r="CA104" s="177">
        <f t="shared" si="183"/>
        <v>0.97022374936282496</v>
      </c>
      <c r="CB104" s="5">
        <f t="shared" si="184"/>
        <v>6.4448999999999996</v>
      </c>
      <c r="CC104" s="177">
        <f t="shared" si="185"/>
        <v>0.86915609473864874</v>
      </c>
      <c r="CD104" s="5">
        <f t="shared" si="186"/>
        <v>86.915609473864876</v>
      </c>
      <c r="CG104" s="571">
        <f t="shared" si="170"/>
        <v>-50</v>
      </c>
      <c r="CH104">
        <f t="shared" si="171"/>
        <v>-50</v>
      </c>
    </row>
    <row r="105" spans="5:86" x14ac:dyDescent="0.2">
      <c r="E105" s="174">
        <v>100</v>
      </c>
      <c r="F105" s="221">
        <f t="shared" si="200"/>
        <v>0.42</v>
      </c>
      <c r="G105" s="221"/>
      <c r="H105" s="221">
        <f t="shared" si="187"/>
        <v>6.51</v>
      </c>
      <c r="I105" s="551">
        <f t="shared" si="121"/>
        <v>12</v>
      </c>
      <c r="J105" s="176">
        <f t="shared" si="122"/>
        <v>16.399999999999999</v>
      </c>
      <c r="K105" s="451">
        <f t="shared" si="123"/>
        <v>28.4</v>
      </c>
      <c r="L105" s="451"/>
      <c r="M105" s="221">
        <f t="shared" si="124"/>
        <v>0.57746478873239437</v>
      </c>
      <c r="N105" s="176">
        <f t="shared" si="188"/>
        <v>12.78507042253521</v>
      </c>
      <c r="O105" s="176">
        <f t="shared" si="173"/>
        <v>6.51</v>
      </c>
      <c r="P105" s="221">
        <f t="shared" si="189"/>
        <v>0.82484325306678774</v>
      </c>
      <c r="Q105" s="221">
        <f t="shared" si="127"/>
        <v>15.5</v>
      </c>
      <c r="R105" s="221">
        <f t="shared" si="190"/>
        <v>0.91649250340754196</v>
      </c>
      <c r="S105" s="176">
        <f t="shared" si="129"/>
        <v>40.972213326466026</v>
      </c>
      <c r="T105" s="542">
        <f t="shared" si="191"/>
        <v>15.5</v>
      </c>
      <c r="U105" s="221">
        <f t="shared" si="131"/>
        <v>2.0876693766937668</v>
      </c>
      <c r="V105" s="221">
        <f t="shared" si="192"/>
        <v>1.5657520325203254</v>
      </c>
      <c r="W105" s="221">
        <f t="shared" si="133"/>
        <v>1.1456722189173112</v>
      </c>
      <c r="X105" s="201">
        <f t="shared" si="134"/>
        <v>350</v>
      </c>
      <c r="Y105" s="451">
        <f t="shared" si="174"/>
        <v>350</v>
      </c>
      <c r="AA105" s="221">
        <f t="shared" si="135"/>
        <v>2.1998658618376927</v>
      </c>
      <c r="AB105" s="177">
        <f t="shared" si="193"/>
        <v>1.2072434607645877</v>
      </c>
      <c r="AC105" s="177">
        <f t="shared" si="194"/>
        <v>0.46476039334599145</v>
      </c>
      <c r="AD105" s="177"/>
      <c r="AE105" s="177">
        <f t="shared" si="138"/>
        <v>0.45</v>
      </c>
      <c r="AF105" s="555">
        <f t="shared" si="195"/>
        <v>2276.4227642276423</v>
      </c>
      <c r="AG105" s="538">
        <f t="shared" si="140"/>
        <v>6.4574999999999994E-2</v>
      </c>
      <c r="AI105" s="177">
        <f t="shared" si="141"/>
        <v>2.2043727586910653</v>
      </c>
      <c r="AJ105" s="177">
        <f t="shared" si="196"/>
        <v>2.2043727586910653</v>
      </c>
      <c r="AK105" s="177">
        <f t="shared" si="197"/>
        <v>2.1229151724607105</v>
      </c>
      <c r="AM105" s="555">
        <f t="shared" si="144"/>
        <v>420</v>
      </c>
      <c r="AN105" s="469">
        <f t="shared" si="145"/>
        <v>350</v>
      </c>
      <c r="AP105">
        <f t="shared" si="146"/>
        <v>420</v>
      </c>
      <c r="AQ105" s="3">
        <f t="shared" si="147"/>
        <v>350</v>
      </c>
      <c r="AS105" s="5">
        <f t="shared" si="175"/>
        <v>2.8571428571428572</v>
      </c>
      <c r="AT105" s="5">
        <f t="shared" si="148"/>
        <v>1.6532795690182991</v>
      </c>
      <c r="AU105" s="5">
        <f t="shared" si="176"/>
        <v>1.2038632881245581</v>
      </c>
      <c r="AV105" s="5">
        <f t="shared" si="149"/>
        <v>1.2097167578182677</v>
      </c>
      <c r="AW105" s="177">
        <f t="shared" si="177"/>
        <v>0.57864784915640466</v>
      </c>
      <c r="AX105" s="177">
        <f t="shared" si="150"/>
        <v>7.6533333333333307</v>
      </c>
      <c r="AY105" s="177">
        <f t="shared" si="151"/>
        <v>0.4644086015677551</v>
      </c>
      <c r="AZ105" s="177">
        <f t="shared" si="178"/>
        <v>16.479740701393414</v>
      </c>
      <c r="BA105" s="469">
        <f t="shared" si="152"/>
        <v>19.587372721622344</v>
      </c>
      <c r="BB105" s="469">
        <f t="shared" si="153"/>
        <v>33.285184750733151</v>
      </c>
      <c r="BC105" s="5">
        <f t="shared" si="154"/>
        <v>1.2094367292732828</v>
      </c>
      <c r="BD105" s="469">
        <f t="shared" si="155"/>
        <v>74.374537089730296</v>
      </c>
      <c r="BE105" s="5"/>
      <c r="BF105" s="177">
        <f t="shared" si="179"/>
        <v>0.96812532227043724</v>
      </c>
      <c r="BG105" s="177">
        <f t="shared" si="156"/>
        <v>0.82612737928149715</v>
      </c>
      <c r="BH105" s="177"/>
      <c r="BI105" s="538">
        <f t="shared" si="157"/>
        <v>0.10309933035833617</v>
      </c>
      <c r="BJ105" s="538">
        <f t="shared" si="158"/>
        <v>0.10955732610694595</v>
      </c>
      <c r="BK105" s="538">
        <f t="shared" si="159"/>
        <v>1.7499999999999998E-2</v>
      </c>
      <c r="BL105" s="538">
        <f t="shared" si="160"/>
        <v>6.3516599999999993E-2</v>
      </c>
      <c r="BM105">
        <f t="shared" si="161"/>
        <v>3.48E-3</v>
      </c>
      <c r="BN105">
        <f t="shared" si="162"/>
        <v>2.4500000000000003E-5</v>
      </c>
      <c r="BO105" s="538">
        <f t="shared" si="198"/>
        <v>0.30294023300251577</v>
      </c>
      <c r="BP105" s="469">
        <f t="shared" si="180"/>
        <v>302.94023300251575</v>
      </c>
      <c r="BQ105" s="538">
        <f t="shared" si="164"/>
        <v>0.378</v>
      </c>
      <c r="BR105" s="538"/>
      <c r="BT105" s="469">
        <f t="shared" si="181"/>
        <v>378</v>
      </c>
      <c r="BU105" s="538">
        <f t="shared" si="165"/>
        <v>4.4988798701819419E-2</v>
      </c>
      <c r="BV105" s="538">
        <f t="shared" si="166"/>
        <v>0.1637967472316435</v>
      </c>
      <c r="BW105" s="538">
        <f t="shared" si="167"/>
        <v>0</v>
      </c>
      <c r="BX105" s="538">
        <f t="shared" si="199"/>
        <v>0.21233209573565209</v>
      </c>
      <c r="BY105" s="538">
        <f t="shared" si="169"/>
        <v>8.5037037037037022E-2</v>
      </c>
      <c r="BZ105" s="469">
        <f t="shared" si="182"/>
        <v>297.36913277268911</v>
      </c>
      <c r="CA105" s="177">
        <f t="shared" si="183"/>
        <v>0.97830936577520489</v>
      </c>
      <c r="CB105" s="5">
        <f t="shared" si="184"/>
        <v>6.51</v>
      </c>
      <c r="CC105" s="177">
        <f t="shared" si="185"/>
        <v>0.86935510834441487</v>
      </c>
      <c r="CD105" s="5">
        <f t="shared" si="186"/>
        <v>86.935510834441487</v>
      </c>
      <c r="CG105" s="571">
        <f t="shared" si="170"/>
        <v>-50</v>
      </c>
      <c r="CH105">
        <f t="shared" si="171"/>
        <v>-50</v>
      </c>
    </row>
    <row r="106" spans="5:86" x14ac:dyDescent="0.2">
      <c r="E106" s="174"/>
      <c r="F106" s="221"/>
      <c r="G106" s="221"/>
      <c r="H106" s="221"/>
      <c r="I106" s="551"/>
      <c r="J106" s="451"/>
      <c r="K106" s="451"/>
      <c r="L106" s="451"/>
      <c r="M106" s="221"/>
      <c r="N106" s="176"/>
      <c r="O106" s="176"/>
      <c r="P106" s="221"/>
      <c r="Q106" s="221"/>
      <c r="R106" s="221"/>
      <c r="S106" s="176"/>
      <c r="T106" s="176"/>
      <c r="U106" s="221"/>
      <c r="V106" s="221"/>
      <c r="W106" s="221"/>
      <c r="X106" s="201"/>
      <c r="Y106" s="451"/>
      <c r="AA106" s="221"/>
      <c r="AB106" s="177"/>
      <c r="AC106" s="177"/>
      <c r="AD106" s="177"/>
      <c r="AE106" s="177"/>
      <c r="AF106" s="555"/>
      <c r="AI106" s="177"/>
      <c r="AJ106" s="177"/>
      <c r="AK106" s="177"/>
      <c r="AM106" s="555"/>
      <c r="AN106" s="469"/>
      <c r="AQ106" s="3"/>
      <c r="AS106" s="5"/>
      <c r="AT106" s="5"/>
      <c r="AU106" s="5"/>
      <c r="AV106" s="5"/>
      <c r="AW106" s="177"/>
      <c r="AX106" s="177"/>
      <c r="AY106" s="177"/>
      <c r="AZ106" s="177"/>
      <c r="BA106" s="469"/>
      <c r="BB106" s="469"/>
      <c r="BC106" s="5"/>
      <c r="BD106" s="469"/>
      <c r="BE106" s="5"/>
      <c r="BF106" s="177"/>
      <c r="BG106" s="177"/>
      <c r="BH106" s="177"/>
      <c r="BI106" s="538"/>
      <c r="BJ106" s="538"/>
      <c r="BK106" s="538"/>
      <c r="BL106" s="538"/>
      <c r="BO106" s="538"/>
      <c r="BP106" s="469"/>
      <c r="BQ106" s="538"/>
      <c r="BR106" s="538"/>
      <c r="BT106" s="469"/>
      <c r="BU106" s="538"/>
      <c r="BV106" s="538"/>
      <c r="BW106" s="538"/>
      <c r="BX106" s="538"/>
      <c r="BY106" s="538"/>
      <c r="BZ106" s="469"/>
      <c r="CA106" s="177"/>
      <c r="CB106" s="5"/>
      <c r="CC106" s="177"/>
      <c r="CD106" s="5"/>
      <c r="CG106" s="571"/>
    </row>
    <row r="107" spans="5:86" x14ac:dyDescent="0.2">
      <c r="H107" s="221"/>
      <c r="I107" s="551"/>
      <c r="J107" s="451"/>
      <c r="K107" s="451"/>
      <c r="L107" s="451"/>
      <c r="M107" s="221"/>
      <c r="N107" s="176"/>
      <c r="O107" s="176"/>
      <c r="P107" s="221"/>
      <c r="Q107" s="221"/>
      <c r="R107" s="221"/>
      <c r="S107" s="176"/>
      <c r="T107" s="176"/>
      <c r="U107" s="221"/>
      <c r="V107" s="221"/>
      <c r="W107" s="221"/>
      <c r="X107" s="201"/>
      <c r="Y107" s="451"/>
      <c r="AA107" s="221"/>
      <c r="AB107" s="177"/>
      <c r="AC107" s="177"/>
      <c r="AD107" s="177"/>
      <c r="AE107" s="177"/>
      <c r="AF107" s="555"/>
      <c r="AI107" s="177"/>
      <c r="AJ107" s="177"/>
      <c r="AK107" s="177"/>
      <c r="AM107" s="555"/>
      <c r="AN107" s="469"/>
      <c r="AS107" s="5"/>
      <c r="AT107" s="5"/>
      <c r="AU107" s="5"/>
      <c r="AV107" s="5"/>
      <c r="AW107" s="177"/>
      <c r="AX107" s="177"/>
      <c r="AY107" s="177"/>
      <c r="AZ107" s="177"/>
      <c r="BA107" s="469"/>
      <c r="BB107" s="469"/>
      <c r="BC107" s="5"/>
      <c r="BD107" s="469"/>
      <c r="BF107" s="177"/>
      <c r="BG107" s="177"/>
      <c r="BI107" s="538"/>
      <c r="BJ107" s="538"/>
      <c r="BK107" s="538"/>
      <c r="BL107" s="538"/>
      <c r="BO107" s="538"/>
      <c r="BP107" s="469"/>
      <c r="BQ107" s="538"/>
      <c r="BT107" s="469"/>
      <c r="BU107" s="538"/>
      <c r="BV107" s="538"/>
      <c r="BW107" s="538"/>
      <c r="BX107" s="538"/>
      <c r="BY107" s="538"/>
      <c r="BZ107" s="469"/>
      <c r="CA107" s="177"/>
      <c r="CB107" s="5"/>
      <c r="CC107" s="177"/>
      <c r="CD107" s="5"/>
      <c r="CG107" s="571"/>
    </row>
    <row r="108" spans="5:86" x14ac:dyDescent="0.2">
      <c r="E108" s="453" t="s">
        <v>441</v>
      </c>
      <c r="H108" s="221"/>
      <c r="I108" s="551"/>
      <c r="J108" s="451"/>
      <c r="K108" s="451"/>
      <c r="L108" s="451"/>
      <c r="M108" s="221"/>
      <c r="N108" s="176">
        <f>Efficiency</f>
        <v>0.9</v>
      </c>
      <c r="O108" s="176"/>
      <c r="P108" s="221"/>
      <c r="Q108" s="221"/>
      <c r="R108" s="221"/>
      <c r="S108" s="176"/>
      <c r="T108" s="176"/>
      <c r="U108" s="221"/>
      <c r="V108" s="221"/>
      <c r="W108" s="221"/>
      <c r="X108" s="201"/>
      <c r="Y108" s="451"/>
      <c r="AA108" s="221"/>
      <c r="AB108" s="177"/>
      <c r="AC108" s="177"/>
      <c r="AD108" s="177"/>
      <c r="AE108" s="177"/>
      <c r="AF108" s="555"/>
      <c r="AI108" s="177"/>
      <c r="AJ108" s="177"/>
      <c r="AK108" s="177"/>
      <c r="AM108" s="555"/>
      <c r="AN108" s="469"/>
      <c r="AS108" s="5"/>
      <c r="AT108" s="5"/>
      <c r="AU108" s="5"/>
      <c r="AV108" s="5"/>
      <c r="AW108" s="177"/>
      <c r="AX108" s="177"/>
      <c r="AY108" s="177"/>
      <c r="AZ108" s="177"/>
      <c r="BA108" s="469"/>
      <c r="BB108" s="469"/>
      <c r="BC108" s="5"/>
      <c r="BD108" s="469"/>
      <c r="BF108" s="177"/>
      <c r="BG108" s="177"/>
      <c r="BI108" s="538"/>
      <c r="BJ108" s="538"/>
      <c r="BK108" s="538"/>
      <c r="BL108" s="538"/>
      <c r="BO108" s="538"/>
      <c r="BP108" s="469"/>
      <c r="BQ108" s="538"/>
      <c r="BT108" s="469"/>
      <c r="BU108" s="538"/>
      <c r="BV108" s="538"/>
      <c r="BW108" s="538"/>
      <c r="BX108" s="538"/>
      <c r="BY108" s="538"/>
      <c r="BZ108" s="469"/>
      <c r="CA108" s="177"/>
      <c r="CB108" s="5"/>
      <c r="CC108" s="177"/>
      <c r="CD108" s="5"/>
      <c r="CG108" s="571">
        <f>Ioutmax_Vinmin</f>
        <v>0.69676047752095494</v>
      </c>
    </row>
    <row r="109" spans="5:86" ht="45" customHeight="1" thickBot="1" x14ac:dyDescent="0.25">
      <c r="E109" s="245" t="s">
        <v>25</v>
      </c>
      <c r="F109" s="452" t="s">
        <v>194</v>
      </c>
      <c r="G109" s="264"/>
      <c r="H109" s="537" t="s">
        <v>223</v>
      </c>
      <c r="I109" s="246" t="s">
        <v>419</v>
      </c>
      <c r="J109" s="247" t="s">
        <v>425</v>
      </c>
      <c r="K109" s="537" t="s">
        <v>420</v>
      </c>
      <c r="L109" s="537"/>
      <c r="M109" s="248" t="s">
        <v>48</v>
      </c>
      <c r="N109" s="537" t="s">
        <v>409</v>
      </c>
      <c r="O109" s="537" t="s">
        <v>671</v>
      </c>
      <c r="P109" s="537" t="s">
        <v>410</v>
      </c>
      <c r="Q109" s="537" t="s">
        <v>440</v>
      </c>
      <c r="R109" s="537" t="s">
        <v>669</v>
      </c>
      <c r="S109" s="537" t="s">
        <v>672</v>
      </c>
      <c r="T109" s="537" t="s">
        <v>670</v>
      </c>
      <c r="U109" s="537" t="s">
        <v>421</v>
      </c>
      <c r="V109" s="537" t="s">
        <v>473</v>
      </c>
      <c r="W109" s="537" t="s">
        <v>472</v>
      </c>
      <c r="X109" s="556" t="s">
        <v>427</v>
      </c>
      <c r="Y109" s="552" t="s">
        <v>432</v>
      </c>
      <c r="AA109" s="249" t="s">
        <v>424</v>
      </c>
      <c r="AB109" s="249" t="s">
        <v>471</v>
      </c>
      <c r="AC109" s="249" t="s">
        <v>430</v>
      </c>
      <c r="AD109" s="554"/>
      <c r="AE109" s="249" t="s">
        <v>470</v>
      </c>
      <c r="AF109" s="249" t="s">
        <v>433</v>
      </c>
      <c r="AG109" s="249" t="s">
        <v>434</v>
      </c>
      <c r="AH109" s="554"/>
      <c r="AI109" s="249" t="s">
        <v>436</v>
      </c>
      <c r="AJ109" s="557" t="s">
        <v>437</v>
      </c>
      <c r="AK109" s="557" t="s">
        <v>438</v>
      </c>
      <c r="AM109" s="553" t="s">
        <v>274</v>
      </c>
      <c r="AN109" s="553" t="s">
        <v>439</v>
      </c>
      <c r="AP109" s="249" t="s">
        <v>274</v>
      </c>
      <c r="AQ109" s="249" t="s">
        <v>439</v>
      </c>
      <c r="AR109" s="558"/>
      <c r="AS109" s="249" t="s">
        <v>474</v>
      </c>
      <c r="AT109" s="249" t="s">
        <v>468</v>
      </c>
      <c r="AU109" s="249" t="s">
        <v>469</v>
      </c>
      <c r="AV109" s="249" t="s">
        <v>668</v>
      </c>
      <c r="AW109" s="249" t="s">
        <v>48</v>
      </c>
      <c r="AX109" s="558" t="s">
        <v>666</v>
      </c>
      <c r="AY109" s="554" t="s">
        <v>665</v>
      </c>
      <c r="AZ109" s="554" t="s">
        <v>667</v>
      </c>
      <c r="BA109" s="249" t="s">
        <v>489</v>
      </c>
      <c r="BB109" s="249" t="s">
        <v>794</v>
      </c>
      <c r="BC109" s="249" t="s">
        <v>525</v>
      </c>
      <c r="BD109" s="249" t="s">
        <v>795</v>
      </c>
      <c r="BE109" s="554"/>
      <c r="BF109" s="567" t="s">
        <v>463</v>
      </c>
      <c r="BG109" s="249" t="s">
        <v>464</v>
      </c>
      <c r="BH109" s="554"/>
      <c r="BI109" s="567" t="s">
        <v>481</v>
      </c>
      <c r="BJ109" s="249" t="s">
        <v>482</v>
      </c>
      <c r="BK109" s="249" t="s">
        <v>480</v>
      </c>
      <c r="BL109" s="249" t="s">
        <v>476</v>
      </c>
      <c r="BM109" s="249" t="s">
        <v>485</v>
      </c>
      <c r="BN109" s="249" t="s">
        <v>793</v>
      </c>
      <c r="BO109" s="249" t="s">
        <v>686</v>
      </c>
      <c r="BP109" s="249" t="s">
        <v>500</v>
      </c>
      <c r="BQ109" s="567" t="s">
        <v>483</v>
      </c>
      <c r="BR109" s="249" t="s">
        <v>484</v>
      </c>
      <c r="BS109" s="249" t="s">
        <v>492</v>
      </c>
      <c r="BT109" s="249" t="s">
        <v>496</v>
      </c>
      <c r="BU109" s="567" t="s">
        <v>465</v>
      </c>
      <c r="BV109" s="249" t="s">
        <v>466</v>
      </c>
      <c r="BW109" s="249" t="s">
        <v>475</v>
      </c>
      <c r="BX109" s="249"/>
      <c r="BY109" s="249" t="s">
        <v>493</v>
      </c>
      <c r="BZ109" s="249" t="s">
        <v>495</v>
      </c>
      <c r="CA109" s="567" t="s">
        <v>491</v>
      </c>
      <c r="CB109" s="249" t="s">
        <v>223</v>
      </c>
      <c r="CC109" s="249" t="s">
        <v>47</v>
      </c>
      <c r="CD109" s="249" t="s">
        <v>494</v>
      </c>
      <c r="CE109" s="249"/>
      <c r="CG109" s="571"/>
    </row>
    <row r="110" spans="5:86" x14ac:dyDescent="0.2">
      <c r="E110" s="174">
        <v>0.1</v>
      </c>
      <c r="F110" s="221">
        <v>1.0000000000000001E-9</v>
      </c>
      <c r="G110" s="221"/>
      <c r="H110" s="221">
        <f t="shared" ref="H110:H141" si="201">F110*Vout</f>
        <v>1.55E-8</v>
      </c>
      <c r="I110" s="551">
        <f t="shared" ref="I110:I141" si="202">VIN_min</f>
        <v>9</v>
      </c>
      <c r="J110" s="451">
        <f t="shared" ref="J110:J141" si="203">(T110+Vfwd1)*Nps</f>
        <v>16.399999999999999</v>
      </c>
      <c r="K110" s="451">
        <f t="shared" ref="K110:K141" si="204">(Vout+Vfwd1)*Nps+I110</f>
        <v>25.4</v>
      </c>
      <c r="L110" s="451"/>
      <c r="M110" s="221">
        <f t="shared" ref="M110:M141" si="205">(Vout+Vfwd1)*Nps/((Vout+Vfwd1)*Nps+I110)</f>
        <v>0.64566929133858264</v>
      </c>
      <c r="N110" s="176">
        <f t="shared" ref="N110:N141" si="206">M110*I110*(Isw_max+VIN_min/Lmag*ILIM_delay)*0.5*Efficiency</f>
        <v>10.799787401574802</v>
      </c>
      <c r="O110" s="176">
        <f t="shared" si="173"/>
        <v>1.55E-8</v>
      </c>
      <c r="P110" s="221">
        <f t="shared" ref="P110:P141" si="207">N110/Vout</f>
        <v>0.69676047752095494</v>
      </c>
      <c r="Q110" s="221">
        <f t="shared" ref="Q110:Q141" si="208">MIN(Vout,N110/F110)</f>
        <v>15.5</v>
      </c>
      <c r="R110" s="221"/>
      <c r="S110" s="176">
        <f t="shared" ref="S110:S141" si="209">(SQRT(Isw_max^2*Nps^2*I110^2+4*Isw_max*F110/Efficiency*(Nps^2*Vfwd1*I110-Nps*I110^2)+4*(F110/Efficiency)^2*Nps^2*Vfwd1^2+8*(F110/Efficiency)^2*Nps*Vfwd1*I110+4*(F110/Efficiency)^2*I110^2)-2*F110/Efficiency*I110-2*F110/Efficiency*Nps*Vfwd1+Isw_max*Nps*I110)/(4*F110/Efficiency*Nps)</f>
        <v>16604999991</v>
      </c>
      <c r="T110" s="176">
        <f t="shared" ref="T110:T141" si="210">MIN(Vout, S110)</f>
        <v>15.5</v>
      </c>
      <c r="U110" s="221">
        <f t="shared" ref="U110:U141" si="211">MIN(2*Vout*F110/(Efficiency*I110*M110), Isw_max)</f>
        <v>5.927431496537188E-9</v>
      </c>
      <c r="V110" s="221">
        <f t="shared" ref="V110:V141" si="212">L*U110/I110*1000000</f>
        <v>5.927431496537188E-9</v>
      </c>
      <c r="W110" s="221">
        <f t="shared" ref="W110:W141" si="213">L*U110/J110*1000000</f>
        <v>3.2528587480996765E-9</v>
      </c>
      <c r="X110" s="201">
        <f t="shared" ref="X110:X141" si="214">IF(1/((350000*L)*(1/I110+1/J110))&gt;Isw_min, 350, 0.001/((Isw_min*L)*(1/I110+1/J110)))</f>
        <v>350</v>
      </c>
      <c r="Y110" s="451">
        <f t="shared" ref="Y110:Y169" si="215">MIN(1/(V110+W110)*1000, 350)</f>
        <v>350</v>
      </c>
      <c r="AA110" s="221">
        <f t="shared" ref="AA110:AA141" si="216">1/((X110*1000*L)*(1/I110+1/J110))</f>
        <v>1.8447694038245221</v>
      </c>
      <c r="AB110" s="177">
        <f t="shared" ref="AB110:AB141" si="217">L*AA110/J110*1000000</f>
        <v>1.0123734533183355</v>
      </c>
      <c r="AC110" s="177">
        <f t="shared" ref="AC110:AC141" si="218">0.5*AB110*AA110*Nps*X110/1000</f>
        <v>0.32682922508702178</v>
      </c>
      <c r="AD110" s="177"/>
      <c r="AE110" s="177">
        <f t="shared" ref="AE110:AE141" si="219">L*Isw_min/J110*1000000</f>
        <v>0.45</v>
      </c>
      <c r="AF110" s="555">
        <f t="shared" ref="AF110:AF141" si="220">MAX(12000,F110/(0.5*AE110/1000000*Isw_min*Nps))/1000</f>
        <v>12</v>
      </c>
      <c r="AG110" s="538">
        <f t="shared" ref="AG110:AG141" si="221">0.5*AE110/1000000*Isw_min*Nps*X110*1000</f>
        <v>6.4574999999999994E-2</v>
      </c>
      <c r="AI110" s="177">
        <f t="shared" ref="AI110:AI141" si="222">SQRT(F110/(0.5*L/J110*Fsw_DCM*Nps))</f>
        <v>1.0204263036936284E-4</v>
      </c>
      <c r="AJ110" s="177">
        <f t="shared" ref="AJ110:AJ141" si="223">MAX(IF(F110&gt;AC110,U110,AI110),Isw_min)</f>
        <v>0.82</v>
      </c>
      <c r="AK110" s="177">
        <f t="shared" ref="AK110:AK141" si="224">IF(F110&gt;AG110, (AJ110-Isw_min)/1.2*0.8+1.2, AF110*0.2/350+1)</f>
        <v>1.0068571428571429</v>
      </c>
      <c r="AM110" s="555">
        <f t="shared" ref="AM110:AM141" si="225">F110*1000</f>
        <v>1.0000000000000002E-6</v>
      </c>
      <c r="AN110" s="469">
        <f t="shared" ref="AN110:AN141" si="226">IF(F110&gt;AG110, Y110, AF110)</f>
        <v>12</v>
      </c>
      <c r="AP110" s="469">
        <f t="shared" ref="AP110:AP141" si="227">IF(H110&gt;N110, "",AM110)</f>
        <v>1.0000000000000002E-6</v>
      </c>
      <c r="AQ110" s="469">
        <f t="shared" ref="AQ110:AQ141" si="228">IF(H110&gt;N110, "",AN110)</f>
        <v>12</v>
      </c>
      <c r="AS110" s="5">
        <f t="shared" si="175"/>
        <v>83.333333333333329</v>
      </c>
      <c r="AT110" s="5">
        <f t="shared" ref="AT110:AT141" si="229">L*AJ110/I110*1000000</f>
        <v>0.82</v>
      </c>
      <c r="AU110" s="5">
        <f t="shared" ref="AU110:AU169" si="230">AS110-AT110</f>
        <v>82.513333333333335</v>
      </c>
      <c r="AV110" s="5"/>
      <c r="AW110" s="177">
        <f t="shared" ref="AW110:AW169" si="231">AT110/AS110</f>
        <v>9.8399999999999998E-3</v>
      </c>
      <c r="AX110" s="177">
        <f t="shared" si="150"/>
        <v>3.6309599999999997E-2</v>
      </c>
      <c r="AY110" s="177">
        <f t="shared" si="151"/>
        <v>0.40596559999999998</v>
      </c>
      <c r="AZ110" s="177">
        <f t="shared" si="178"/>
        <v>8.9440090490425783E-2</v>
      </c>
      <c r="BA110" s="469">
        <f t="shared" ref="BA110:BA141" si="232">L*Isw_max^2/(2*Vout_ripple*Vout)*1000000000*((1+M110)/2)^2</f>
        <v>21.317779700075526</v>
      </c>
      <c r="BB110" s="469">
        <f t="shared" ref="BB110:BB141" si="233">L*F110^2/(2*Cout*Vout*Nps^2)*1000000000*((1+M110)/(1-M110))^2+F110*RCoutEsr</f>
        <v>2.0000002846594982E-9</v>
      </c>
      <c r="BC110" s="5">
        <f t="shared" ref="BC110:BC116" si="234">H110/Efficiency/I110*AU110/Vinripple1</f>
        <v>2.6315980795610424E-7</v>
      </c>
      <c r="BD110" s="469">
        <f t="shared" ref="BD110:BD141" si="235">((CB110/I110/Efficiency)*AU110/Cin+(CB110/I110/Efficiency)*RCinEsr)*1000</f>
        <v>1.5795329218106996E-5</v>
      </c>
      <c r="BF110" s="177">
        <f t="shared" si="179"/>
        <v>4.6962453087546437E-2</v>
      </c>
      <c r="BG110" s="177">
        <f t="shared" si="156"/>
        <v>0.47109220045903261</v>
      </c>
      <c r="BI110" s="538">
        <f t="shared" ref="BI110:BI169" si="236">Rdson*BF110^2</f>
        <v>2.4260191999999999E-4</v>
      </c>
      <c r="BJ110" s="538">
        <f t="shared" ref="BJ110:BJ169" si="237">0.5*K110*AJ110*AN110*1000*Trise</f>
        <v>1.2496799999999998E-3</v>
      </c>
      <c r="BK110" s="538">
        <f t="shared" ref="BK110:BK169" si="238">Qg*Vdd*AN110*1000</f>
        <v>5.9999999999999995E-4</v>
      </c>
      <c r="BL110" s="538">
        <f t="shared" ref="BL110:BL169" si="239">0.5*(Coss+Csw)*K110^2*AN110*1000</f>
        <v>1.7419319999999999E-3</v>
      </c>
      <c r="BM110">
        <f t="shared" ref="BM110:BM169" si="240">I110*IQ</f>
        <v>2.6099999999999999E-3</v>
      </c>
      <c r="BN110">
        <f t="shared" ref="BN110:BN141" si="241">(I110-Vdd)*Qg*AN110</f>
        <v>4.8000000000000006E-7</v>
      </c>
      <c r="BO110" s="538">
        <f t="shared" ref="BO110:BO141" si="242">(BJ110+BK110+BL110+BM110+BN110+BI110*(1+RdsonTC*(Ta-25)))/(1-BI110*RdsonTC*ThetaJA)</f>
        <v>6.4449823977616996E-3</v>
      </c>
      <c r="BP110" s="469">
        <f t="shared" ref="BP110:BP169" si="243">SUM(BI110:BM110)*1000</f>
        <v>6.4442139199999993</v>
      </c>
      <c r="BQ110" s="538">
        <f t="shared" ref="BQ110:BQ141" si="244">(Vfwd2*F110+BG110^2*Rdiode)*(1+Diode_TC/1000*(Ta-25))</f>
        <v>9.000000000000001E-10</v>
      </c>
      <c r="BT110" s="469">
        <f t="shared" ref="BT110:BT169" si="245">SUM(BQ110:BS110)*1000</f>
        <v>9.0000000000000007E-7</v>
      </c>
      <c r="BU110" s="538">
        <f t="shared" ref="BU110:BU169" si="246">Rdcr_pri*BF110^2</f>
        <v>1.0586265600000001E-4</v>
      </c>
      <c r="BV110" s="538">
        <f t="shared" ref="BV110:BV169" si="247">Rdcr_sec*BG110^2</f>
        <v>5.3262686720000008E-2</v>
      </c>
      <c r="BW110" s="538">
        <f t="shared" ref="BW110:BW169" si="248">AJ110^2.5*AN110^2.5*k_core</f>
        <v>0</v>
      </c>
      <c r="BX110" s="538"/>
      <c r="BY110" s="538">
        <f t="shared" ref="BY110:BY169" si="249">0.5*Lleak*0.000000001*AJ110^2*AN110*1000</f>
        <v>4.0343999999999997E-4</v>
      </c>
      <c r="BZ110" s="469">
        <f t="shared" ref="BZ110:BZ169" si="250">SUM(BU110:BY110)*1000</f>
        <v>53.771989376000008</v>
      </c>
      <c r="CA110" s="177">
        <f t="shared" ref="CA110:CA169" si="251">SUM(BI110:BM110,BQ110:BS110,BU110:BY110)</f>
        <v>6.0216204196000003E-2</v>
      </c>
      <c r="CB110" s="5">
        <f t="shared" ref="CB110:CB169" si="252">MIN(H110,O110)</f>
        <v>1.55E-8</v>
      </c>
      <c r="CC110" s="177">
        <f t="shared" ref="CC110:CC169" si="253">CB110/(CB110+CA110)</f>
        <v>2.5740573018783548E-7</v>
      </c>
      <c r="CD110" s="5">
        <f t="shared" ref="CD110:CD169" si="254">CC110*100</f>
        <v>2.5740573018783547E-5</v>
      </c>
      <c r="CG110" s="571">
        <f t="shared" ref="CG110:CG141" si="255">IF(ABS(F110-Ioutmax_Vinmin)&lt;Iout/200, AN110, -50)</f>
        <v>-50</v>
      </c>
      <c r="CH110">
        <f t="shared" ref="CH110:CH141" si="256">IF(ABS(F110-Ioutmax_Vinmin)&lt;Iout/200, N110*CC110, -50)</f>
        <v>-50</v>
      </c>
    </row>
    <row r="111" spans="5:86" x14ac:dyDescent="0.2">
      <c r="E111" s="174">
        <v>1</v>
      </c>
      <c r="F111" s="221">
        <f t="shared" ref="F111:F142" si="257">IF(PLOT_TYPE=1, E111/100*Iout_max, min_I*EXP(N111*rr/100))</f>
        <v>4.1999999999999997E-3</v>
      </c>
      <c r="G111" s="221"/>
      <c r="H111" s="221">
        <f t="shared" si="201"/>
        <v>6.5099999999999991E-2</v>
      </c>
      <c r="I111" s="551">
        <f t="shared" si="202"/>
        <v>9</v>
      </c>
      <c r="J111" s="451">
        <f t="shared" si="203"/>
        <v>16.399999999999999</v>
      </c>
      <c r="K111" s="451">
        <f t="shared" si="204"/>
        <v>25.4</v>
      </c>
      <c r="L111" s="451"/>
      <c r="M111" s="221">
        <f t="shared" si="205"/>
        <v>0.64566929133858264</v>
      </c>
      <c r="N111" s="176">
        <f t="shared" si="206"/>
        <v>10.799787401574802</v>
      </c>
      <c r="O111" s="176">
        <f t="shared" si="173"/>
        <v>6.5099999999999991E-2</v>
      </c>
      <c r="P111" s="221">
        <f t="shared" si="207"/>
        <v>0.69676047752095494</v>
      </c>
      <c r="Q111" s="221">
        <f t="shared" si="208"/>
        <v>15.5</v>
      </c>
      <c r="R111" s="221"/>
      <c r="S111" s="176">
        <f t="shared" si="209"/>
        <v>3944.5734815569672</v>
      </c>
      <c r="T111" s="176">
        <f t="shared" si="210"/>
        <v>15.5</v>
      </c>
      <c r="U111" s="221">
        <f t="shared" si="211"/>
        <v>2.4895212285456186E-2</v>
      </c>
      <c r="V111" s="221">
        <f t="shared" si="212"/>
        <v>2.489521228545619E-2</v>
      </c>
      <c r="W111" s="221">
        <f t="shared" si="213"/>
        <v>1.366200674201864E-2</v>
      </c>
      <c r="X111" s="201">
        <f t="shared" si="214"/>
        <v>350</v>
      </c>
      <c r="Y111" s="451">
        <f t="shared" si="215"/>
        <v>350</v>
      </c>
      <c r="AA111" s="221">
        <f t="shared" si="216"/>
        <v>1.8447694038245221</v>
      </c>
      <c r="AB111" s="177">
        <f t="shared" si="217"/>
        <v>1.0123734533183355</v>
      </c>
      <c r="AC111" s="177">
        <f t="shared" si="218"/>
        <v>0.32682922508702178</v>
      </c>
      <c r="AD111" s="177"/>
      <c r="AE111" s="177">
        <f t="shared" si="219"/>
        <v>0.45</v>
      </c>
      <c r="AF111" s="555">
        <f t="shared" si="220"/>
        <v>22.764227642276424</v>
      </c>
      <c r="AG111" s="538">
        <f t="shared" si="221"/>
        <v>6.4574999999999994E-2</v>
      </c>
      <c r="AI111" s="177">
        <f t="shared" si="222"/>
        <v>0.20912516188477495</v>
      </c>
      <c r="AJ111" s="177">
        <f t="shared" si="223"/>
        <v>0.82</v>
      </c>
      <c r="AK111" s="177">
        <f t="shared" si="224"/>
        <v>1.0130081300813008</v>
      </c>
      <c r="AM111" s="555">
        <f t="shared" si="225"/>
        <v>4.2</v>
      </c>
      <c r="AN111" s="469">
        <f t="shared" si="226"/>
        <v>22.764227642276424</v>
      </c>
      <c r="AP111" s="469">
        <f t="shared" si="227"/>
        <v>4.2</v>
      </c>
      <c r="AQ111" s="469">
        <f t="shared" si="228"/>
        <v>22.764227642276424</v>
      </c>
      <c r="AS111" s="5">
        <f t="shared" si="175"/>
        <v>43.928571428571431</v>
      </c>
      <c r="AT111" s="5">
        <f t="shared" si="229"/>
        <v>0.82</v>
      </c>
      <c r="AU111" s="5">
        <f t="shared" si="230"/>
        <v>43.10857142857143</v>
      </c>
      <c r="AV111" s="5"/>
      <c r="AW111" s="177">
        <f t="shared" si="231"/>
        <v>1.8666666666666665E-2</v>
      </c>
      <c r="AX111" s="177">
        <f t="shared" si="150"/>
        <v>6.8879999999999997E-2</v>
      </c>
      <c r="AY111" s="177">
        <f t="shared" si="151"/>
        <v>0.40234666666666669</v>
      </c>
      <c r="AZ111" s="177">
        <f t="shared" si="178"/>
        <v>0.17119565217391303</v>
      </c>
      <c r="BA111" s="469">
        <f t="shared" si="232"/>
        <v>21.317779700075526</v>
      </c>
      <c r="BB111" s="469">
        <f t="shared" si="233"/>
        <v>1.3421393548387093E-2</v>
      </c>
      <c r="BC111" s="5">
        <f t="shared" si="234"/>
        <v>0.57744197530864172</v>
      </c>
      <c r="BD111" s="469">
        <f t="shared" si="235"/>
        <v>34.670629629629623</v>
      </c>
      <c r="BF111" s="177">
        <f t="shared" si="179"/>
        <v>6.4682472295222462E-2</v>
      </c>
      <c r="BG111" s="177">
        <f t="shared" si="156"/>
        <v>0.46898775155766181</v>
      </c>
      <c r="BI111" s="538">
        <f t="shared" si="236"/>
        <v>4.6022044444444442E-4</v>
      </c>
      <c r="BJ111" s="538">
        <f t="shared" si="237"/>
        <v>2.3706666666666663E-3</v>
      </c>
      <c r="BK111" s="538">
        <f t="shared" si="238"/>
        <v>1.1382113821138211E-3</v>
      </c>
      <c r="BL111" s="538">
        <f t="shared" si="239"/>
        <v>3.3044780487804879E-3</v>
      </c>
      <c r="BM111">
        <f t="shared" si="240"/>
        <v>2.6099999999999999E-3</v>
      </c>
      <c r="BN111">
        <f t="shared" si="241"/>
        <v>9.1056910569105698E-7</v>
      </c>
      <c r="BO111" s="538">
        <f t="shared" si="242"/>
        <v>9.8853264808255372E-3</v>
      </c>
      <c r="BP111" s="469">
        <f t="shared" si="243"/>
        <v>9.8835765420054198</v>
      </c>
      <c r="BQ111" s="538">
        <f t="shared" si="244"/>
        <v>3.7799999999999999E-3</v>
      </c>
      <c r="BT111" s="469">
        <f t="shared" si="245"/>
        <v>3.78</v>
      </c>
      <c r="BU111" s="538">
        <f t="shared" si="246"/>
        <v>2.0082346666666664E-4</v>
      </c>
      <c r="BV111" s="538">
        <f t="shared" si="247"/>
        <v>5.2787882666666668E-2</v>
      </c>
      <c r="BW111" s="538">
        <f t="shared" si="248"/>
        <v>0</v>
      </c>
      <c r="BX111" s="538"/>
      <c r="BY111" s="538">
        <f t="shared" si="249"/>
        <v>7.6533333333333336E-4</v>
      </c>
      <c r="BZ111" s="469">
        <f t="shared" si="250"/>
        <v>53.754039466666669</v>
      </c>
      <c r="CA111" s="177">
        <f t="shared" si="251"/>
        <v>6.741761600867209E-2</v>
      </c>
      <c r="CB111" s="5">
        <f t="shared" si="252"/>
        <v>6.5099999999999991E-2</v>
      </c>
      <c r="CC111" s="177">
        <f t="shared" si="253"/>
        <v>0.49125544181039138</v>
      </c>
      <c r="CD111" s="5">
        <f t="shared" si="254"/>
        <v>49.125544181039139</v>
      </c>
      <c r="CG111" s="571">
        <f t="shared" si="255"/>
        <v>-50</v>
      </c>
      <c r="CH111">
        <f t="shared" si="256"/>
        <v>-50</v>
      </c>
    </row>
    <row r="112" spans="5:86" x14ac:dyDescent="0.2">
      <c r="E112" s="174">
        <v>2</v>
      </c>
      <c r="F112" s="221">
        <f t="shared" si="257"/>
        <v>8.3999999999999995E-3</v>
      </c>
      <c r="G112" s="221"/>
      <c r="H112" s="221">
        <f t="shared" si="201"/>
        <v>0.13019999999999998</v>
      </c>
      <c r="I112" s="551">
        <f t="shared" si="202"/>
        <v>9</v>
      </c>
      <c r="J112" s="451">
        <f t="shared" si="203"/>
        <v>16.399999999999999</v>
      </c>
      <c r="K112" s="451">
        <f t="shared" si="204"/>
        <v>25.4</v>
      </c>
      <c r="L112" s="451"/>
      <c r="M112" s="221">
        <f t="shared" si="205"/>
        <v>0.64566929133858264</v>
      </c>
      <c r="N112" s="176">
        <f t="shared" si="206"/>
        <v>10.799787401574802</v>
      </c>
      <c r="O112" s="176">
        <f t="shared" si="173"/>
        <v>0.13019999999999998</v>
      </c>
      <c r="P112" s="221">
        <f t="shared" si="207"/>
        <v>0.69676047752095494</v>
      </c>
      <c r="Q112" s="221">
        <f t="shared" si="208"/>
        <v>15.5</v>
      </c>
      <c r="R112" s="221"/>
      <c r="S112" s="176">
        <f t="shared" si="209"/>
        <v>1967.7898286971781</v>
      </c>
      <c r="T112" s="176">
        <f t="shared" si="210"/>
        <v>15.5</v>
      </c>
      <c r="U112" s="221">
        <f t="shared" si="211"/>
        <v>4.9790424570912373E-2</v>
      </c>
      <c r="V112" s="221">
        <f t="shared" si="212"/>
        <v>4.979042457091238E-2</v>
      </c>
      <c r="W112" s="221">
        <f t="shared" si="213"/>
        <v>2.732401348403728E-2</v>
      </c>
      <c r="X112" s="201">
        <f t="shared" si="214"/>
        <v>350</v>
      </c>
      <c r="Y112" s="451">
        <f t="shared" si="215"/>
        <v>350</v>
      </c>
      <c r="AA112" s="221">
        <f t="shared" si="216"/>
        <v>1.8447694038245221</v>
      </c>
      <c r="AB112" s="177">
        <f t="shared" si="217"/>
        <v>1.0123734533183355</v>
      </c>
      <c r="AC112" s="177">
        <f t="shared" si="218"/>
        <v>0.32682922508702178</v>
      </c>
      <c r="AD112" s="177"/>
      <c r="AE112" s="177">
        <f t="shared" si="219"/>
        <v>0.45</v>
      </c>
      <c r="AF112" s="555">
        <f t="shared" si="220"/>
        <v>45.528455284552848</v>
      </c>
      <c r="AG112" s="538">
        <f t="shared" si="221"/>
        <v>6.4574999999999994E-2</v>
      </c>
      <c r="AI112" s="177">
        <f t="shared" si="222"/>
        <v>0.29574764017091776</v>
      </c>
      <c r="AJ112" s="177">
        <f t="shared" si="223"/>
        <v>0.82</v>
      </c>
      <c r="AK112" s="177">
        <f t="shared" si="224"/>
        <v>1.0260162601626017</v>
      </c>
      <c r="AM112" s="555">
        <f t="shared" si="225"/>
        <v>8.4</v>
      </c>
      <c r="AN112" s="469">
        <f t="shared" si="226"/>
        <v>45.528455284552848</v>
      </c>
      <c r="AP112" s="469">
        <f t="shared" si="227"/>
        <v>8.4</v>
      </c>
      <c r="AQ112" s="469">
        <f t="shared" si="228"/>
        <v>45.528455284552848</v>
      </c>
      <c r="AS112" s="5">
        <f t="shared" si="175"/>
        <v>21.964285714285715</v>
      </c>
      <c r="AT112" s="5">
        <f t="shared" si="229"/>
        <v>0.82</v>
      </c>
      <c r="AU112" s="5">
        <f t="shared" si="230"/>
        <v>21.144285714285715</v>
      </c>
      <c r="AV112" s="5"/>
      <c r="AW112" s="177">
        <f t="shared" si="231"/>
        <v>3.7333333333333329E-2</v>
      </c>
      <c r="AX112" s="177">
        <f t="shared" si="150"/>
        <v>0.13775999999999999</v>
      </c>
      <c r="AY112" s="177">
        <f t="shared" si="151"/>
        <v>0.39469333333333328</v>
      </c>
      <c r="AZ112" s="177">
        <f t="shared" si="178"/>
        <v>0.34903047091412748</v>
      </c>
      <c r="BA112" s="469">
        <f t="shared" si="232"/>
        <v>21.317779700075526</v>
      </c>
      <c r="BB112" s="469">
        <f t="shared" si="233"/>
        <v>3.6885574193548376E-2</v>
      </c>
      <c r="BC112" s="5">
        <f t="shared" si="234"/>
        <v>0.56645802469135786</v>
      </c>
      <c r="BD112" s="469">
        <f t="shared" si="235"/>
        <v>34.035703703703696</v>
      </c>
      <c r="BF112" s="177">
        <f t="shared" si="179"/>
        <v>9.1474829567725582E-2</v>
      </c>
      <c r="BG112" s="177">
        <f t="shared" si="156"/>
        <v>0.46450585452595633</v>
      </c>
      <c r="BI112" s="538">
        <f t="shared" si="236"/>
        <v>9.2044088888888862E-4</v>
      </c>
      <c r="BJ112" s="538">
        <f t="shared" si="237"/>
        <v>4.7413333333333326E-3</v>
      </c>
      <c r="BK112" s="538">
        <f t="shared" si="238"/>
        <v>2.2764227642276423E-3</v>
      </c>
      <c r="BL112" s="538">
        <f t="shared" si="239"/>
        <v>6.6089560975609758E-3</v>
      </c>
      <c r="BM112">
        <f t="shared" si="240"/>
        <v>2.6099999999999999E-3</v>
      </c>
      <c r="BN112">
        <f t="shared" si="241"/>
        <v>1.821138211382114E-6</v>
      </c>
      <c r="BO112" s="538">
        <f t="shared" si="242"/>
        <v>1.7161888677222965E-2</v>
      </c>
      <c r="BP112" s="469">
        <f t="shared" si="243"/>
        <v>17.15715308401084</v>
      </c>
      <c r="BQ112" s="538">
        <f t="shared" si="244"/>
        <v>7.5599999999999999E-3</v>
      </c>
      <c r="BT112" s="469">
        <f t="shared" si="245"/>
        <v>7.56</v>
      </c>
      <c r="BU112" s="538">
        <f t="shared" si="246"/>
        <v>4.0164693333333322E-4</v>
      </c>
      <c r="BV112" s="538">
        <f t="shared" si="247"/>
        <v>5.1783765333333336E-2</v>
      </c>
      <c r="BW112" s="538">
        <f t="shared" si="248"/>
        <v>0</v>
      </c>
      <c r="BX112" s="538"/>
      <c r="BY112" s="538">
        <f t="shared" si="249"/>
        <v>1.5306666666666667E-3</v>
      </c>
      <c r="BZ112" s="469">
        <f t="shared" si="250"/>
        <v>53.716078933333335</v>
      </c>
      <c r="CA112" s="177">
        <f t="shared" si="251"/>
        <v>7.8433232017344173E-2</v>
      </c>
      <c r="CB112" s="5">
        <f t="shared" si="252"/>
        <v>0.13019999999999998</v>
      </c>
      <c r="CC112" s="177">
        <f t="shared" si="253"/>
        <v>0.62406165470885366</v>
      </c>
      <c r="CD112" s="5">
        <f t="shared" si="254"/>
        <v>62.406165470885369</v>
      </c>
      <c r="CG112" s="571">
        <f t="shared" si="255"/>
        <v>-50</v>
      </c>
      <c r="CH112">
        <f t="shared" si="256"/>
        <v>-50</v>
      </c>
    </row>
    <row r="113" spans="5:86" x14ac:dyDescent="0.2">
      <c r="E113" s="174">
        <v>3</v>
      </c>
      <c r="F113" s="221">
        <f t="shared" si="257"/>
        <v>1.2599999999999998E-2</v>
      </c>
      <c r="G113" s="221"/>
      <c r="H113" s="221">
        <f t="shared" si="201"/>
        <v>0.19529999999999997</v>
      </c>
      <c r="I113" s="551">
        <f t="shared" si="202"/>
        <v>9</v>
      </c>
      <c r="J113" s="451">
        <f t="shared" si="203"/>
        <v>16.399999999999999</v>
      </c>
      <c r="K113" s="451">
        <f t="shared" si="204"/>
        <v>25.4</v>
      </c>
      <c r="L113" s="451"/>
      <c r="M113" s="221">
        <f t="shared" si="205"/>
        <v>0.64566929133858264</v>
      </c>
      <c r="N113" s="176">
        <f t="shared" si="206"/>
        <v>10.799787401574802</v>
      </c>
      <c r="O113" s="176">
        <f t="shared" si="173"/>
        <v>0.19529999999999997</v>
      </c>
      <c r="P113" s="221">
        <f t="shared" si="207"/>
        <v>0.69676047752095494</v>
      </c>
      <c r="Q113" s="221">
        <f t="shared" si="208"/>
        <v>15.5</v>
      </c>
      <c r="R113" s="221"/>
      <c r="S113" s="176">
        <f t="shared" si="209"/>
        <v>1308.8633271805486</v>
      </c>
      <c r="T113" s="176">
        <f t="shared" si="210"/>
        <v>15.5</v>
      </c>
      <c r="U113" s="221">
        <f t="shared" si="211"/>
        <v>7.4685636856368559E-2</v>
      </c>
      <c r="V113" s="221">
        <f t="shared" si="212"/>
        <v>7.4685636856368559E-2</v>
      </c>
      <c r="W113" s="221">
        <f t="shared" si="213"/>
        <v>4.0986020226055915E-2</v>
      </c>
      <c r="X113" s="201">
        <f t="shared" si="214"/>
        <v>350</v>
      </c>
      <c r="Y113" s="451">
        <f t="shared" si="215"/>
        <v>350</v>
      </c>
      <c r="AA113" s="221">
        <f t="shared" si="216"/>
        <v>1.8447694038245221</v>
      </c>
      <c r="AB113" s="177">
        <f t="shared" si="217"/>
        <v>1.0123734533183355</v>
      </c>
      <c r="AC113" s="177">
        <f t="shared" si="218"/>
        <v>0.32682922508702178</v>
      </c>
      <c r="AD113" s="177"/>
      <c r="AE113" s="177">
        <f t="shared" si="219"/>
        <v>0.45</v>
      </c>
      <c r="AF113" s="555">
        <f t="shared" si="220"/>
        <v>68.292682926829258</v>
      </c>
      <c r="AG113" s="538">
        <f t="shared" si="221"/>
        <v>6.4574999999999994E-2</v>
      </c>
      <c r="AI113" s="177">
        <f t="shared" si="222"/>
        <v>0.36221540552549658</v>
      </c>
      <c r="AJ113" s="177">
        <f t="shared" si="223"/>
        <v>0.82</v>
      </c>
      <c r="AK113" s="177">
        <f t="shared" si="224"/>
        <v>1.0390243902439025</v>
      </c>
      <c r="AM113" s="555">
        <f t="shared" si="225"/>
        <v>12.599999999999998</v>
      </c>
      <c r="AN113" s="469">
        <f t="shared" si="226"/>
        <v>68.292682926829258</v>
      </c>
      <c r="AP113" s="469">
        <f t="shared" si="227"/>
        <v>12.599999999999998</v>
      </c>
      <c r="AQ113" s="469">
        <f t="shared" si="228"/>
        <v>68.292682926829258</v>
      </c>
      <c r="AS113" s="5">
        <f t="shared" si="175"/>
        <v>14.642857142857144</v>
      </c>
      <c r="AT113" s="5">
        <f t="shared" si="229"/>
        <v>0.82</v>
      </c>
      <c r="AU113" s="5">
        <f t="shared" si="230"/>
        <v>13.822857142857144</v>
      </c>
      <c r="AV113" s="5"/>
      <c r="AW113" s="177">
        <f t="shared" si="231"/>
        <v>5.5999999999999994E-2</v>
      </c>
      <c r="AX113" s="177">
        <f t="shared" si="150"/>
        <v>0.20663999999999993</v>
      </c>
      <c r="AY113" s="177">
        <f t="shared" si="151"/>
        <v>0.38703999999999994</v>
      </c>
      <c r="AZ113" s="177">
        <f t="shared" si="178"/>
        <v>0.53389830508474567</v>
      </c>
      <c r="BA113" s="469">
        <f t="shared" si="232"/>
        <v>21.317779700075526</v>
      </c>
      <c r="BB113" s="469">
        <f t="shared" si="233"/>
        <v>7.0392541935483832E-2</v>
      </c>
      <c r="BC113" s="5">
        <f t="shared" si="234"/>
        <v>0.55547407407407401</v>
      </c>
      <c r="BD113" s="469">
        <f t="shared" si="235"/>
        <v>33.400777777777776</v>
      </c>
      <c r="BF113" s="177">
        <f t="shared" si="179"/>
        <v>0.11203332837449159</v>
      </c>
      <c r="BG113" s="177">
        <f t="shared" si="156"/>
        <v>0.45998028943278274</v>
      </c>
      <c r="BI113" s="538">
        <f t="shared" si="236"/>
        <v>1.380661333333333E-3</v>
      </c>
      <c r="BJ113" s="538">
        <f t="shared" si="237"/>
        <v>7.1119999999999968E-3</v>
      </c>
      <c r="BK113" s="538">
        <f t="shared" si="238"/>
        <v>3.4146341463414625E-3</v>
      </c>
      <c r="BL113" s="538">
        <f t="shared" si="239"/>
        <v>9.9134341463414603E-3</v>
      </c>
      <c r="BM113">
        <f t="shared" si="240"/>
        <v>2.6099999999999999E-3</v>
      </c>
      <c r="BN113">
        <f t="shared" si="241"/>
        <v>2.7317073170731703E-6</v>
      </c>
      <c r="BO113" s="538">
        <f t="shared" si="242"/>
        <v>2.44396869040488E-2</v>
      </c>
      <c r="BP113" s="469">
        <f t="shared" si="243"/>
        <v>24.430729626016255</v>
      </c>
      <c r="BQ113" s="538">
        <f t="shared" si="244"/>
        <v>1.1339999999999999E-2</v>
      </c>
      <c r="BT113" s="469">
        <f t="shared" si="245"/>
        <v>11.34</v>
      </c>
      <c r="BU113" s="538">
        <f t="shared" si="246"/>
        <v>6.0247039999999983E-4</v>
      </c>
      <c r="BV113" s="538">
        <f t="shared" si="247"/>
        <v>5.0779647999999983E-2</v>
      </c>
      <c r="BW113" s="538">
        <f t="shared" si="248"/>
        <v>0</v>
      </c>
      <c r="BX113" s="538"/>
      <c r="BY113" s="538">
        <f t="shared" si="249"/>
        <v>2.2959999999999999E-3</v>
      </c>
      <c r="BZ113" s="469">
        <f t="shared" si="250"/>
        <v>53.678118399999981</v>
      </c>
      <c r="CA113" s="177">
        <f t="shared" si="251"/>
        <v>8.9448848026016242E-2</v>
      </c>
      <c r="CB113" s="5">
        <f t="shared" si="252"/>
        <v>0.19529999999999997</v>
      </c>
      <c r="CC113" s="177">
        <f t="shared" si="253"/>
        <v>0.68586756839892926</v>
      </c>
      <c r="CD113" s="5">
        <f t="shared" si="254"/>
        <v>68.586756839892928</v>
      </c>
      <c r="CG113" s="571">
        <f t="shared" si="255"/>
        <v>-50</v>
      </c>
      <c r="CH113">
        <f t="shared" si="256"/>
        <v>-50</v>
      </c>
    </row>
    <row r="114" spans="5:86" x14ac:dyDescent="0.2">
      <c r="E114" s="174">
        <v>4</v>
      </c>
      <c r="F114" s="221">
        <f t="shared" si="257"/>
        <v>1.6799999999999999E-2</v>
      </c>
      <c r="G114" s="221"/>
      <c r="H114" s="221">
        <f t="shared" si="201"/>
        <v>0.26039999999999996</v>
      </c>
      <c r="I114" s="551">
        <f t="shared" si="202"/>
        <v>9</v>
      </c>
      <c r="J114" s="451">
        <f t="shared" si="203"/>
        <v>16.399999999999999</v>
      </c>
      <c r="K114" s="451">
        <f t="shared" si="204"/>
        <v>25.4</v>
      </c>
      <c r="L114" s="451"/>
      <c r="M114" s="221">
        <f t="shared" si="205"/>
        <v>0.64566929133858264</v>
      </c>
      <c r="N114" s="176">
        <f t="shared" si="206"/>
        <v>10.799787401574802</v>
      </c>
      <c r="O114" s="176">
        <f t="shared" si="173"/>
        <v>0.26039999999999996</v>
      </c>
      <c r="P114" s="221">
        <f t="shared" si="207"/>
        <v>0.69676047752095494</v>
      </c>
      <c r="Q114" s="221">
        <f t="shared" si="208"/>
        <v>15.5</v>
      </c>
      <c r="R114" s="221"/>
      <c r="S114" s="176">
        <f t="shared" si="209"/>
        <v>979.40111991011872</v>
      </c>
      <c r="T114" s="176">
        <f t="shared" si="210"/>
        <v>15.5</v>
      </c>
      <c r="U114" s="221">
        <f t="shared" si="211"/>
        <v>9.9580849141824745E-2</v>
      </c>
      <c r="V114" s="221">
        <f t="shared" si="212"/>
        <v>9.9580849141824759E-2</v>
      </c>
      <c r="W114" s="221">
        <f t="shared" si="213"/>
        <v>5.464802696807456E-2</v>
      </c>
      <c r="X114" s="201">
        <f t="shared" si="214"/>
        <v>350</v>
      </c>
      <c r="Y114" s="451">
        <f t="shared" si="215"/>
        <v>350</v>
      </c>
      <c r="AA114" s="221">
        <f t="shared" si="216"/>
        <v>1.8447694038245221</v>
      </c>
      <c r="AB114" s="177">
        <f t="shared" si="217"/>
        <v>1.0123734533183355</v>
      </c>
      <c r="AC114" s="177">
        <f t="shared" si="218"/>
        <v>0.32682922508702178</v>
      </c>
      <c r="AD114" s="177"/>
      <c r="AE114" s="177">
        <f t="shared" si="219"/>
        <v>0.45</v>
      </c>
      <c r="AF114" s="555">
        <f t="shared" si="220"/>
        <v>91.056910569105696</v>
      </c>
      <c r="AG114" s="538">
        <f t="shared" si="221"/>
        <v>6.4574999999999994E-2</v>
      </c>
      <c r="AI114" s="177">
        <f t="shared" si="222"/>
        <v>0.4182503237695499</v>
      </c>
      <c r="AJ114" s="177">
        <f t="shared" si="223"/>
        <v>0.82</v>
      </c>
      <c r="AK114" s="177">
        <f t="shared" si="224"/>
        <v>1.0520325203252032</v>
      </c>
      <c r="AM114" s="555">
        <f t="shared" si="225"/>
        <v>16.8</v>
      </c>
      <c r="AN114" s="469">
        <f t="shared" si="226"/>
        <v>91.056910569105696</v>
      </c>
      <c r="AP114" s="469">
        <f t="shared" si="227"/>
        <v>16.8</v>
      </c>
      <c r="AQ114" s="469">
        <f t="shared" si="228"/>
        <v>91.056910569105696</v>
      </c>
      <c r="AS114" s="5">
        <f t="shared" si="175"/>
        <v>10.982142857142858</v>
      </c>
      <c r="AT114" s="5">
        <f t="shared" si="229"/>
        <v>0.82</v>
      </c>
      <c r="AU114" s="5">
        <f t="shared" si="230"/>
        <v>10.162142857142857</v>
      </c>
      <c r="AV114" s="5"/>
      <c r="AW114" s="177">
        <f t="shared" si="231"/>
        <v>7.4666666666666659E-2</v>
      </c>
      <c r="AX114" s="177">
        <f t="shared" si="150"/>
        <v>0.27551999999999999</v>
      </c>
      <c r="AY114" s="177">
        <f t="shared" si="151"/>
        <v>0.37938666666666665</v>
      </c>
      <c r="AZ114" s="177">
        <f t="shared" si="178"/>
        <v>0.72622478386167144</v>
      </c>
      <c r="BA114" s="469">
        <f t="shared" si="232"/>
        <v>21.317779700075526</v>
      </c>
      <c r="BB114" s="469">
        <f t="shared" si="233"/>
        <v>0.11394229677419351</v>
      </c>
      <c r="BC114" s="5">
        <f t="shared" si="234"/>
        <v>0.54449012345678993</v>
      </c>
      <c r="BD114" s="469">
        <f t="shared" si="235"/>
        <v>32.765851851851849</v>
      </c>
      <c r="BF114" s="177">
        <f t="shared" si="179"/>
        <v>0.12936494459044492</v>
      </c>
      <c r="BG114" s="177">
        <f t="shared" si="156"/>
        <v>0.45540975444586651</v>
      </c>
      <c r="BI114" s="538">
        <f t="shared" si="236"/>
        <v>1.8408817777777777E-3</v>
      </c>
      <c r="BJ114" s="538">
        <f t="shared" si="237"/>
        <v>9.4826666666666653E-3</v>
      </c>
      <c r="BK114" s="538">
        <f t="shared" si="238"/>
        <v>4.5528455284552845E-3</v>
      </c>
      <c r="BL114" s="538">
        <f t="shared" si="239"/>
        <v>1.3217912195121952E-2</v>
      </c>
      <c r="BM114">
        <f t="shared" si="240"/>
        <v>2.6099999999999999E-3</v>
      </c>
      <c r="BN114">
        <f t="shared" si="241"/>
        <v>3.6422764227642279E-6</v>
      </c>
      <c r="BO114" s="538">
        <f t="shared" si="242"/>
        <v>3.1718721476266566E-2</v>
      </c>
      <c r="BP114" s="469">
        <f t="shared" si="243"/>
        <v>31.704306168021681</v>
      </c>
      <c r="BQ114" s="538">
        <f t="shared" si="244"/>
        <v>1.512E-2</v>
      </c>
      <c r="BT114" s="469">
        <f t="shared" si="245"/>
        <v>15.12</v>
      </c>
      <c r="BU114" s="538">
        <f t="shared" si="246"/>
        <v>8.0329386666666655E-4</v>
      </c>
      <c r="BV114" s="538">
        <f t="shared" si="247"/>
        <v>4.9775530666666658E-2</v>
      </c>
      <c r="BW114" s="538">
        <f t="shared" si="248"/>
        <v>0</v>
      </c>
      <c r="BX114" s="538"/>
      <c r="BY114" s="538">
        <f t="shared" si="249"/>
        <v>3.0613333333333334E-3</v>
      </c>
      <c r="BZ114" s="469">
        <f t="shared" si="250"/>
        <v>53.640157866666655</v>
      </c>
      <c r="CA114" s="177">
        <f t="shared" si="251"/>
        <v>0.10046446403468834</v>
      </c>
      <c r="CB114" s="5">
        <f t="shared" si="252"/>
        <v>0.26039999999999996</v>
      </c>
      <c r="CC114" s="177">
        <f t="shared" si="253"/>
        <v>0.72160056185241028</v>
      </c>
      <c r="CD114" s="5">
        <f t="shared" si="254"/>
        <v>72.160056185241032</v>
      </c>
      <c r="CG114" s="571">
        <f t="shared" si="255"/>
        <v>-50</v>
      </c>
      <c r="CH114">
        <f t="shared" si="256"/>
        <v>-50</v>
      </c>
    </row>
    <row r="115" spans="5:86" x14ac:dyDescent="0.2">
      <c r="E115" s="174">
        <v>5</v>
      </c>
      <c r="F115" s="221">
        <f t="shared" si="257"/>
        <v>2.1000000000000001E-2</v>
      </c>
      <c r="G115" s="221"/>
      <c r="H115" s="221">
        <f t="shared" si="201"/>
        <v>0.32550000000000001</v>
      </c>
      <c r="I115" s="551">
        <f t="shared" si="202"/>
        <v>9</v>
      </c>
      <c r="J115" s="451">
        <f t="shared" si="203"/>
        <v>16.399999999999999</v>
      </c>
      <c r="K115" s="451">
        <f t="shared" si="204"/>
        <v>25.4</v>
      </c>
      <c r="L115" s="451"/>
      <c r="M115" s="221">
        <f t="shared" si="205"/>
        <v>0.64566929133858264</v>
      </c>
      <c r="N115" s="176">
        <f t="shared" si="206"/>
        <v>10.799787401574802</v>
      </c>
      <c r="O115" s="176">
        <f t="shared" si="173"/>
        <v>0.32550000000000001</v>
      </c>
      <c r="P115" s="221">
        <f t="shared" si="207"/>
        <v>0.69676047752095494</v>
      </c>
      <c r="Q115" s="221">
        <f t="shared" si="208"/>
        <v>15.5</v>
      </c>
      <c r="R115" s="221"/>
      <c r="S115" s="176">
        <f t="shared" si="209"/>
        <v>781.7246355034855</v>
      </c>
      <c r="T115" s="176">
        <f t="shared" si="210"/>
        <v>15.5</v>
      </c>
      <c r="U115" s="221">
        <f t="shared" si="211"/>
        <v>0.12447606142728096</v>
      </c>
      <c r="V115" s="221">
        <f t="shared" si="212"/>
        <v>0.12447606142728095</v>
      </c>
      <c r="W115" s="221">
        <f t="shared" si="213"/>
        <v>6.8310033710093213E-2</v>
      </c>
      <c r="X115" s="201">
        <f t="shared" si="214"/>
        <v>350</v>
      </c>
      <c r="Y115" s="451">
        <f t="shared" si="215"/>
        <v>350</v>
      </c>
      <c r="AA115" s="221">
        <f t="shared" si="216"/>
        <v>1.8447694038245221</v>
      </c>
      <c r="AB115" s="177">
        <f t="shared" si="217"/>
        <v>1.0123734533183355</v>
      </c>
      <c r="AC115" s="177">
        <f t="shared" si="218"/>
        <v>0.32682922508702178</v>
      </c>
      <c r="AD115" s="177"/>
      <c r="AE115" s="177">
        <f t="shared" si="219"/>
        <v>0.45</v>
      </c>
      <c r="AF115" s="555">
        <f t="shared" si="220"/>
        <v>113.82113821138213</v>
      </c>
      <c r="AG115" s="538">
        <f t="shared" si="221"/>
        <v>6.4574999999999994E-2</v>
      </c>
      <c r="AI115" s="177">
        <f t="shared" si="222"/>
        <v>0.4676180777800048</v>
      </c>
      <c r="AJ115" s="177">
        <f t="shared" si="223"/>
        <v>0.82</v>
      </c>
      <c r="AK115" s="177">
        <f t="shared" si="224"/>
        <v>1.065040650406504</v>
      </c>
      <c r="AM115" s="555">
        <f t="shared" si="225"/>
        <v>21</v>
      </c>
      <c r="AN115" s="469">
        <f t="shared" si="226"/>
        <v>113.82113821138213</v>
      </c>
      <c r="AP115" s="469">
        <f t="shared" si="227"/>
        <v>21</v>
      </c>
      <c r="AQ115" s="469">
        <f t="shared" si="228"/>
        <v>113.82113821138213</v>
      </c>
      <c r="AS115" s="5">
        <f t="shared" si="175"/>
        <v>8.7857142857142847</v>
      </c>
      <c r="AT115" s="5">
        <f t="shared" si="229"/>
        <v>0.82</v>
      </c>
      <c r="AU115" s="5">
        <f t="shared" si="230"/>
        <v>7.9657142857142844</v>
      </c>
      <c r="AV115" s="5"/>
      <c r="AW115" s="177">
        <f t="shared" si="231"/>
        <v>9.3333333333333338E-2</v>
      </c>
      <c r="AX115" s="177">
        <f t="shared" si="150"/>
        <v>0.34440000000000004</v>
      </c>
      <c r="AY115" s="177">
        <f t="shared" si="151"/>
        <v>0.3717333333333333</v>
      </c>
      <c r="AZ115" s="177">
        <f t="shared" si="178"/>
        <v>0.92647058823529427</v>
      </c>
      <c r="BA115" s="469">
        <f t="shared" si="232"/>
        <v>21.317779700075526</v>
      </c>
      <c r="BB115" s="469">
        <f t="shared" si="233"/>
        <v>0.16753483870967742</v>
      </c>
      <c r="BC115" s="5">
        <f t="shared" si="234"/>
        <v>0.53350617283950608</v>
      </c>
      <c r="BD115" s="469">
        <f t="shared" si="235"/>
        <v>32.130925925925922</v>
      </c>
      <c r="BF115" s="177">
        <f t="shared" si="179"/>
        <v>0.14463440500486427</v>
      </c>
      <c r="BG115" s="177">
        <f t="shared" si="156"/>
        <v>0.45079288173419751</v>
      </c>
      <c r="BI115" s="538">
        <f t="shared" si="236"/>
        <v>2.3011022222222217E-3</v>
      </c>
      <c r="BJ115" s="538">
        <f t="shared" si="237"/>
        <v>1.1853333333333332E-2</v>
      </c>
      <c r="BK115" s="538">
        <f t="shared" si="238"/>
        <v>5.6910569105691061E-3</v>
      </c>
      <c r="BL115" s="538">
        <f t="shared" si="239"/>
        <v>1.6522390243902441E-2</v>
      </c>
      <c r="BM115">
        <f t="shared" si="240"/>
        <v>2.6099999999999999E-3</v>
      </c>
      <c r="BN115">
        <f t="shared" si="241"/>
        <v>4.5528455284552851E-6</v>
      </c>
      <c r="BO115" s="538">
        <f t="shared" si="242"/>
        <v>3.8998992708946766E-2</v>
      </c>
      <c r="BP115" s="469">
        <f t="shared" si="243"/>
        <v>38.977882710027096</v>
      </c>
      <c r="BQ115" s="538">
        <f t="shared" si="244"/>
        <v>1.89E-2</v>
      </c>
      <c r="BT115" s="469">
        <f t="shared" si="245"/>
        <v>18.899999999999999</v>
      </c>
      <c r="BU115" s="538">
        <f t="shared" si="246"/>
        <v>1.0041173333333331E-3</v>
      </c>
      <c r="BV115" s="538">
        <f t="shared" si="247"/>
        <v>4.8771413333333326E-2</v>
      </c>
      <c r="BW115" s="538">
        <f t="shared" si="248"/>
        <v>0</v>
      </c>
      <c r="BX115" s="538"/>
      <c r="BY115" s="538">
        <f t="shared" si="249"/>
        <v>3.8266666666666675E-3</v>
      </c>
      <c r="BZ115" s="469">
        <f t="shared" si="250"/>
        <v>53.602197333333322</v>
      </c>
      <c r="CA115" s="177">
        <f t="shared" si="251"/>
        <v>0.11148008004336044</v>
      </c>
      <c r="CB115" s="5">
        <f t="shared" si="252"/>
        <v>0.32550000000000001</v>
      </c>
      <c r="CC115" s="177">
        <f t="shared" si="253"/>
        <v>0.7448852130003305</v>
      </c>
      <c r="CD115" s="5">
        <f t="shared" si="254"/>
        <v>74.488521300033057</v>
      </c>
      <c r="CG115" s="571">
        <f t="shared" si="255"/>
        <v>-50</v>
      </c>
      <c r="CH115">
        <f t="shared" si="256"/>
        <v>-50</v>
      </c>
    </row>
    <row r="116" spans="5:86" x14ac:dyDescent="0.2">
      <c r="E116" s="174">
        <v>6</v>
      </c>
      <c r="F116" s="221">
        <f t="shared" si="257"/>
        <v>2.5199999999999997E-2</v>
      </c>
      <c r="G116" s="221"/>
      <c r="H116" s="221">
        <f t="shared" si="201"/>
        <v>0.39059999999999995</v>
      </c>
      <c r="I116" s="551">
        <f t="shared" si="202"/>
        <v>9</v>
      </c>
      <c r="J116" s="451">
        <f t="shared" si="203"/>
        <v>16.399999999999999</v>
      </c>
      <c r="K116" s="451">
        <f t="shared" si="204"/>
        <v>25.4</v>
      </c>
      <c r="L116" s="451"/>
      <c r="M116" s="221">
        <f t="shared" si="205"/>
        <v>0.64566929133858264</v>
      </c>
      <c r="N116" s="176">
        <f t="shared" si="206"/>
        <v>10.799787401574802</v>
      </c>
      <c r="O116" s="176">
        <f t="shared" si="173"/>
        <v>0.39059999999999995</v>
      </c>
      <c r="P116" s="221">
        <f t="shared" si="207"/>
        <v>0.69676047752095494</v>
      </c>
      <c r="Q116" s="221">
        <f t="shared" si="208"/>
        <v>15.5</v>
      </c>
      <c r="R116" s="221"/>
      <c r="S116" s="176">
        <f t="shared" si="209"/>
        <v>649.94101686423107</v>
      </c>
      <c r="T116" s="176">
        <f t="shared" si="210"/>
        <v>15.5</v>
      </c>
      <c r="U116" s="221">
        <f t="shared" si="211"/>
        <v>0.14937127371273712</v>
      </c>
      <c r="V116" s="221">
        <f t="shared" si="212"/>
        <v>0.14937127371273712</v>
      </c>
      <c r="W116" s="221">
        <f t="shared" si="213"/>
        <v>8.197204045211183E-2</v>
      </c>
      <c r="X116" s="201">
        <f t="shared" si="214"/>
        <v>350</v>
      </c>
      <c r="Y116" s="451">
        <f t="shared" si="215"/>
        <v>350</v>
      </c>
      <c r="AA116" s="221">
        <f t="shared" si="216"/>
        <v>1.8447694038245221</v>
      </c>
      <c r="AB116" s="177">
        <f t="shared" si="217"/>
        <v>1.0123734533183355</v>
      </c>
      <c r="AC116" s="177">
        <f t="shared" si="218"/>
        <v>0.32682922508702178</v>
      </c>
      <c r="AD116" s="177"/>
      <c r="AE116" s="177">
        <f t="shared" si="219"/>
        <v>0.45</v>
      </c>
      <c r="AF116" s="555">
        <f t="shared" si="220"/>
        <v>136.58536585365852</v>
      </c>
      <c r="AG116" s="538">
        <f t="shared" si="221"/>
        <v>6.4574999999999994E-2</v>
      </c>
      <c r="AI116" s="177">
        <f t="shared" si="222"/>
        <v>0.51224993899462778</v>
      </c>
      <c r="AJ116" s="177">
        <f t="shared" si="223"/>
        <v>0.82</v>
      </c>
      <c r="AK116" s="177">
        <f t="shared" si="224"/>
        <v>1.0780487804878049</v>
      </c>
      <c r="AM116" s="555">
        <f t="shared" si="225"/>
        <v>25.199999999999996</v>
      </c>
      <c r="AN116" s="469">
        <f t="shared" si="226"/>
        <v>136.58536585365852</v>
      </c>
      <c r="AP116" s="469">
        <f t="shared" si="227"/>
        <v>25.199999999999996</v>
      </c>
      <c r="AQ116" s="469">
        <f t="shared" si="228"/>
        <v>136.58536585365852</v>
      </c>
      <c r="AS116" s="5">
        <f t="shared" si="175"/>
        <v>7.3214285714285721</v>
      </c>
      <c r="AT116" s="5">
        <f t="shared" si="229"/>
        <v>0.82</v>
      </c>
      <c r="AU116" s="5">
        <f t="shared" si="230"/>
        <v>6.5014285714285718</v>
      </c>
      <c r="AV116" s="5"/>
      <c r="AW116" s="177">
        <f t="shared" si="231"/>
        <v>0.11199999999999999</v>
      </c>
      <c r="AX116" s="177">
        <f t="shared" si="150"/>
        <v>0.41327999999999987</v>
      </c>
      <c r="AY116" s="177">
        <f t="shared" si="151"/>
        <v>0.36407999999999996</v>
      </c>
      <c r="AZ116" s="177">
        <f t="shared" si="178"/>
        <v>1.1351351351351349</v>
      </c>
      <c r="BA116" s="469">
        <f t="shared" si="232"/>
        <v>21.317779700075526</v>
      </c>
      <c r="BB116" s="469">
        <f t="shared" si="233"/>
        <v>0.23117016774193536</v>
      </c>
      <c r="BC116" s="5">
        <f t="shared" si="234"/>
        <v>0.52252222222222211</v>
      </c>
      <c r="BD116" s="469">
        <f t="shared" si="235"/>
        <v>31.495999999999995</v>
      </c>
      <c r="BF116" s="177">
        <f t="shared" si="179"/>
        <v>0.15843905242500453</v>
      </c>
      <c r="BG116" s="177">
        <f t="shared" si="156"/>
        <v>0.44612823268652252</v>
      </c>
      <c r="BI116" s="538">
        <f t="shared" si="236"/>
        <v>2.7613226666666668E-3</v>
      </c>
      <c r="BJ116" s="538">
        <f t="shared" si="237"/>
        <v>1.4223999999999994E-2</v>
      </c>
      <c r="BK116" s="538">
        <f t="shared" si="238"/>
        <v>6.8292682926829251E-3</v>
      </c>
      <c r="BL116" s="538">
        <f t="shared" si="239"/>
        <v>1.9826868292682921E-2</v>
      </c>
      <c r="BM116">
        <f t="shared" si="240"/>
        <v>2.6099999999999999E-3</v>
      </c>
      <c r="BN116">
        <f t="shared" si="241"/>
        <v>5.4634146341463406E-6</v>
      </c>
      <c r="BO116" s="538">
        <f t="shared" si="242"/>
        <v>4.6280500917266945E-2</v>
      </c>
      <c r="BP116" s="469">
        <f t="shared" si="243"/>
        <v>46.251459252032511</v>
      </c>
      <c r="BQ116" s="538">
        <f t="shared" si="244"/>
        <v>2.2679999999999999E-2</v>
      </c>
      <c r="BT116" s="469">
        <f t="shared" si="245"/>
        <v>22.68</v>
      </c>
      <c r="BU116" s="538">
        <f t="shared" si="246"/>
        <v>1.2049408000000001E-3</v>
      </c>
      <c r="BV116" s="538">
        <f t="shared" si="247"/>
        <v>4.7767295999999994E-2</v>
      </c>
      <c r="BW116" s="538">
        <f t="shared" si="248"/>
        <v>0</v>
      </c>
      <c r="BX116" s="538"/>
      <c r="BY116" s="538">
        <f t="shared" si="249"/>
        <v>4.5919999999999997E-3</v>
      </c>
      <c r="BZ116" s="469">
        <f t="shared" si="250"/>
        <v>53.564236799999989</v>
      </c>
      <c r="CA116" s="177">
        <f t="shared" si="251"/>
        <v>0.12249569605203249</v>
      </c>
      <c r="CB116" s="5">
        <f t="shared" si="252"/>
        <v>0.39059999999999995</v>
      </c>
      <c r="CC116" s="177">
        <f t="shared" si="253"/>
        <v>0.76126150151996141</v>
      </c>
      <c r="CD116" s="5">
        <f t="shared" si="254"/>
        <v>76.126150151996143</v>
      </c>
      <c r="CG116" s="571">
        <f t="shared" si="255"/>
        <v>-50</v>
      </c>
      <c r="CH116">
        <f t="shared" si="256"/>
        <v>-50</v>
      </c>
    </row>
    <row r="117" spans="5:86" x14ac:dyDescent="0.2">
      <c r="E117" s="174">
        <v>7</v>
      </c>
      <c r="F117" s="221">
        <f t="shared" si="257"/>
        <v>2.9400000000000003E-2</v>
      </c>
      <c r="G117" s="221"/>
      <c r="H117" s="221">
        <f t="shared" si="201"/>
        <v>0.45570000000000005</v>
      </c>
      <c r="I117" s="551">
        <f t="shared" si="202"/>
        <v>9</v>
      </c>
      <c r="J117" s="451">
        <f t="shared" si="203"/>
        <v>16.399999999999999</v>
      </c>
      <c r="K117" s="451">
        <f t="shared" si="204"/>
        <v>25.4</v>
      </c>
      <c r="L117" s="451"/>
      <c r="M117" s="221">
        <f t="shared" si="205"/>
        <v>0.64566929133858264</v>
      </c>
      <c r="N117" s="176">
        <f t="shared" si="206"/>
        <v>10.799787401574802</v>
      </c>
      <c r="O117" s="176">
        <f t="shared" si="173"/>
        <v>0.45570000000000005</v>
      </c>
      <c r="P117" s="221">
        <f t="shared" si="207"/>
        <v>0.69676047752095494</v>
      </c>
      <c r="Q117" s="221">
        <f t="shared" si="208"/>
        <v>15.5</v>
      </c>
      <c r="R117" s="221"/>
      <c r="S117" s="176">
        <f t="shared" si="209"/>
        <v>555.81046812069951</v>
      </c>
      <c r="T117" s="176">
        <f t="shared" si="210"/>
        <v>15.5</v>
      </c>
      <c r="U117" s="221">
        <f t="shared" si="211"/>
        <v>0.17426648599819336</v>
      </c>
      <c r="V117" s="221">
        <f t="shared" si="212"/>
        <v>0.17426648599819336</v>
      </c>
      <c r="W117" s="221">
        <f t="shared" si="213"/>
        <v>9.5634047194130503E-2</v>
      </c>
      <c r="X117" s="201">
        <f t="shared" si="214"/>
        <v>350</v>
      </c>
      <c r="Y117" s="451">
        <f t="shared" si="215"/>
        <v>350</v>
      </c>
      <c r="AA117" s="221">
        <f t="shared" si="216"/>
        <v>1.8447694038245221</v>
      </c>
      <c r="AB117" s="177">
        <f t="shared" si="217"/>
        <v>1.0123734533183355</v>
      </c>
      <c r="AC117" s="177">
        <f t="shared" si="218"/>
        <v>0.32682922508702178</v>
      </c>
      <c r="AD117" s="177"/>
      <c r="AE117" s="177">
        <f t="shared" si="219"/>
        <v>0.45</v>
      </c>
      <c r="AF117" s="555">
        <f t="shared" si="220"/>
        <v>159.34959349593498</v>
      </c>
      <c r="AG117" s="538">
        <f t="shared" si="221"/>
        <v>6.4574999999999994E-2</v>
      </c>
      <c r="AI117" s="177">
        <f t="shared" si="222"/>
        <v>0.55329317123323807</v>
      </c>
      <c r="AJ117" s="177">
        <f t="shared" si="223"/>
        <v>0.82</v>
      </c>
      <c r="AK117" s="177">
        <f t="shared" si="224"/>
        <v>1.0910569105691057</v>
      </c>
      <c r="AM117" s="555">
        <f t="shared" si="225"/>
        <v>29.400000000000002</v>
      </c>
      <c r="AN117" s="469">
        <f t="shared" si="226"/>
        <v>159.34959349593498</v>
      </c>
      <c r="AP117" s="469">
        <f t="shared" si="227"/>
        <v>29.400000000000002</v>
      </c>
      <c r="AQ117" s="469">
        <f t="shared" si="228"/>
        <v>159.34959349593498</v>
      </c>
      <c r="AS117" s="5">
        <f t="shared" si="175"/>
        <v>6.2755102040816313</v>
      </c>
      <c r="AT117" s="5">
        <f t="shared" si="229"/>
        <v>0.82</v>
      </c>
      <c r="AU117" s="5">
        <f t="shared" si="230"/>
        <v>5.455510204081631</v>
      </c>
      <c r="AV117" s="5"/>
      <c r="AW117" s="177">
        <f t="shared" si="231"/>
        <v>0.13066666666666668</v>
      </c>
      <c r="AX117" s="177">
        <f t="shared" si="150"/>
        <v>0.48215999999999998</v>
      </c>
      <c r="AY117" s="177">
        <f t="shared" si="151"/>
        <v>0.35642666666666661</v>
      </c>
      <c r="AZ117" s="177">
        <f t="shared" si="178"/>
        <v>1.3527607361963192</v>
      </c>
      <c r="BA117" s="469">
        <f t="shared" si="232"/>
        <v>21.317779700075526</v>
      </c>
      <c r="BB117" s="469">
        <f t="shared" si="233"/>
        <v>0.30484828387096774</v>
      </c>
      <c r="BC117" s="5">
        <f t="shared" ref="BC117:BC180" si="258">H117/Efficiency/I117*AU117/Vinripple1</f>
        <v>0.51153827160493803</v>
      </c>
      <c r="BD117" s="469">
        <f t="shared" si="235"/>
        <v>30.861074074074061</v>
      </c>
      <c r="BF117" s="177">
        <f t="shared" si="179"/>
        <v>0.17113373587798392</v>
      </c>
      <c r="BG117" s="177">
        <f t="shared" si="156"/>
        <v>0.44141429267500815</v>
      </c>
      <c r="BI117" s="538">
        <f t="shared" si="236"/>
        <v>3.2215431111111115E-3</v>
      </c>
      <c r="BJ117" s="538">
        <f t="shared" si="237"/>
        <v>1.6594666666666664E-2</v>
      </c>
      <c r="BK117" s="538">
        <f t="shared" si="238"/>
        <v>7.9674796747967475E-3</v>
      </c>
      <c r="BL117" s="538">
        <f t="shared" si="239"/>
        <v>2.3131346341463414E-2</v>
      </c>
      <c r="BM117">
        <f t="shared" si="240"/>
        <v>2.6099999999999999E-3</v>
      </c>
      <c r="BN117">
        <f t="shared" si="241"/>
        <v>6.3739837398373995E-6</v>
      </c>
      <c r="BO117" s="538">
        <f t="shared" si="242"/>
        <v>5.3563246416511875E-2</v>
      </c>
      <c r="BP117" s="469">
        <f t="shared" si="243"/>
        <v>53.525035794037933</v>
      </c>
      <c r="BQ117" s="538">
        <f t="shared" si="244"/>
        <v>2.6460000000000004E-2</v>
      </c>
      <c r="BT117" s="469">
        <f t="shared" si="245"/>
        <v>26.460000000000004</v>
      </c>
      <c r="BU117" s="538">
        <f t="shared" si="246"/>
        <v>1.4057642666666669E-3</v>
      </c>
      <c r="BV117" s="538">
        <f t="shared" si="247"/>
        <v>4.6763178666666662E-2</v>
      </c>
      <c r="BW117" s="538">
        <f t="shared" si="248"/>
        <v>0</v>
      </c>
      <c r="BX117" s="538"/>
      <c r="BY117" s="538">
        <f t="shared" si="249"/>
        <v>5.3573333333333337E-3</v>
      </c>
      <c r="BZ117" s="469">
        <f t="shared" si="250"/>
        <v>53.526276266666656</v>
      </c>
      <c r="CA117" s="177">
        <f t="shared" si="251"/>
        <v>0.13351131206070457</v>
      </c>
      <c r="CB117" s="5">
        <f t="shared" si="252"/>
        <v>0.45570000000000005</v>
      </c>
      <c r="CC117" s="177">
        <f t="shared" si="253"/>
        <v>0.7734067399457033</v>
      </c>
      <c r="CD117" s="5">
        <f t="shared" si="254"/>
        <v>77.340673994570324</v>
      </c>
      <c r="CG117" s="571">
        <f t="shared" si="255"/>
        <v>-50</v>
      </c>
      <c r="CH117">
        <f t="shared" si="256"/>
        <v>-50</v>
      </c>
    </row>
    <row r="118" spans="5:86" x14ac:dyDescent="0.2">
      <c r="E118" s="174">
        <v>8</v>
      </c>
      <c r="F118" s="221">
        <f t="shared" si="257"/>
        <v>3.3599999999999998E-2</v>
      </c>
      <c r="G118" s="221"/>
      <c r="H118" s="221">
        <f t="shared" si="201"/>
        <v>0.52079999999999993</v>
      </c>
      <c r="I118" s="551">
        <f t="shared" si="202"/>
        <v>9</v>
      </c>
      <c r="J118" s="451">
        <f t="shared" si="203"/>
        <v>16.399999999999999</v>
      </c>
      <c r="K118" s="451">
        <f t="shared" si="204"/>
        <v>25.4</v>
      </c>
      <c r="L118" s="451"/>
      <c r="M118" s="221">
        <f t="shared" si="205"/>
        <v>0.64566929133858264</v>
      </c>
      <c r="N118" s="176">
        <f t="shared" si="206"/>
        <v>10.799787401574802</v>
      </c>
      <c r="O118" s="176">
        <f t="shared" si="173"/>
        <v>0.52079999999999993</v>
      </c>
      <c r="P118" s="221">
        <f t="shared" si="207"/>
        <v>0.69676047752095494</v>
      </c>
      <c r="Q118" s="221">
        <f t="shared" si="208"/>
        <v>15.5</v>
      </c>
      <c r="R118" s="221"/>
      <c r="S118" s="176">
        <f t="shared" si="209"/>
        <v>485.21309136069294</v>
      </c>
      <c r="T118" s="176">
        <f t="shared" si="210"/>
        <v>15.5</v>
      </c>
      <c r="U118" s="221">
        <f t="shared" si="211"/>
        <v>0.19916169828364949</v>
      </c>
      <c r="V118" s="221">
        <f t="shared" si="212"/>
        <v>0.19916169828364952</v>
      </c>
      <c r="W118" s="221">
        <f t="shared" si="213"/>
        <v>0.10929605393614912</v>
      </c>
      <c r="X118" s="201">
        <f t="shared" si="214"/>
        <v>350</v>
      </c>
      <c r="Y118" s="451">
        <f t="shared" si="215"/>
        <v>350</v>
      </c>
      <c r="AA118" s="221">
        <f t="shared" si="216"/>
        <v>1.8447694038245221</v>
      </c>
      <c r="AB118" s="177">
        <f t="shared" si="217"/>
        <v>1.0123734533183355</v>
      </c>
      <c r="AC118" s="177">
        <f t="shared" si="218"/>
        <v>0.32682922508702178</v>
      </c>
      <c r="AD118" s="177"/>
      <c r="AE118" s="177">
        <f t="shared" si="219"/>
        <v>0.45</v>
      </c>
      <c r="AF118" s="555">
        <f t="shared" si="220"/>
        <v>182.11382113821139</v>
      </c>
      <c r="AG118" s="538">
        <f t="shared" si="221"/>
        <v>6.4574999999999994E-2</v>
      </c>
      <c r="AI118" s="177">
        <f t="shared" si="222"/>
        <v>0.59149528034183552</v>
      </c>
      <c r="AJ118" s="177">
        <f t="shared" si="223"/>
        <v>0.82</v>
      </c>
      <c r="AK118" s="177">
        <f t="shared" si="224"/>
        <v>1.1040650406504064</v>
      </c>
      <c r="AM118" s="555">
        <f t="shared" si="225"/>
        <v>33.6</v>
      </c>
      <c r="AN118" s="469">
        <f t="shared" si="226"/>
        <v>182.11382113821139</v>
      </c>
      <c r="AP118" s="469">
        <f t="shared" si="227"/>
        <v>33.6</v>
      </c>
      <c r="AQ118" s="469">
        <f t="shared" si="228"/>
        <v>182.11382113821139</v>
      </c>
      <c r="AS118" s="5">
        <f t="shared" si="175"/>
        <v>5.4910714285714288</v>
      </c>
      <c r="AT118" s="5">
        <f t="shared" si="229"/>
        <v>0.82</v>
      </c>
      <c r="AU118" s="5">
        <f t="shared" si="230"/>
        <v>4.6710714285714285</v>
      </c>
      <c r="AV118" s="5"/>
      <c r="AW118" s="177">
        <f t="shared" si="231"/>
        <v>0.14933333333333332</v>
      </c>
      <c r="AX118" s="177">
        <f t="shared" si="150"/>
        <v>0.55103999999999997</v>
      </c>
      <c r="AY118" s="177">
        <f t="shared" si="151"/>
        <v>0.34877333333333332</v>
      </c>
      <c r="AZ118" s="177">
        <f t="shared" si="178"/>
        <v>1.5799373040752351</v>
      </c>
      <c r="BA118" s="469">
        <f t="shared" si="232"/>
        <v>21.317779700075526</v>
      </c>
      <c r="BB118" s="469">
        <f t="shared" si="233"/>
        <v>0.38856918709677402</v>
      </c>
      <c r="BC118" s="5">
        <f t="shared" si="258"/>
        <v>0.50055432098765418</v>
      </c>
      <c r="BD118" s="469">
        <f t="shared" si="235"/>
        <v>30.226148148148141</v>
      </c>
      <c r="BF118" s="177">
        <f t="shared" si="179"/>
        <v>0.18294965913545116</v>
      </c>
      <c r="BG118" s="177">
        <f t="shared" si="156"/>
        <v>0.43664946531005344</v>
      </c>
      <c r="BI118" s="538">
        <f t="shared" si="236"/>
        <v>3.6817635555555545E-3</v>
      </c>
      <c r="BJ118" s="538">
        <f t="shared" si="237"/>
        <v>1.8965333333333331E-2</v>
      </c>
      <c r="BK118" s="538">
        <f t="shared" si="238"/>
        <v>9.1056910569105691E-3</v>
      </c>
      <c r="BL118" s="538">
        <f t="shared" si="239"/>
        <v>2.6435824390243903E-2</v>
      </c>
      <c r="BM118">
        <f t="shared" si="240"/>
        <v>2.6099999999999999E-3</v>
      </c>
      <c r="BN118">
        <f t="shared" si="241"/>
        <v>7.2845528455284559E-6</v>
      </c>
      <c r="BO118" s="538">
        <f t="shared" si="242"/>
        <v>6.0847229522073353E-2</v>
      </c>
      <c r="BP118" s="469">
        <f t="shared" si="243"/>
        <v>60.798612336043362</v>
      </c>
      <c r="BQ118" s="538">
        <f t="shared" si="244"/>
        <v>3.024E-2</v>
      </c>
      <c r="BT118" s="469">
        <f t="shared" si="245"/>
        <v>30.24</v>
      </c>
      <c r="BU118" s="538">
        <f t="shared" si="246"/>
        <v>1.6065877333333329E-3</v>
      </c>
      <c r="BV118" s="538">
        <f t="shared" si="247"/>
        <v>4.5759061333333337E-2</v>
      </c>
      <c r="BW118" s="538">
        <f t="shared" si="248"/>
        <v>0</v>
      </c>
      <c r="BX118" s="538"/>
      <c r="BY118" s="538">
        <f t="shared" si="249"/>
        <v>6.1226666666666669E-3</v>
      </c>
      <c r="BZ118" s="469">
        <f t="shared" si="250"/>
        <v>53.48831573333333</v>
      </c>
      <c r="CA118" s="177">
        <f t="shared" si="251"/>
        <v>0.1445269280693767</v>
      </c>
      <c r="CB118" s="5">
        <f t="shared" si="252"/>
        <v>0.52079999999999993</v>
      </c>
      <c r="CC118" s="177">
        <f t="shared" si="253"/>
        <v>0.78277306693603987</v>
      </c>
      <c r="CD118" s="5">
        <f t="shared" si="254"/>
        <v>78.27730669360399</v>
      </c>
      <c r="CG118" s="571">
        <f t="shared" si="255"/>
        <v>-50</v>
      </c>
      <c r="CH118">
        <f t="shared" si="256"/>
        <v>-50</v>
      </c>
    </row>
    <row r="119" spans="5:86" x14ac:dyDescent="0.2">
      <c r="E119" s="174">
        <v>9</v>
      </c>
      <c r="F119" s="221">
        <f t="shared" si="257"/>
        <v>3.78E-2</v>
      </c>
      <c r="G119" s="221"/>
      <c r="H119" s="221">
        <f t="shared" si="201"/>
        <v>0.58589999999999998</v>
      </c>
      <c r="I119" s="551">
        <f t="shared" si="202"/>
        <v>9</v>
      </c>
      <c r="J119" s="451">
        <f t="shared" si="203"/>
        <v>16.399999999999999</v>
      </c>
      <c r="K119" s="451">
        <f t="shared" si="204"/>
        <v>25.4</v>
      </c>
      <c r="L119" s="451"/>
      <c r="M119" s="221">
        <f t="shared" si="205"/>
        <v>0.64566929133858264</v>
      </c>
      <c r="N119" s="176">
        <f t="shared" si="206"/>
        <v>10.799787401574802</v>
      </c>
      <c r="O119" s="176">
        <f t="shared" si="173"/>
        <v>0.58589999999999998</v>
      </c>
      <c r="P119" s="221">
        <f t="shared" si="207"/>
        <v>0.69676047752095494</v>
      </c>
      <c r="Q119" s="221">
        <f t="shared" si="208"/>
        <v>15.5</v>
      </c>
      <c r="R119" s="221"/>
      <c r="S119" s="176">
        <f t="shared" si="209"/>
        <v>430.30449887636928</v>
      </c>
      <c r="T119" s="176">
        <f t="shared" si="210"/>
        <v>15.5</v>
      </c>
      <c r="U119" s="221">
        <f t="shared" si="211"/>
        <v>0.22405691056910571</v>
      </c>
      <c r="V119" s="221">
        <f t="shared" si="212"/>
        <v>0.22405691056910573</v>
      </c>
      <c r="W119" s="221">
        <f t="shared" si="213"/>
        <v>0.12295806067816778</v>
      </c>
      <c r="X119" s="201">
        <f t="shared" si="214"/>
        <v>350</v>
      </c>
      <c r="Y119" s="451">
        <f t="shared" si="215"/>
        <v>350</v>
      </c>
      <c r="AA119" s="221">
        <f t="shared" si="216"/>
        <v>1.8447694038245221</v>
      </c>
      <c r="AB119" s="177">
        <f t="shared" si="217"/>
        <v>1.0123734533183355</v>
      </c>
      <c r="AC119" s="177">
        <f t="shared" si="218"/>
        <v>0.32682922508702178</v>
      </c>
      <c r="AD119" s="177"/>
      <c r="AE119" s="177">
        <f t="shared" si="219"/>
        <v>0.45</v>
      </c>
      <c r="AF119" s="555">
        <f t="shared" si="220"/>
        <v>204.87804878048783</v>
      </c>
      <c r="AG119" s="538">
        <f t="shared" si="221"/>
        <v>6.4574999999999994E-2</v>
      </c>
      <c r="AI119" s="177">
        <f t="shared" si="222"/>
        <v>0.62737548565432488</v>
      </c>
      <c r="AJ119" s="177">
        <f t="shared" si="223"/>
        <v>0.82</v>
      </c>
      <c r="AK119" s="177">
        <f t="shared" si="224"/>
        <v>1.1170731707317074</v>
      </c>
      <c r="AM119" s="555">
        <f t="shared" si="225"/>
        <v>37.799999999999997</v>
      </c>
      <c r="AN119" s="469">
        <f t="shared" si="226"/>
        <v>204.87804878048783</v>
      </c>
      <c r="AP119" s="469">
        <f t="shared" si="227"/>
        <v>37.799999999999997</v>
      </c>
      <c r="AQ119" s="469">
        <f t="shared" si="228"/>
        <v>204.87804878048783</v>
      </c>
      <c r="AS119" s="5">
        <f t="shared" si="175"/>
        <v>4.8809523809523796</v>
      </c>
      <c r="AT119" s="5">
        <f t="shared" si="229"/>
        <v>0.82</v>
      </c>
      <c r="AU119" s="5">
        <f t="shared" si="230"/>
        <v>4.0609523809523793</v>
      </c>
      <c r="AV119" s="5"/>
      <c r="AW119" s="177">
        <f t="shared" si="231"/>
        <v>0.16800000000000004</v>
      </c>
      <c r="AX119" s="177">
        <f t="shared" si="150"/>
        <v>0.61991999999999992</v>
      </c>
      <c r="AY119" s="177">
        <f t="shared" si="151"/>
        <v>0.34111999999999998</v>
      </c>
      <c r="AZ119" s="177">
        <f t="shared" si="178"/>
        <v>1.8173076923076921</v>
      </c>
      <c r="BA119" s="469">
        <f t="shared" si="232"/>
        <v>21.317779700075526</v>
      </c>
      <c r="BB119" s="469">
        <f t="shared" si="233"/>
        <v>0.48233287741935477</v>
      </c>
      <c r="BC119" s="5">
        <f t="shared" si="258"/>
        <v>0.48957037037037004</v>
      </c>
      <c r="BD119" s="469">
        <f t="shared" si="235"/>
        <v>29.591222222222207</v>
      </c>
      <c r="BF119" s="177">
        <f t="shared" si="179"/>
        <v>0.19404741688566743</v>
      </c>
      <c r="BG119" s="177">
        <f t="shared" si="156"/>
        <v>0.43183206612447539</v>
      </c>
      <c r="BI119" s="538">
        <f t="shared" si="236"/>
        <v>4.1419840000000013E-3</v>
      </c>
      <c r="BJ119" s="538">
        <f t="shared" si="237"/>
        <v>2.1336000000000001E-2</v>
      </c>
      <c r="BK119" s="538">
        <f t="shared" si="238"/>
        <v>1.0243902439024391E-2</v>
      </c>
      <c r="BL119" s="538">
        <f t="shared" si="239"/>
        <v>2.9740302439024393E-2</v>
      </c>
      <c r="BM119">
        <f t="shared" si="240"/>
        <v>2.6099999999999999E-3</v>
      </c>
      <c r="BN119">
        <f t="shared" si="241"/>
        <v>8.1951219512195139E-6</v>
      </c>
      <c r="BO119" s="538">
        <f t="shared" si="242"/>
        <v>6.8132450549450455E-2</v>
      </c>
      <c r="BP119" s="469">
        <f t="shared" si="243"/>
        <v>68.072188878048792</v>
      </c>
      <c r="BQ119" s="538">
        <f t="shared" si="244"/>
        <v>3.4020000000000002E-2</v>
      </c>
      <c r="BT119" s="469">
        <f t="shared" si="245"/>
        <v>34.020000000000003</v>
      </c>
      <c r="BU119" s="538">
        <f t="shared" si="246"/>
        <v>1.8074112000000006E-3</v>
      </c>
      <c r="BV119" s="538">
        <f t="shared" si="247"/>
        <v>4.4754943999999991E-2</v>
      </c>
      <c r="BW119" s="538">
        <f t="shared" si="248"/>
        <v>0</v>
      </c>
      <c r="BX119" s="538"/>
      <c r="BY119" s="538">
        <f t="shared" si="249"/>
        <v>6.8880000000000009E-3</v>
      </c>
      <c r="BZ119" s="469">
        <f t="shared" si="250"/>
        <v>53.45035519999999</v>
      </c>
      <c r="CA119" s="177">
        <f t="shared" si="251"/>
        <v>0.15554254407804879</v>
      </c>
      <c r="CB119" s="5">
        <f t="shared" si="252"/>
        <v>0.58589999999999998</v>
      </c>
      <c r="CC119" s="177">
        <f t="shared" si="253"/>
        <v>0.79021632179003276</v>
      </c>
      <c r="CD119" s="5">
        <f t="shared" si="254"/>
        <v>79.021632179003277</v>
      </c>
      <c r="CG119" s="571">
        <f t="shared" si="255"/>
        <v>-50</v>
      </c>
      <c r="CH119">
        <f t="shared" si="256"/>
        <v>-50</v>
      </c>
    </row>
    <row r="120" spans="5:86" x14ac:dyDescent="0.2">
      <c r="E120" s="174">
        <v>10</v>
      </c>
      <c r="F120" s="221">
        <f t="shared" si="257"/>
        <v>4.2000000000000003E-2</v>
      </c>
      <c r="G120" s="221"/>
      <c r="H120" s="221">
        <f t="shared" si="201"/>
        <v>0.65100000000000002</v>
      </c>
      <c r="I120" s="551">
        <f t="shared" si="202"/>
        <v>9</v>
      </c>
      <c r="J120" s="451">
        <f t="shared" si="203"/>
        <v>16.399999999999999</v>
      </c>
      <c r="K120" s="451">
        <f t="shared" si="204"/>
        <v>25.4</v>
      </c>
      <c r="L120" s="451"/>
      <c r="M120" s="221">
        <f t="shared" si="205"/>
        <v>0.64566929133858264</v>
      </c>
      <c r="N120" s="176">
        <f t="shared" si="206"/>
        <v>10.799787401574802</v>
      </c>
      <c r="O120" s="176">
        <f t="shared" si="173"/>
        <v>0.65100000000000002</v>
      </c>
      <c r="P120" s="221">
        <f t="shared" si="207"/>
        <v>0.69676047752095494</v>
      </c>
      <c r="Q120" s="221">
        <f t="shared" si="208"/>
        <v>15.5</v>
      </c>
      <c r="R120" s="221"/>
      <c r="S120" s="176">
        <f t="shared" si="209"/>
        <v>386.37805806220376</v>
      </c>
      <c r="T120" s="176">
        <f t="shared" si="210"/>
        <v>15.5</v>
      </c>
      <c r="U120" s="221">
        <f t="shared" si="211"/>
        <v>0.24895212285456192</v>
      </c>
      <c r="V120" s="221">
        <f t="shared" si="212"/>
        <v>0.24895212285456189</v>
      </c>
      <c r="W120" s="221">
        <f t="shared" si="213"/>
        <v>0.13662006742018643</v>
      </c>
      <c r="X120" s="201">
        <f t="shared" si="214"/>
        <v>350</v>
      </c>
      <c r="Y120" s="451">
        <f t="shared" si="215"/>
        <v>350</v>
      </c>
      <c r="AA120" s="221">
        <f t="shared" si="216"/>
        <v>1.8447694038245221</v>
      </c>
      <c r="AB120" s="177">
        <f t="shared" si="217"/>
        <v>1.0123734533183355</v>
      </c>
      <c r="AC120" s="177">
        <f t="shared" si="218"/>
        <v>0.32682922508702178</v>
      </c>
      <c r="AD120" s="177"/>
      <c r="AE120" s="177">
        <f t="shared" si="219"/>
        <v>0.45</v>
      </c>
      <c r="AF120" s="555">
        <f t="shared" si="220"/>
        <v>227.64227642276427</v>
      </c>
      <c r="AG120" s="538">
        <f t="shared" si="221"/>
        <v>6.4574999999999994E-2</v>
      </c>
      <c r="AI120" s="177">
        <f t="shared" si="222"/>
        <v>0.66131182760731966</v>
      </c>
      <c r="AJ120" s="177">
        <f t="shared" si="223"/>
        <v>0.82</v>
      </c>
      <c r="AK120" s="177">
        <f t="shared" si="224"/>
        <v>1.1300813008130082</v>
      </c>
      <c r="AM120" s="555">
        <f t="shared" si="225"/>
        <v>42</v>
      </c>
      <c r="AN120" s="469">
        <f t="shared" si="226"/>
        <v>227.64227642276427</v>
      </c>
      <c r="AP120" s="469">
        <f t="shared" si="227"/>
        <v>42</v>
      </c>
      <c r="AQ120" s="469">
        <f t="shared" si="228"/>
        <v>227.64227642276427</v>
      </c>
      <c r="AS120" s="5">
        <f t="shared" si="175"/>
        <v>4.3928571428571423</v>
      </c>
      <c r="AT120" s="5">
        <f t="shared" si="229"/>
        <v>0.82</v>
      </c>
      <c r="AU120" s="5">
        <f t="shared" si="230"/>
        <v>3.5728571428571425</v>
      </c>
      <c r="AV120" s="5"/>
      <c r="AW120" s="177">
        <f t="shared" si="231"/>
        <v>0.18666666666666668</v>
      </c>
      <c r="AX120" s="177">
        <f t="shared" si="150"/>
        <v>0.68880000000000008</v>
      </c>
      <c r="AY120" s="177">
        <f t="shared" si="151"/>
        <v>0.33346666666666663</v>
      </c>
      <c r="AZ120" s="177">
        <f t="shared" si="178"/>
        <v>2.0655737704918038</v>
      </c>
      <c r="BA120" s="469">
        <f t="shared" si="232"/>
        <v>21.317779700075526</v>
      </c>
      <c r="BB120" s="469">
        <f t="shared" si="233"/>
        <v>0.5861393548387096</v>
      </c>
      <c r="BC120" s="5">
        <f t="shared" si="258"/>
        <v>0.4785864197530863</v>
      </c>
      <c r="BD120" s="469">
        <f t="shared" si="235"/>
        <v>28.956296296296294</v>
      </c>
      <c r="BF120" s="177">
        <f t="shared" si="179"/>
        <v>0.20454393714364213</v>
      </c>
      <c r="BG120" s="177">
        <f t="shared" si="156"/>
        <v>0.42696031561623049</v>
      </c>
      <c r="BI120" s="538">
        <f t="shared" si="236"/>
        <v>4.6022044444444452E-3</v>
      </c>
      <c r="BJ120" s="538">
        <f t="shared" si="237"/>
        <v>2.3706666666666664E-2</v>
      </c>
      <c r="BK120" s="538">
        <f t="shared" si="238"/>
        <v>1.1382113821138212E-2</v>
      </c>
      <c r="BL120" s="538">
        <f t="shared" si="239"/>
        <v>3.3044780487804883E-2</v>
      </c>
      <c r="BM120">
        <f t="shared" si="240"/>
        <v>2.6099999999999999E-3</v>
      </c>
      <c r="BN120">
        <f t="shared" si="241"/>
        <v>9.1056910569105702E-6</v>
      </c>
      <c r="BO120" s="538">
        <f t="shared" si="242"/>
        <v>7.5418909814249493E-2</v>
      </c>
      <c r="BP120" s="469">
        <f t="shared" si="243"/>
        <v>75.345765420054192</v>
      </c>
      <c r="BQ120" s="538">
        <f t="shared" si="244"/>
        <v>3.78E-2</v>
      </c>
      <c r="BT120" s="469">
        <f t="shared" si="245"/>
        <v>37.799999999999997</v>
      </c>
      <c r="BU120" s="538">
        <f t="shared" si="246"/>
        <v>2.008234666666667E-3</v>
      </c>
      <c r="BV120" s="538">
        <f t="shared" si="247"/>
        <v>4.3750826666666673E-2</v>
      </c>
      <c r="BW120" s="538">
        <f t="shared" si="248"/>
        <v>0</v>
      </c>
      <c r="BX120" s="538"/>
      <c r="BY120" s="538">
        <f t="shared" si="249"/>
        <v>7.6533333333333349E-3</v>
      </c>
      <c r="BZ120" s="469">
        <f t="shared" si="250"/>
        <v>53.412394666666671</v>
      </c>
      <c r="CA120" s="177">
        <f t="shared" si="251"/>
        <v>0.16655816008672086</v>
      </c>
      <c r="CB120" s="5">
        <f t="shared" si="252"/>
        <v>0.65100000000000002</v>
      </c>
      <c r="CC120" s="177">
        <f t="shared" si="253"/>
        <v>0.7962736252683803</v>
      </c>
      <c r="CD120" s="5">
        <f t="shared" si="254"/>
        <v>79.627362526838027</v>
      </c>
      <c r="CG120" s="571">
        <f t="shared" si="255"/>
        <v>-50</v>
      </c>
      <c r="CH120">
        <f t="shared" si="256"/>
        <v>-50</v>
      </c>
    </row>
    <row r="121" spans="5:86" x14ac:dyDescent="0.2">
      <c r="E121" s="174">
        <v>11</v>
      </c>
      <c r="F121" s="221">
        <f t="shared" si="257"/>
        <v>4.6199999999999998E-2</v>
      </c>
      <c r="G121" s="221"/>
      <c r="H121" s="221">
        <f t="shared" si="201"/>
        <v>0.71609999999999996</v>
      </c>
      <c r="I121" s="551">
        <f t="shared" si="202"/>
        <v>9</v>
      </c>
      <c r="J121" s="451">
        <f t="shared" si="203"/>
        <v>16.399999999999999</v>
      </c>
      <c r="K121" s="451">
        <f t="shared" si="204"/>
        <v>25.4</v>
      </c>
      <c r="L121" s="451"/>
      <c r="M121" s="221">
        <f t="shared" si="205"/>
        <v>0.64566929133858264</v>
      </c>
      <c r="N121" s="176">
        <f t="shared" si="206"/>
        <v>10.799787401574802</v>
      </c>
      <c r="O121" s="176">
        <f t="shared" si="173"/>
        <v>0.71609999999999996</v>
      </c>
      <c r="P121" s="221">
        <f t="shared" si="207"/>
        <v>0.69676047752095494</v>
      </c>
      <c r="Q121" s="221">
        <f t="shared" si="208"/>
        <v>15.5</v>
      </c>
      <c r="R121" s="221"/>
      <c r="S121" s="176">
        <f t="shared" si="209"/>
        <v>350.43863909588049</v>
      </c>
      <c r="T121" s="176">
        <f t="shared" si="210"/>
        <v>15.5</v>
      </c>
      <c r="U121" s="221">
        <f t="shared" si="211"/>
        <v>0.27384733514001808</v>
      </c>
      <c r="V121" s="221">
        <f t="shared" si="212"/>
        <v>0.27384733514001808</v>
      </c>
      <c r="W121" s="221">
        <f t="shared" si="213"/>
        <v>0.15028207416220507</v>
      </c>
      <c r="X121" s="201">
        <f t="shared" si="214"/>
        <v>350</v>
      </c>
      <c r="Y121" s="451">
        <f t="shared" si="215"/>
        <v>350</v>
      </c>
      <c r="AA121" s="221">
        <f t="shared" si="216"/>
        <v>1.8447694038245221</v>
      </c>
      <c r="AB121" s="177">
        <f t="shared" si="217"/>
        <v>1.0123734533183355</v>
      </c>
      <c r="AC121" s="177">
        <f t="shared" si="218"/>
        <v>0.32682922508702178</v>
      </c>
      <c r="AD121" s="177"/>
      <c r="AE121" s="177">
        <f t="shared" si="219"/>
        <v>0.45</v>
      </c>
      <c r="AF121" s="555">
        <f t="shared" si="220"/>
        <v>250.40650406504065</v>
      </c>
      <c r="AG121" s="538">
        <f t="shared" si="221"/>
        <v>6.4574999999999994E-2</v>
      </c>
      <c r="AI121" s="177">
        <f t="shared" si="222"/>
        <v>0.6935896961941308</v>
      </c>
      <c r="AJ121" s="177">
        <f t="shared" si="223"/>
        <v>0.82</v>
      </c>
      <c r="AK121" s="177">
        <f t="shared" si="224"/>
        <v>1.1430894308943089</v>
      </c>
      <c r="AM121" s="555">
        <f t="shared" si="225"/>
        <v>46.199999999999996</v>
      </c>
      <c r="AN121" s="469">
        <f t="shared" si="226"/>
        <v>250.40650406504065</v>
      </c>
      <c r="AP121" s="469">
        <f t="shared" si="227"/>
        <v>46.199999999999996</v>
      </c>
      <c r="AQ121" s="469">
        <f t="shared" si="228"/>
        <v>250.40650406504065</v>
      </c>
      <c r="AS121" s="5">
        <f t="shared" si="175"/>
        <v>3.9935064935064934</v>
      </c>
      <c r="AT121" s="5">
        <f t="shared" si="229"/>
        <v>0.82</v>
      </c>
      <c r="AU121" s="5">
        <f t="shared" si="230"/>
        <v>3.1735064935064936</v>
      </c>
      <c r="AV121" s="5"/>
      <c r="AW121" s="177">
        <f t="shared" si="231"/>
        <v>0.20533333333333331</v>
      </c>
      <c r="AX121" s="177">
        <f t="shared" si="150"/>
        <v>0.7576799999999998</v>
      </c>
      <c r="AY121" s="177">
        <f t="shared" si="151"/>
        <v>0.32581333333333329</v>
      </c>
      <c r="AZ121" s="177">
        <f t="shared" si="178"/>
        <v>2.3255033557046976</v>
      </c>
      <c r="BA121" s="469">
        <f t="shared" si="232"/>
        <v>21.317779700075526</v>
      </c>
      <c r="BB121" s="469">
        <f t="shared" si="233"/>
        <v>0.69998861935483858</v>
      </c>
      <c r="BC121" s="5">
        <f t="shared" si="258"/>
        <v>0.46760246913580239</v>
      </c>
      <c r="BD121" s="469">
        <f t="shared" si="235"/>
        <v>28.321370370370367</v>
      </c>
      <c r="BF121" s="177">
        <f t="shared" si="179"/>
        <v>0.21452749111581113</v>
      </c>
      <c r="BG121" s="177">
        <f t="shared" si="156"/>
        <v>0.42203233156819742</v>
      </c>
      <c r="BI121" s="538">
        <f t="shared" si="236"/>
        <v>5.0624248888888864E-3</v>
      </c>
      <c r="BJ121" s="538">
        <f t="shared" si="237"/>
        <v>2.6077333333333327E-2</v>
      </c>
      <c r="BK121" s="538">
        <f t="shared" si="238"/>
        <v>1.2520325203252032E-2</v>
      </c>
      <c r="BL121" s="538">
        <f t="shared" si="239"/>
        <v>3.6349258536585362E-2</v>
      </c>
      <c r="BM121">
        <f t="shared" si="240"/>
        <v>2.6099999999999999E-3</v>
      </c>
      <c r="BN121">
        <f t="shared" si="241"/>
        <v>1.0016260162601627E-5</v>
      </c>
      <c r="BO121" s="538">
        <f t="shared" si="242"/>
        <v>8.2706607632184001E-2</v>
      </c>
      <c r="BP121" s="469">
        <f t="shared" si="243"/>
        <v>82.619341962059607</v>
      </c>
      <c r="BQ121" s="538">
        <f t="shared" si="244"/>
        <v>4.1579999999999999E-2</v>
      </c>
      <c r="BT121" s="469">
        <f t="shared" si="245"/>
        <v>41.58</v>
      </c>
      <c r="BU121" s="538">
        <f t="shared" si="246"/>
        <v>2.2090581333333325E-3</v>
      </c>
      <c r="BV121" s="538">
        <f t="shared" si="247"/>
        <v>4.2746709333333341E-2</v>
      </c>
      <c r="BW121" s="538">
        <f t="shared" si="248"/>
        <v>0</v>
      </c>
      <c r="BX121" s="538"/>
      <c r="BY121" s="538">
        <f t="shared" si="249"/>
        <v>8.4186666666666663E-3</v>
      </c>
      <c r="BZ121" s="469">
        <f t="shared" si="250"/>
        <v>53.374434133333338</v>
      </c>
      <c r="CA121" s="177">
        <f t="shared" si="251"/>
        <v>0.17757377609539296</v>
      </c>
      <c r="CB121" s="5">
        <f t="shared" si="252"/>
        <v>0.71609999999999996</v>
      </c>
      <c r="CC121" s="177">
        <f t="shared" si="253"/>
        <v>0.80129910841600183</v>
      </c>
      <c r="CD121" s="5">
        <f t="shared" si="254"/>
        <v>80.129910841600179</v>
      </c>
      <c r="CG121" s="571">
        <f t="shared" si="255"/>
        <v>-50</v>
      </c>
      <c r="CH121">
        <f t="shared" si="256"/>
        <v>-50</v>
      </c>
    </row>
    <row r="122" spans="5:86" x14ac:dyDescent="0.2">
      <c r="E122" s="174">
        <v>12</v>
      </c>
      <c r="F122" s="221">
        <f t="shared" si="257"/>
        <v>5.0399999999999993E-2</v>
      </c>
      <c r="G122" s="221"/>
      <c r="H122" s="221">
        <f t="shared" si="201"/>
        <v>0.78119999999999989</v>
      </c>
      <c r="I122" s="551">
        <f t="shared" si="202"/>
        <v>9</v>
      </c>
      <c r="J122" s="451">
        <f t="shared" si="203"/>
        <v>16.399999999999999</v>
      </c>
      <c r="K122" s="451">
        <f t="shared" si="204"/>
        <v>25.4</v>
      </c>
      <c r="L122" s="451"/>
      <c r="M122" s="221">
        <f t="shared" si="205"/>
        <v>0.64566929133858264</v>
      </c>
      <c r="N122" s="176">
        <f t="shared" si="206"/>
        <v>10.799787401574802</v>
      </c>
      <c r="O122" s="176">
        <f t="shared" si="173"/>
        <v>0.78119999999999989</v>
      </c>
      <c r="P122" s="221">
        <f t="shared" si="207"/>
        <v>0.69676047752095494</v>
      </c>
      <c r="Q122" s="221">
        <f t="shared" si="208"/>
        <v>15.5</v>
      </c>
      <c r="R122" s="221"/>
      <c r="S122" s="176">
        <f t="shared" si="209"/>
        <v>320.48948877873806</v>
      </c>
      <c r="T122" s="176">
        <f t="shared" si="210"/>
        <v>15.5</v>
      </c>
      <c r="U122" s="221">
        <f t="shared" si="211"/>
        <v>0.29874254742547424</v>
      </c>
      <c r="V122" s="221">
        <f t="shared" si="212"/>
        <v>0.29874254742547424</v>
      </c>
      <c r="W122" s="221">
        <f t="shared" si="213"/>
        <v>0.16394408090422366</v>
      </c>
      <c r="X122" s="201">
        <f t="shared" si="214"/>
        <v>350</v>
      </c>
      <c r="Y122" s="451">
        <f t="shared" si="215"/>
        <v>350</v>
      </c>
      <c r="AA122" s="221">
        <f t="shared" si="216"/>
        <v>1.8447694038245221</v>
      </c>
      <c r="AB122" s="177">
        <f t="shared" si="217"/>
        <v>1.0123734533183355</v>
      </c>
      <c r="AC122" s="177">
        <f t="shared" si="218"/>
        <v>0.32682922508702178</v>
      </c>
      <c r="AD122" s="177"/>
      <c r="AE122" s="177">
        <f t="shared" si="219"/>
        <v>0.45</v>
      </c>
      <c r="AF122" s="555">
        <f t="shared" si="220"/>
        <v>273.17073170731703</v>
      </c>
      <c r="AG122" s="538">
        <f t="shared" si="221"/>
        <v>6.4574999999999994E-2</v>
      </c>
      <c r="AI122" s="177">
        <f t="shared" si="222"/>
        <v>0.72443081105099316</v>
      </c>
      <c r="AJ122" s="177">
        <f t="shared" si="223"/>
        <v>0.82</v>
      </c>
      <c r="AK122" s="177">
        <f t="shared" si="224"/>
        <v>1.1560975609756097</v>
      </c>
      <c r="AM122" s="555">
        <f t="shared" si="225"/>
        <v>50.399999999999991</v>
      </c>
      <c r="AN122" s="469">
        <f t="shared" si="226"/>
        <v>273.17073170731703</v>
      </c>
      <c r="AP122" s="469">
        <f t="shared" si="227"/>
        <v>50.399999999999991</v>
      </c>
      <c r="AQ122" s="469">
        <f t="shared" si="228"/>
        <v>273.17073170731703</v>
      </c>
      <c r="AS122" s="5">
        <f t="shared" si="175"/>
        <v>3.660714285714286</v>
      </c>
      <c r="AT122" s="5">
        <f t="shared" si="229"/>
        <v>0.82</v>
      </c>
      <c r="AU122" s="5">
        <f t="shared" si="230"/>
        <v>2.8407142857142862</v>
      </c>
      <c r="AV122" s="5"/>
      <c r="AW122" s="177">
        <f t="shared" si="231"/>
        <v>0.22399999999999998</v>
      </c>
      <c r="AX122" s="177">
        <f t="shared" si="150"/>
        <v>0.82655999999999974</v>
      </c>
      <c r="AY122" s="177">
        <f t="shared" si="151"/>
        <v>0.31816</v>
      </c>
      <c r="AZ122" s="177">
        <f t="shared" si="178"/>
        <v>2.5979381443298961</v>
      </c>
      <c r="BA122" s="469">
        <f t="shared" si="232"/>
        <v>21.317779700075526</v>
      </c>
      <c r="BB122" s="469">
        <f t="shared" si="233"/>
        <v>0.82388067096774142</v>
      </c>
      <c r="BC122" s="5">
        <f t="shared" si="258"/>
        <v>0.45661851851851842</v>
      </c>
      <c r="BD122" s="469">
        <f t="shared" si="235"/>
        <v>27.686444444444444</v>
      </c>
      <c r="BF122" s="177">
        <f t="shared" si="179"/>
        <v>0.22406665674898318</v>
      </c>
      <c r="BG122" s="177">
        <f t="shared" si="156"/>
        <v>0.41704612055103285</v>
      </c>
      <c r="BI122" s="538">
        <f t="shared" si="236"/>
        <v>5.5226453333333319E-3</v>
      </c>
      <c r="BJ122" s="538">
        <f t="shared" si="237"/>
        <v>2.8447999999999987E-2</v>
      </c>
      <c r="BK122" s="538">
        <f t="shared" si="238"/>
        <v>1.365853658536585E-2</v>
      </c>
      <c r="BL122" s="538">
        <f t="shared" si="239"/>
        <v>3.9653736585365841E-2</v>
      </c>
      <c r="BM122">
        <f t="shared" si="240"/>
        <v>2.6099999999999999E-3</v>
      </c>
      <c r="BN122">
        <f t="shared" si="241"/>
        <v>1.0926829268292681E-5</v>
      </c>
      <c r="BO122" s="538">
        <f t="shared" si="242"/>
        <v>8.9995544319074944E-2</v>
      </c>
      <c r="BP122" s="469">
        <f t="shared" si="243"/>
        <v>89.892918504065008</v>
      </c>
      <c r="BQ122" s="538">
        <f t="shared" si="244"/>
        <v>4.5359999999999998E-2</v>
      </c>
      <c r="BT122" s="469">
        <f t="shared" si="245"/>
        <v>45.36</v>
      </c>
      <c r="BU122" s="538">
        <f t="shared" si="246"/>
        <v>2.4098815999999993E-3</v>
      </c>
      <c r="BV122" s="538">
        <f t="shared" si="247"/>
        <v>4.1742591999999988E-2</v>
      </c>
      <c r="BW122" s="538">
        <f t="shared" si="248"/>
        <v>0</v>
      </c>
      <c r="BX122" s="538"/>
      <c r="BY122" s="538">
        <f t="shared" si="249"/>
        <v>9.1839999999999995E-3</v>
      </c>
      <c r="BZ122" s="469">
        <f t="shared" si="250"/>
        <v>53.336473599999984</v>
      </c>
      <c r="CA122" s="177">
        <f t="shared" si="251"/>
        <v>0.188589392104065</v>
      </c>
      <c r="CB122" s="5">
        <f t="shared" si="252"/>
        <v>0.78119999999999989</v>
      </c>
      <c r="CC122" s="177">
        <f t="shared" si="253"/>
        <v>0.80553572390093942</v>
      </c>
      <c r="CD122" s="5">
        <f t="shared" si="254"/>
        <v>80.553572390093947</v>
      </c>
      <c r="CG122" s="571">
        <f t="shared" si="255"/>
        <v>-50</v>
      </c>
      <c r="CH122">
        <f t="shared" si="256"/>
        <v>-50</v>
      </c>
    </row>
    <row r="123" spans="5:86" x14ac:dyDescent="0.2">
      <c r="E123" s="174">
        <v>13</v>
      </c>
      <c r="F123" s="221">
        <f t="shared" si="257"/>
        <v>5.4600000000000003E-2</v>
      </c>
      <c r="G123" s="221"/>
      <c r="H123" s="221">
        <f t="shared" si="201"/>
        <v>0.84630000000000005</v>
      </c>
      <c r="I123" s="551">
        <f t="shared" si="202"/>
        <v>9</v>
      </c>
      <c r="J123" s="451">
        <f t="shared" si="203"/>
        <v>16.399999999999999</v>
      </c>
      <c r="K123" s="451">
        <f t="shared" si="204"/>
        <v>25.4</v>
      </c>
      <c r="L123" s="451"/>
      <c r="M123" s="221">
        <f t="shared" si="205"/>
        <v>0.64566929133858264</v>
      </c>
      <c r="N123" s="176">
        <f t="shared" si="206"/>
        <v>10.799787401574802</v>
      </c>
      <c r="O123" s="176">
        <f t="shared" si="173"/>
        <v>0.84630000000000005</v>
      </c>
      <c r="P123" s="221">
        <f t="shared" si="207"/>
        <v>0.69676047752095494</v>
      </c>
      <c r="Q123" s="221">
        <f t="shared" si="208"/>
        <v>15.5</v>
      </c>
      <c r="R123" s="221"/>
      <c r="S123" s="176">
        <f t="shared" si="209"/>
        <v>295.14823952678103</v>
      </c>
      <c r="T123" s="176">
        <f t="shared" si="210"/>
        <v>15.5</v>
      </c>
      <c r="U123" s="221">
        <f t="shared" si="211"/>
        <v>0.32363775971093051</v>
      </c>
      <c r="V123" s="221">
        <f t="shared" si="212"/>
        <v>0.32363775971093051</v>
      </c>
      <c r="W123" s="221">
        <f t="shared" si="213"/>
        <v>0.17760608764624236</v>
      </c>
      <c r="X123" s="201">
        <f t="shared" si="214"/>
        <v>350</v>
      </c>
      <c r="Y123" s="451">
        <f t="shared" si="215"/>
        <v>350</v>
      </c>
      <c r="AA123" s="221">
        <f t="shared" si="216"/>
        <v>1.8447694038245221</v>
      </c>
      <c r="AB123" s="177">
        <f t="shared" si="217"/>
        <v>1.0123734533183355</v>
      </c>
      <c r="AC123" s="177">
        <f t="shared" si="218"/>
        <v>0.32682922508702178</v>
      </c>
      <c r="AD123" s="177"/>
      <c r="AE123" s="177">
        <f t="shared" si="219"/>
        <v>0.45</v>
      </c>
      <c r="AF123" s="555">
        <f t="shared" si="220"/>
        <v>295.9349593495935</v>
      </c>
      <c r="AG123" s="538">
        <f t="shared" si="221"/>
        <v>6.4574999999999994E-2</v>
      </c>
      <c r="AI123" s="177">
        <f t="shared" si="222"/>
        <v>0.75401149416526347</v>
      </c>
      <c r="AJ123" s="177">
        <f t="shared" si="223"/>
        <v>0.82</v>
      </c>
      <c r="AK123" s="177">
        <f t="shared" si="224"/>
        <v>1.1691056910569106</v>
      </c>
      <c r="AM123" s="555">
        <f t="shared" si="225"/>
        <v>54.6</v>
      </c>
      <c r="AN123" s="469">
        <f t="shared" si="226"/>
        <v>295.9349593495935</v>
      </c>
      <c r="AP123" s="469">
        <f t="shared" si="227"/>
        <v>54.6</v>
      </c>
      <c r="AQ123" s="469">
        <f t="shared" si="228"/>
        <v>295.9349593495935</v>
      </c>
      <c r="AS123" s="5">
        <f t="shared" si="175"/>
        <v>3.3791208791208791</v>
      </c>
      <c r="AT123" s="5">
        <f t="shared" si="229"/>
        <v>0.82</v>
      </c>
      <c r="AU123" s="5">
        <f t="shared" si="230"/>
        <v>2.5591208791208793</v>
      </c>
      <c r="AV123" s="5"/>
      <c r="AW123" s="177">
        <f t="shared" si="231"/>
        <v>0.24266666666666664</v>
      </c>
      <c r="AX123" s="177">
        <f t="shared" si="150"/>
        <v>0.89543999999999979</v>
      </c>
      <c r="AY123" s="177">
        <f t="shared" si="151"/>
        <v>0.31050666666666671</v>
      </c>
      <c r="AZ123" s="177">
        <f t="shared" si="178"/>
        <v>2.8838028169014076</v>
      </c>
      <c r="BA123" s="469">
        <f t="shared" si="232"/>
        <v>21.317779700075526</v>
      </c>
      <c r="BB123" s="469">
        <f t="shared" si="233"/>
        <v>0.95781550967741924</v>
      </c>
      <c r="BC123" s="5">
        <f t="shared" si="258"/>
        <v>0.44563456790123451</v>
      </c>
      <c r="BD123" s="469">
        <f t="shared" si="235"/>
        <v>27.051518518518527</v>
      </c>
      <c r="BF123" s="177">
        <f t="shared" si="179"/>
        <v>0.23321597048420351</v>
      </c>
      <c r="BG123" s="177">
        <f t="shared" si="156"/>
        <v>0.41199956850031344</v>
      </c>
      <c r="BI123" s="538">
        <f t="shared" si="236"/>
        <v>5.9828657777777766E-3</v>
      </c>
      <c r="BJ123" s="538">
        <f t="shared" si="237"/>
        <v>3.0818666666666661E-2</v>
      </c>
      <c r="BK123" s="538">
        <f t="shared" si="238"/>
        <v>1.4796747967479673E-2</v>
      </c>
      <c r="BL123" s="538">
        <f t="shared" si="239"/>
        <v>4.2958214634146334E-2</v>
      </c>
      <c r="BM123">
        <f t="shared" si="240"/>
        <v>2.6099999999999999E-3</v>
      </c>
      <c r="BN123">
        <f t="shared" si="241"/>
        <v>1.1837398373983741E-5</v>
      </c>
      <c r="BO123" s="538">
        <f t="shared" si="242"/>
        <v>9.7285720190850744E-2</v>
      </c>
      <c r="BP123" s="469">
        <f t="shared" si="243"/>
        <v>97.166495046070452</v>
      </c>
      <c r="BQ123" s="538">
        <f t="shared" si="244"/>
        <v>4.9140000000000003E-2</v>
      </c>
      <c r="BT123" s="469">
        <f t="shared" si="245"/>
        <v>49.14</v>
      </c>
      <c r="BU123" s="538">
        <f t="shared" si="246"/>
        <v>2.6107050666666662E-3</v>
      </c>
      <c r="BV123" s="538">
        <f t="shared" si="247"/>
        <v>4.0738474666666677E-2</v>
      </c>
      <c r="BW123" s="538">
        <f t="shared" si="248"/>
        <v>0</v>
      </c>
      <c r="BX123" s="538"/>
      <c r="BY123" s="538">
        <f t="shared" si="249"/>
        <v>9.9493333333333326E-3</v>
      </c>
      <c r="BZ123" s="469">
        <f t="shared" si="250"/>
        <v>53.298513066666672</v>
      </c>
      <c r="CA123" s="177">
        <f t="shared" si="251"/>
        <v>0.19960500811273715</v>
      </c>
      <c r="CB123" s="5">
        <f t="shared" si="252"/>
        <v>0.84630000000000005</v>
      </c>
      <c r="CC123" s="177">
        <f t="shared" si="253"/>
        <v>0.80915570098195577</v>
      </c>
      <c r="CD123" s="5">
        <f t="shared" si="254"/>
        <v>80.915570098195573</v>
      </c>
      <c r="CG123" s="571">
        <f t="shared" si="255"/>
        <v>-50</v>
      </c>
      <c r="CH123">
        <f t="shared" si="256"/>
        <v>-50</v>
      </c>
    </row>
    <row r="124" spans="5:86" x14ac:dyDescent="0.2">
      <c r="E124" s="174">
        <v>14</v>
      </c>
      <c r="F124" s="221">
        <f t="shared" si="257"/>
        <v>5.8800000000000005E-2</v>
      </c>
      <c r="G124" s="221"/>
      <c r="H124" s="221">
        <f t="shared" si="201"/>
        <v>0.9114000000000001</v>
      </c>
      <c r="I124" s="551">
        <f t="shared" si="202"/>
        <v>9</v>
      </c>
      <c r="J124" s="451">
        <f t="shared" si="203"/>
        <v>16.399999999999999</v>
      </c>
      <c r="K124" s="451">
        <f t="shared" si="204"/>
        <v>25.4</v>
      </c>
      <c r="L124" s="451"/>
      <c r="M124" s="221">
        <f t="shared" si="205"/>
        <v>0.64566929133858264</v>
      </c>
      <c r="N124" s="176">
        <f t="shared" si="206"/>
        <v>10.799787401574802</v>
      </c>
      <c r="O124" s="176">
        <f t="shared" si="173"/>
        <v>0.9114000000000001</v>
      </c>
      <c r="P124" s="221">
        <f t="shared" si="207"/>
        <v>0.69676047752095494</v>
      </c>
      <c r="Q124" s="221">
        <f t="shared" si="208"/>
        <v>15.5</v>
      </c>
      <c r="R124" s="221"/>
      <c r="S124" s="176">
        <f t="shared" si="209"/>
        <v>273.42748593697098</v>
      </c>
      <c r="T124" s="176">
        <f t="shared" si="210"/>
        <v>15.5</v>
      </c>
      <c r="U124" s="221">
        <f t="shared" si="211"/>
        <v>0.34853297199638672</v>
      </c>
      <c r="V124" s="221">
        <f t="shared" si="212"/>
        <v>0.34853297199638672</v>
      </c>
      <c r="W124" s="221">
        <f t="shared" si="213"/>
        <v>0.19126809438826101</v>
      </c>
      <c r="X124" s="201">
        <f t="shared" si="214"/>
        <v>350</v>
      </c>
      <c r="Y124" s="451">
        <f t="shared" si="215"/>
        <v>350</v>
      </c>
      <c r="AA124" s="221">
        <f t="shared" si="216"/>
        <v>1.8447694038245221</v>
      </c>
      <c r="AB124" s="177">
        <f t="shared" si="217"/>
        <v>1.0123734533183355</v>
      </c>
      <c r="AC124" s="177">
        <f t="shared" si="218"/>
        <v>0.32682922508702178</v>
      </c>
      <c r="AD124" s="177"/>
      <c r="AE124" s="177">
        <f t="shared" si="219"/>
        <v>0.45</v>
      </c>
      <c r="AF124" s="555">
        <f t="shared" si="220"/>
        <v>318.69918699186996</v>
      </c>
      <c r="AG124" s="538">
        <f t="shared" si="221"/>
        <v>6.4574999999999994E-2</v>
      </c>
      <c r="AI124" s="177">
        <f t="shared" si="222"/>
        <v>0.78247470672646446</v>
      </c>
      <c r="AJ124" s="177">
        <f t="shared" si="223"/>
        <v>0.82</v>
      </c>
      <c r="AK124" s="177">
        <f t="shared" si="224"/>
        <v>1.1821138211382114</v>
      </c>
      <c r="AM124" s="555">
        <f t="shared" si="225"/>
        <v>58.800000000000004</v>
      </c>
      <c r="AN124" s="469">
        <f t="shared" si="226"/>
        <v>318.69918699186996</v>
      </c>
      <c r="AP124" s="469">
        <f t="shared" si="227"/>
        <v>58.800000000000004</v>
      </c>
      <c r="AQ124" s="469">
        <f t="shared" si="228"/>
        <v>318.69918699186996</v>
      </c>
      <c r="AS124" s="5">
        <f t="shared" si="175"/>
        <v>3.1377551020408156</v>
      </c>
      <c r="AT124" s="5">
        <f t="shared" si="229"/>
        <v>0.82</v>
      </c>
      <c r="AU124" s="5">
        <f t="shared" si="230"/>
        <v>2.3177551020408158</v>
      </c>
      <c r="AV124" s="5"/>
      <c r="AW124" s="177">
        <f t="shared" si="231"/>
        <v>0.26133333333333336</v>
      </c>
      <c r="AX124" s="177">
        <f t="shared" si="150"/>
        <v>0.96431999999999995</v>
      </c>
      <c r="AY124" s="177">
        <f t="shared" si="151"/>
        <v>0.30285333333333331</v>
      </c>
      <c r="AZ124" s="177">
        <f t="shared" si="178"/>
        <v>3.1841155234657039</v>
      </c>
      <c r="BA124" s="469">
        <f t="shared" si="232"/>
        <v>21.317779700075526</v>
      </c>
      <c r="BB124" s="469">
        <f t="shared" si="233"/>
        <v>1.101793135483871</v>
      </c>
      <c r="BC124" s="5">
        <f t="shared" si="258"/>
        <v>0.43465061728395049</v>
      </c>
      <c r="BD124" s="469">
        <f t="shared" si="235"/>
        <v>26.416592592592586</v>
      </c>
      <c r="BF124" s="177">
        <f t="shared" si="179"/>
        <v>0.24201965025821995</v>
      </c>
      <c r="BG124" s="177">
        <f t="shared" si="156"/>
        <v>0.40689043024163418</v>
      </c>
      <c r="BI124" s="538">
        <f t="shared" si="236"/>
        <v>6.4430862222222213E-3</v>
      </c>
      <c r="BJ124" s="538">
        <f t="shared" si="237"/>
        <v>3.3189333333333328E-2</v>
      </c>
      <c r="BK124" s="538">
        <f t="shared" si="238"/>
        <v>1.5934959349593495E-2</v>
      </c>
      <c r="BL124" s="538">
        <f t="shared" si="239"/>
        <v>4.6262692682926827E-2</v>
      </c>
      <c r="BM124">
        <f t="shared" si="240"/>
        <v>2.6099999999999999E-3</v>
      </c>
      <c r="BN124">
        <f t="shared" si="241"/>
        <v>1.2747967479674799E-5</v>
      </c>
      <c r="BO124" s="538">
        <f t="shared" si="242"/>
        <v>0.10457713556354706</v>
      </c>
      <c r="BP124" s="469">
        <f t="shared" si="243"/>
        <v>104.44007158807587</v>
      </c>
      <c r="BQ124" s="538">
        <f t="shared" si="244"/>
        <v>5.2920000000000009E-2</v>
      </c>
      <c r="BT124" s="469">
        <f t="shared" si="245"/>
        <v>52.920000000000009</v>
      </c>
      <c r="BU124" s="538">
        <f t="shared" si="246"/>
        <v>2.811528533333333E-3</v>
      </c>
      <c r="BV124" s="538">
        <f t="shared" si="247"/>
        <v>3.9734357333333324E-2</v>
      </c>
      <c r="BW124" s="538">
        <f t="shared" si="248"/>
        <v>0</v>
      </c>
      <c r="BX124" s="538"/>
      <c r="BY124" s="538">
        <f t="shared" si="249"/>
        <v>1.0714666666666667E-2</v>
      </c>
      <c r="BZ124" s="469">
        <f t="shared" si="250"/>
        <v>53.260552533333325</v>
      </c>
      <c r="CA124" s="177">
        <f t="shared" si="251"/>
        <v>0.21062062412140919</v>
      </c>
      <c r="CB124" s="5">
        <f t="shared" si="252"/>
        <v>0.9114000000000001</v>
      </c>
      <c r="CC124" s="177">
        <f t="shared" si="253"/>
        <v>0.81228453417571156</v>
      </c>
      <c r="CD124" s="5">
        <f t="shared" si="254"/>
        <v>81.22845341757116</v>
      </c>
      <c r="CG124" s="571">
        <f t="shared" si="255"/>
        <v>-50</v>
      </c>
      <c r="CH124">
        <f t="shared" si="256"/>
        <v>-50</v>
      </c>
    </row>
    <row r="125" spans="5:86" x14ac:dyDescent="0.2">
      <c r="E125" s="174">
        <v>15</v>
      </c>
      <c r="F125" s="221">
        <f t="shared" si="257"/>
        <v>6.3E-2</v>
      </c>
      <c r="G125" s="221"/>
      <c r="H125" s="221">
        <f t="shared" si="201"/>
        <v>0.97650000000000003</v>
      </c>
      <c r="I125" s="551">
        <f t="shared" si="202"/>
        <v>9</v>
      </c>
      <c r="J125" s="451">
        <f t="shared" si="203"/>
        <v>16.399999999999999</v>
      </c>
      <c r="K125" s="451">
        <f t="shared" si="204"/>
        <v>25.4</v>
      </c>
      <c r="L125" s="451"/>
      <c r="M125" s="221">
        <f t="shared" si="205"/>
        <v>0.64566929133858264</v>
      </c>
      <c r="N125" s="176">
        <f t="shared" si="206"/>
        <v>10.799787401574802</v>
      </c>
      <c r="O125" s="176">
        <f t="shared" si="173"/>
        <v>0.97650000000000003</v>
      </c>
      <c r="P125" s="221">
        <f t="shared" si="207"/>
        <v>0.69676047752095494</v>
      </c>
      <c r="Q125" s="221">
        <f t="shared" si="208"/>
        <v>15.5</v>
      </c>
      <c r="R125" s="221"/>
      <c r="S125" s="176">
        <f t="shared" si="209"/>
        <v>254.60313072700276</v>
      </c>
      <c r="T125" s="176">
        <f t="shared" si="210"/>
        <v>15.5</v>
      </c>
      <c r="U125" s="221">
        <f t="shared" si="211"/>
        <v>0.37342818428184288</v>
      </c>
      <c r="V125" s="221">
        <f t="shared" si="212"/>
        <v>0.37342818428184293</v>
      </c>
      <c r="W125" s="221">
        <f t="shared" si="213"/>
        <v>0.20493010113027968</v>
      </c>
      <c r="X125" s="201">
        <f t="shared" si="214"/>
        <v>350</v>
      </c>
      <c r="Y125" s="451">
        <f t="shared" si="215"/>
        <v>350</v>
      </c>
      <c r="AA125" s="221">
        <f t="shared" si="216"/>
        <v>1.8447694038245221</v>
      </c>
      <c r="AB125" s="177">
        <f t="shared" si="217"/>
        <v>1.0123734533183355</v>
      </c>
      <c r="AC125" s="177">
        <f t="shared" si="218"/>
        <v>0.32682922508702178</v>
      </c>
      <c r="AD125" s="177"/>
      <c r="AE125" s="177">
        <f t="shared" si="219"/>
        <v>0.45</v>
      </c>
      <c r="AF125" s="555">
        <f t="shared" si="220"/>
        <v>341.46341463414637</v>
      </c>
      <c r="AG125" s="538">
        <f t="shared" si="221"/>
        <v>6.4574999999999994E-2</v>
      </c>
      <c r="AI125" s="177">
        <f t="shared" si="222"/>
        <v>0.80993826925266343</v>
      </c>
      <c r="AJ125" s="177">
        <f t="shared" si="223"/>
        <v>0.82</v>
      </c>
      <c r="AK125" s="177">
        <f t="shared" si="224"/>
        <v>1.1951219512195121</v>
      </c>
      <c r="AM125" s="555">
        <f t="shared" si="225"/>
        <v>63</v>
      </c>
      <c r="AN125" s="469">
        <f t="shared" si="226"/>
        <v>341.46341463414637</v>
      </c>
      <c r="AP125" s="469">
        <f t="shared" si="227"/>
        <v>63</v>
      </c>
      <c r="AQ125" s="469">
        <f t="shared" si="228"/>
        <v>341.46341463414637</v>
      </c>
      <c r="AS125" s="5">
        <f t="shared" si="175"/>
        <v>2.9285714285714284</v>
      </c>
      <c r="AT125" s="5">
        <f t="shared" si="229"/>
        <v>0.82</v>
      </c>
      <c r="AU125" s="5">
        <f t="shared" si="230"/>
        <v>2.1085714285714285</v>
      </c>
      <c r="AV125" s="5"/>
      <c r="AW125" s="177">
        <f t="shared" si="231"/>
        <v>0.28000000000000003</v>
      </c>
      <c r="AX125" s="177">
        <f t="shared" si="150"/>
        <v>1.0331999999999999</v>
      </c>
      <c r="AY125" s="177">
        <f t="shared" si="151"/>
        <v>0.29519999999999996</v>
      </c>
      <c r="AZ125" s="177">
        <f t="shared" si="178"/>
        <v>3.5</v>
      </c>
      <c r="BA125" s="469">
        <f t="shared" si="232"/>
        <v>21.317779700075526</v>
      </c>
      <c r="BB125" s="469">
        <f t="shared" si="233"/>
        <v>1.2558135483870969</v>
      </c>
      <c r="BC125" s="5">
        <f t="shared" si="258"/>
        <v>0.42366666666666658</v>
      </c>
      <c r="BD125" s="469">
        <f t="shared" si="235"/>
        <v>25.781666666666666</v>
      </c>
      <c r="BF125" s="177">
        <f t="shared" si="179"/>
        <v>0.25051413799091926</v>
      </c>
      <c r="BG125" s="177">
        <f t="shared" si="156"/>
        <v>0.40171631781644118</v>
      </c>
      <c r="BI125" s="538">
        <f t="shared" si="236"/>
        <v>6.9033066666666669E-3</v>
      </c>
      <c r="BJ125" s="538">
        <f t="shared" si="237"/>
        <v>3.5559999999999994E-2</v>
      </c>
      <c r="BK125" s="538">
        <f t="shared" si="238"/>
        <v>1.7073170731707318E-2</v>
      </c>
      <c r="BL125" s="538">
        <f t="shared" si="239"/>
        <v>4.956717073170732E-2</v>
      </c>
      <c r="BM125">
        <f t="shared" si="240"/>
        <v>2.6099999999999999E-3</v>
      </c>
      <c r="BN125">
        <f t="shared" si="241"/>
        <v>1.3658536585365855E-5</v>
      </c>
      <c r="BO125" s="538">
        <f t="shared" si="242"/>
        <v>0.11186979075330709</v>
      </c>
      <c r="BP125" s="469">
        <f t="shared" si="243"/>
        <v>111.71364813008131</v>
      </c>
      <c r="BQ125" s="538">
        <f t="shared" si="244"/>
        <v>5.67E-2</v>
      </c>
      <c r="BT125" s="469">
        <f t="shared" si="245"/>
        <v>56.7</v>
      </c>
      <c r="BU125" s="538">
        <f t="shared" si="246"/>
        <v>3.0123519999999998E-3</v>
      </c>
      <c r="BV125" s="538">
        <f t="shared" si="247"/>
        <v>3.8730239999999999E-2</v>
      </c>
      <c r="BW125" s="538">
        <f t="shared" si="248"/>
        <v>0</v>
      </c>
      <c r="BX125" s="538"/>
      <c r="BY125" s="538">
        <f t="shared" si="249"/>
        <v>1.1480000000000001E-2</v>
      </c>
      <c r="BZ125" s="469">
        <f t="shared" si="250"/>
        <v>53.222591999999999</v>
      </c>
      <c r="CA125" s="177">
        <f t="shared" si="251"/>
        <v>0.22163624013008129</v>
      </c>
      <c r="CB125" s="5">
        <f t="shared" si="252"/>
        <v>0.97650000000000003</v>
      </c>
      <c r="CC125" s="177">
        <f t="shared" si="253"/>
        <v>0.81501582816156348</v>
      </c>
      <c r="CD125" s="5">
        <f t="shared" si="254"/>
        <v>81.501582816156343</v>
      </c>
      <c r="CG125" s="571">
        <f t="shared" si="255"/>
        <v>-50</v>
      </c>
      <c r="CH125">
        <f t="shared" si="256"/>
        <v>-50</v>
      </c>
    </row>
    <row r="126" spans="5:86" x14ac:dyDescent="0.2">
      <c r="E126" s="174">
        <v>16</v>
      </c>
      <c r="F126" s="221">
        <f t="shared" si="257"/>
        <v>6.7199999999999996E-2</v>
      </c>
      <c r="G126" s="221"/>
      <c r="H126" s="221">
        <f t="shared" si="201"/>
        <v>1.0415999999999999</v>
      </c>
      <c r="I126" s="551">
        <f t="shared" si="202"/>
        <v>9</v>
      </c>
      <c r="J126" s="451">
        <f t="shared" si="203"/>
        <v>16.399999999999999</v>
      </c>
      <c r="K126" s="451">
        <f t="shared" si="204"/>
        <v>25.4</v>
      </c>
      <c r="L126" s="451"/>
      <c r="M126" s="221">
        <f t="shared" si="205"/>
        <v>0.64566929133858264</v>
      </c>
      <c r="N126" s="176">
        <f t="shared" si="206"/>
        <v>10.799787401574802</v>
      </c>
      <c r="O126" s="176">
        <f t="shared" si="173"/>
        <v>1.0415999999999999</v>
      </c>
      <c r="P126" s="221">
        <f t="shared" si="207"/>
        <v>0.69676047752095494</v>
      </c>
      <c r="Q126" s="221">
        <f t="shared" si="208"/>
        <v>15.5</v>
      </c>
      <c r="R126" s="221"/>
      <c r="S126" s="176">
        <f t="shared" si="209"/>
        <v>238.13210094766424</v>
      </c>
      <c r="T126" s="176">
        <f t="shared" si="210"/>
        <v>15.5</v>
      </c>
      <c r="U126" s="221">
        <f t="shared" si="211"/>
        <v>0.39832339656729898</v>
      </c>
      <c r="V126" s="221">
        <f t="shared" si="212"/>
        <v>0.39832339656729904</v>
      </c>
      <c r="W126" s="221">
        <f t="shared" si="213"/>
        <v>0.21859210787229824</v>
      </c>
      <c r="X126" s="201">
        <f t="shared" si="214"/>
        <v>350</v>
      </c>
      <c r="Y126" s="451">
        <f t="shared" si="215"/>
        <v>350</v>
      </c>
      <c r="AA126" s="221">
        <f t="shared" si="216"/>
        <v>1.8447694038245221</v>
      </c>
      <c r="AB126" s="177">
        <f t="shared" si="217"/>
        <v>1.0123734533183355</v>
      </c>
      <c r="AC126" s="177">
        <f t="shared" si="218"/>
        <v>0.32682922508702178</v>
      </c>
      <c r="AD126" s="177"/>
      <c r="AE126" s="177">
        <f t="shared" si="219"/>
        <v>0.45</v>
      </c>
      <c r="AF126" s="555">
        <f t="shared" si="220"/>
        <v>364.22764227642278</v>
      </c>
      <c r="AG126" s="538">
        <f t="shared" si="221"/>
        <v>6.4574999999999994E-2</v>
      </c>
      <c r="AI126" s="177">
        <f t="shared" si="222"/>
        <v>0.83650064753909981</v>
      </c>
      <c r="AJ126" s="177">
        <f t="shared" si="223"/>
        <v>0.83650064753909981</v>
      </c>
      <c r="AK126" s="177">
        <f t="shared" si="224"/>
        <v>1.2110004316927332</v>
      </c>
      <c r="AM126" s="555">
        <f t="shared" si="225"/>
        <v>67.2</v>
      </c>
      <c r="AN126" s="469">
        <f t="shared" si="226"/>
        <v>350</v>
      </c>
      <c r="AP126" s="469">
        <f t="shared" si="227"/>
        <v>67.2</v>
      </c>
      <c r="AQ126" s="469">
        <f t="shared" si="228"/>
        <v>350</v>
      </c>
      <c r="AS126" s="5">
        <f t="shared" si="175"/>
        <v>2.8571428571428572</v>
      </c>
      <c r="AT126" s="5">
        <f t="shared" si="229"/>
        <v>0.83650064753909981</v>
      </c>
      <c r="AU126" s="5">
        <f t="shared" si="230"/>
        <v>2.0206422096037575</v>
      </c>
      <c r="AV126" s="5"/>
      <c r="AW126" s="177">
        <f t="shared" si="231"/>
        <v>0.29277522663868494</v>
      </c>
      <c r="AX126" s="177">
        <f t="shared" si="150"/>
        <v>1.1020799999999999</v>
      </c>
      <c r="AY126" s="177">
        <f t="shared" si="151"/>
        <v>0.2957969904362166</v>
      </c>
      <c r="AZ126" s="177">
        <f t="shared" si="178"/>
        <v>3.7257985565530762</v>
      </c>
      <c r="BA126" s="469">
        <f t="shared" si="232"/>
        <v>21.317779700075526</v>
      </c>
      <c r="BB126" s="469">
        <f t="shared" si="233"/>
        <v>1.4198767483870962</v>
      </c>
      <c r="BC126" s="5">
        <f t="shared" si="258"/>
        <v>0.43306603405828659</v>
      </c>
      <c r="BD126" s="469">
        <f t="shared" si="235"/>
        <v>26.369739821274976</v>
      </c>
      <c r="BF126" s="177">
        <f t="shared" si="179"/>
        <v>0.26132010080442791</v>
      </c>
      <c r="BG126" s="177">
        <f t="shared" si="156"/>
        <v>0.40614806334637132</v>
      </c>
      <c r="BI126" s="538">
        <f t="shared" si="236"/>
        <v>7.5117014592880008E-3</v>
      </c>
      <c r="BJ126" s="538">
        <f t="shared" si="237"/>
        <v>3.7182453783112981E-2</v>
      </c>
      <c r="BK126" s="538">
        <f t="shared" si="238"/>
        <v>1.7499999999999998E-2</v>
      </c>
      <c r="BL126" s="538">
        <f t="shared" si="239"/>
        <v>5.0806349999999993E-2</v>
      </c>
      <c r="BM126">
        <f t="shared" si="240"/>
        <v>2.6099999999999999E-3</v>
      </c>
      <c r="BN126">
        <f t="shared" si="241"/>
        <v>1.4E-5</v>
      </c>
      <c r="BO126" s="538">
        <f t="shared" si="242"/>
        <v>0.11578497266873639</v>
      </c>
      <c r="BP126" s="469">
        <f t="shared" si="243"/>
        <v>115.61050524240096</v>
      </c>
      <c r="BQ126" s="538">
        <f t="shared" si="244"/>
        <v>6.0479999999999999E-2</v>
      </c>
      <c r="BT126" s="469">
        <f t="shared" si="245"/>
        <v>60.48</v>
      </c>
      <c r="BU126" s="538">
        <f t="shared" si="246"/>
        <v>3.2778333640529457E-3</v>
      </c>
      <c r="BV126" s="538">
        <f t="shared" si="247"/>
        <v>3.9589499846401928E-2</v>
      </c>
      <c r="BW126" s="538">
        <f t="shared" si="248"/>
        <v>0</v>
      </c>
      <c r="BX126" s="538"/>
      <c r="BY126" s="538">
        <f t="shared" si="249"/>
        <v>1.2245333333333334E-2</v>
      </c>
      <c r="BZ126" s="469">
        <f t="shared" si="250"/>
        <v>55.112666543788215</v>
      </c>
      <c r="CA126" s="177">
        <f t="shared" si="251"/>
        <v>0.23120317178618915</v>
      </c>
      <c r="CB126" s="5">
        <f t="shared" si="252"/>
        <v>1.0415999999999999</v>
      </c>
      <c r="CC126" s="177">
        <f t="shared" si="253"/>
        <v>0.81835119764689934</v>
      </c>
      <c r="CD126" s="5">
        <f t="shared" si="254"/>
        <v>81.835119764689935</v>
      </c>
      <c r="CG126" s="571">
        <f t="shared" si="255"/>
        <v>-50</v>
      </c>
      <c r="CH126">
        <f t="shared" si="256"/>
        <v>-50</v>
      </c>
    </row>
    <row r="127" spans="5:86" x14ac:dyDescent="0.2">
      <c r="E127" s="174">
        <v>17</v>
      </c>
      <c r="F127" s="221">
        <f t="shared" si="257"/>
        <v>7.1400000000000005E-2</v>
      </c>
      <c r="G127" s="221"/>
      <c r="H127" s="221">
        <f t="shared" si="201"/>
        <v>1.1067</v>
      </c>
      <c r="I127" s="551">
        <f t="shared" si="202"/>
        <v>9</v>
      </c>
      <c r="J127" s="451">
        <f t="shared" si="203"/>
        <v>16.399999999999999</v>
      </c>
      <c r="K127" s="451">
        <f t="shared" si="204"/>
        <v>25.4</v>
      </c>
      <c r="L127" s="451"/>
      <c r="M127" s="221">
        <f t="shared" si="205"/>
        <v>0.64566929133858264</v>
      </c>
      <c r="N127" s="176">
        <f t="shared" si="206"/>
        <v>10.799787401574802</v>
      </c>
      <c r="O127" s="176">
        <f t="shared" si="173"/>
        <v>1.1067</v>
      </c>
      <c r="P127" s="221">
        <f t="shared" si="207"/>
        <v>0.69676047752095494</v>
      </c>
      <c r="Q127" s="221">
        <f t="shared" si="208"/>
        <v>15.5</v>
      </c>
      <c r="R127" s="221"/>
      <c r="S127" s="176">
        <f t="shared" si="209"/>
        <v>223.59910553201135</v>
      </c>
      <c r="T127" s="176">
        <f t="shared" si="210"/>
        <v>15.5</v>
      </c>
      <c r="U127" s="221">
        <f t="shared" si="211"/>
        <v>0.42321860885275525</v>
      </c>
      <c r="V127" s="221">
        <f t="shared" si="212"/>
        <v>0.42321860885275525</v>
      </c>
      <c r="W127" s="221">
        <f t="shared" si="213"/>
        <v>0.23225411461431694</v>
      </c>
      <c r="X127" s="201">
        <f t="shared" si="214"/>
        <v>350</v>
      </c>
      <c r="Y127" s="451">
        <f t="shared" si="215"/>
        <v>350</v>
      </c>
      <c r="AA127" s="221">
        <f t="shared" si="216"/>
        <v>1.8447694038245221</v>
      </c>
      <c r="AB127" s="177">
        <f t="shared" si="217"/>
        <v>1.0123734533183355</v>
      </c>
      <c r="AC127" s="177">
        <f t="shared" si="218"/>
        <v>0.32682922508702178</v>
      </c>
      <c r="AD127" s="177"/>
      <c r="AE127" s="177">
        <f t="shared" si="219"/>
        <v>0.45</v>
      </c>
      <c r="AF127" s="555">
        <f t="shared" si="220"/>
        <v>386.99186991869925</v>
      </c>
      <c r="AG127" s="538">
        <f t="shared" si="221"/>
        <v>6.4574999999999994E-2</v>
      </c>
      <c r="AI127" s="177">
        <f t="shared" si="222"/>
        <v>0.86224513142531956</v>
      </c>
      <c r="AJ127" s="177">
        <f t="shared" si="223"/>
        <v>0.86224513142531956</v>
      </c>
      <c r="AK127" s="177">
        <f t="shared" si="224"/>
        <v>1.228163420950213</v>
      </c>
      <c r="AM127" s="555">
        <f t="shared" si="225"/>
        <v>71.400000000000006</v>
      </c>
      <c r="AN127" s="469">
        <f t="shared" si="226"/>
        <v>350</v>
      </c>
      <c r="AP127" s="469">
        <f t="shared" si="227"/>
        <v>71.400000000000006</v>
      </c>
      <c r="AQ127" s="469">
        <f t="shared" si="228"/>
        <v>350</v>
      </c>
      <c r="AS127" s="5">
        <f t="shared" si="175"/>
        <v>2.8571428571428572</v>
      </c>
      <c r="AT127" s="5">
        <f t="shared" si="229"/>
        <v>0.86224513142531956</v>
      </c>
      <c r="AU127" s="5">
        <f t="shared" si="230"/>
        <v>1.9948977257175375</v>
      </c>
      <c r="AV127" s="5"/>
      <c r="AW127" s="177">
        <f t="shared" si="231"/>
        <v>0.30178579599886185</v>
      </c>
      <c r="AX127" s="177">
        <f t="shared" si="150"/>
        <v>1.17096</v>
      </c>
      <c r="AY127" s="177">
        <f t="shared" si="151"/>
        <v>0.30101589904599307</v>
      </c>
      <c r="AZ127" s="177">
        <f t="shared" si="178"/>
        <v>3.8900270839882971</v>
      </c>
      <c r="BA127" s="469">
        <f t="shared" si="232"/>
        <v>21.317779700075526</v>
      </c>
      <c r="BB127" s="469">
        <f t="shared" si="233"/>
        <v>1.5939827354838707</v>
      </c>
      <c r="BC127" s="5">
        <f t="shared" si="258"/>
        <v>0.4542702290229626</v>
      </c>
      <c r="BD127" s="469">
        <f t="shared" si="235"/>
        <v>27.66610263026665</v>
      </c>
      <c r="BF127" s="177">
        <f t="shared" si="179"/>
        <v>0.27347619018762886</v>
      </c>
      <c r="BG127" s="177">
        <f t="shared" si="156"/>
        <v>0.41597234958910673</v>
      </c>
      <c r="BI127" s="538">
        <f t="shared" si="236"/>
        <v>8.2268149259494168E-3</v>
      </c>
      <c r="BJ127" s="538">
        <f t="shared" si="237"/>
        <v>3.832679609185545E-2</v>
      </c>
      <c r="BK127" s="538">
        <f t="shared" si="238"/>
        <v>1.7499999999999998E-2</v>
      </c>
      <c r="BL127" s="538">
        <f t="shared" si="239"/>
        <v>5.0806349999999993E-2</v>
      </c>
      <c r="BM127">
        <f t="shared" si="240"/>
        <v>2.6099999999999999E-3</v>
      </c>
      <c r="BN127">
        <f t="shared" si="241"/>
        <v>1.4E-5</v>
      </c>
      <c r="BO127" s="538">
        <f t="shared" si="242"/>
        <v>0.11766255481527702</v>
      </c>
      <c r="BP127" s="469">
        <f t="shared" si="243"/>
        <v>117.46996101780485</v>
      </c>
      <c r="BQ127" s="538">
        <f t="shared" si="244"/>
        <v>6.4260000000000012E-2</v>
      </c>
      <c r="BT127" s="469">
        <f t="shared" si="245"/>
        <v>64.260000000000005</v>
      </c>
      <c r="BU127" s="538">
        <f t="shared" si="246"/>
        <v>3.5898828767779276E-3</v>
      </c>
      <c r="BV127" s="538">
        <f t="shared" si="247"/>
        <v>4.152791894944368E-2</v>
      </c>
      <c r="BW127" s="538">
        <f t="shared" si="248"/>
        <v>0</v>
      </c>
      <c r="BX127" s="538"/>
      <c r="BY127" s="538">
        <f t="shared" si="249"/>
        <v>1.3010666666666667E-2</v>
      </c>
      <c r="BZ127" s="469">
        <f t="shared" si="250"/>
        <v>58.128468492888274</v>
      </c>
      <c r="CA127" s="177">
        <f t="shared" si="251"/>
        <v>0.23985842951069314</v>
      </c>
      <c r="CB127" s="5">
        <f t="shared" si="252"/>
        <v>1.1067</v>
      </c>
      <c r="CC127" s="177">
        <f t="shared" si="253"/>
        <v>0.82187298801593633</v>
      </c>
      <c r="CD127" s="5">
        <f t="shared" si="254"/>
        <v>82.187298801593627</v>
      </c>
      <c r="CG127" s="571">
        <f t="shared" si="255"/>
        <v>-50</v>
      </c>
      <c r="CH127">
        <f t="shared" si="256"/>
        <v>-50</v>
      </c>
    </row>
    <row r="128" spans="5:86" x14ac:dyDescent="0.2">
      <c r="E128" s="174">
        <v>18</v>
      </c>
      <c r="F128" s="221">
        <f t="shared" si="257"/>
        <v>7.5600000000000001E-2</v>
      </c>
      <c r="G128" s="221"/>
      <c r="H128" s="221">
        <f t="shared" si="201"/>
        <v>1.1718</v>
      </c>
      <c r="I128" s="551">
        <f t="shared" si="202"/>
        <v>9</v>
      </c>
      <c r="J128" s="451">
        <f t="shared" si="203"/>
        <v>16.399999999999999</v>
      </c>
      <c r="K128" s="451">
        <f t="shared" si="204"/>
        <v>25.4</v>
      </c>
      <c r="L128" s="451"/>
      <c r="M128" s="221">
        <f t="shared" si="205"/>
        <v>0.64566929133858264</v>
      </c>
      <c r="N128" s="176">
        <f t="shared" si="206"/>
        <v>10.799787401574802</v>
      </c>
      <c r="O128" s="176">
        <f t="shared" si="173"/>
        <v>1.1718</v>
      </c>
      <c r="P128" s="221">
        <f t="shared" si="207"/>
        <v>0.69676047752095494</v>
      </c>
      <c r="Q128" s="221">
        <f t="shared" si="208"/>
        <v>15.5</v>
      </c>
      <c r="R128" s="221"/>
      <c r="S128" s="176">
        <f t="shared" si="209"/>
        <v>210.68114032815163</v>
      </c>
      <c r="T128" s="176">
        <f t="shared" si="210"/>
        <v>15.5</v>
      </c>
      <c r="U128" s="221">
        <f t="shared" si="211"/>
        <v>0.44811382113821141</v>
      </c>
      <c r="V128" s="221">
        <f t="shared" si="212"/>
        <v>0.44811382113821147</v>
      </c>
      <c r="W128" s="221">
        <f t="shared" si="213"/>
        <v>0.24591612135633556</v>
      </c>
      <c r="X128" s="201">
        <f t="shared" si="214"/>
        <v>350</v>
      </c>
      <c r="Y128" s="451">
        <f t="shared" si="215"/>
        <v>350</v>
      </c>
      <c r="AA128" s="221">
        <f t="shared" si="216"/>
        <v>1.8447694038245221</v>
      </c>
      <c r="AB128" s="177">
        <f t="shared" si="217"/>
        <v>1.0123734533183355</v>
      </c>
      <c r="AC128" s="177">
        <f t="shared" si="218"/>
        <v>0.32682922508702178</v>
      </c>
      <c r="AD128" s="177"/>
      <c r="AE128" s="177">
        <f t="shared" si="219"/>
        <v>0.45</v>
      </c>
      <c r="AF128" s="555">
        <f t="shared" si="220"/>
        <v>409.75609756097566</v>
      </c>
      <c r="AG128" s="538">
        <f t="shared" si="221"/>
        <v>6.4574999999999994E-2</v>
      </c>
      <c r="AI128" s="177">
        <f t="shared" si="222"/>
        <v>0.88724292051275333</v>
      </c>
      <c r="AJ128" s="177">
        <f t="shared" si="223"/>
        <v>0.88724292051275333</v>
      </c>
      <c r="AK128" s="177">
        <f t="shared" si="224"/>
        <v>1.2448286136751689</v>
      </c>
      <c r="AM128" s="555">
        <f t="shared" si="225"/>
        <v>75.599999999999994</v>
      </c>
      <c r="AN128" s="469">
        <f t="shared" si="226"/>
        <v>350</v>
      </c>
      <c r="AP128" s="469">
        <f t="shared" si="227"/>
        <v>75.599999999999994</v>
      </c>
      <c r="AQ128" s="469">
        <f t="shared" si="228"/>
        <v>350</v>
      </c>
      <c r="AS128" s="5">
        <f t="shared" si="175"/>
        <v>2.8571428571428572</v>
      </c>
      <c r="AT128" s="5">
        <f t="shared" si="229"/>
        <v>0.88724292051275344</v>
      </c>
      <c r="AU128" s="5">
        <f t="shared" si="230"/>
        <v>1.9698999366301038</v>
      </c>
      <c r="AV128" s="5"/>
      <c r="AW128" s="177">
        <f t="shared" si="231"/>
        <v>0.31053502217946372</v>
      </c>
      <c r="AX128" s="177">
        <f t="shared" si="150"/>
        <v>1.2398399999999998</v>
      </c>
      <c r="AY128" s="177">
        <f t="shared" si="151"/>
        <v>0.30586146025637667</v>
      </c>
      <c r="AZ128" s="177">
        <f t="shared" si="178"/>
        <v>4.0535999499928872</v>
      </c>
      <c r="BA128" s="469">
        <f t="shared" si="232"/>
        <v>21.317779700075526</v>
      </c>
      <c r="BB128" s="469">
        <f t="shared" si="233"/>
        <v>1.7781315096774191</v>
      </c>
      <c r="BC128" s="5">
        <f t="shared" si="258"/>
        <v>0.47496476249859154</v>
      </c>
      <c r="BD128" s="469">
        <f t="shared" si="235"/>
        <v>28.931885749915498</v>
      </c>
      <c r="BF128" s="177">
        <f t="shared" si="179"/>
        <v>0.28545470712512566</v>
      </c>
      <c r="BG128" s="177">
        <f t="shared" si="156"/>
        <v>0.42534175692037185</v>
      </c>
      <c r="BI128" s="538">
        <f t="shared" si="236"/>
        <v>8.96328288018804E-3</v>
      </c>
      <c r="BJ128" s="538">
        <f t="shared" si="237"/>
        <v>3.9437947816791885E-2</v>
      </c>
      <c r="BK128" s="538">
        <f t="shared" si="238"/>
        <v>1.7499999999999998E-2</v>
      </c>
      <c r="BL128" s="538">
        <f t="shared" si="239"/>
        <v>5.0806349999999993E-2</v>
      </c>
      <c r="BM128">
        <f t="shared" si="240"/>
        <v>2.6099999999999999E-3</v>
      </c>
      <c r="BN128">
        <f t="shared" si="241"/>
        <v>1.4E-5</v>
      </c>
      <c r="BO128" s="538">
        <f t="shared" si="242"/>
        <v>0.11952924928739959</v>
      </c>
      <c r="BP128" s="469">
        <f t="shared" si="243"/>
        <v>119.31758069697993</v>
      </c>
      <c r="BQ128" s="538">
        <f t="shared" si="244"/>
        <v>6.8040000000000003E-2</v>
      </c>
      <c r="BT128" s="469">
        <f t="shared" si="245"/>
        <v>68.040000000000006</v>
      </c>
      <c r="BU128" s="538">
        <f t="shared" si="246"/>
        <v>3.9112507113547813E-3</v>
      </c>
      <c r="BV128" s="538">
        <f t="shared" si="247"/>
        <v>4.3419746443226083E-2</v>
      </c>
      <c r="BW128" s="538">
        <f t="shared" si="248"/>
        <v>0</v>
      </c>
      <c r="BX128" s="538"/>
      <c r="BY128" s="538">
        <f t="shared" si="249"/>
        <v>1.3775999999999998E-2</v>
      </c>
      <c r="BZ128" s="469">
        <f t="shared" si="250"/>
        <v>61.10699715458086</v>
      </c>
      <c r="CA128" s="177">
        <f t="shared" si="251"/>
        <v>0.24846457785156081</v>
      </c>
      <c r="CB128" s="5">
        <f t="shared" si="252"/>
        <v>1.1718</v>
      </c>
      <c r="CC128" s="177">
        <f t="shared" si="253"/>
        <v>0.82505754087916905</v>
      </c>
      <c r="CD128" s="5">
        <f t="shared" si="254"/>
        <v>82.505754087916898</v>
      </c>
      <c r="CG128" s="571">
        <f t="shared" si="255"/>
        <v>-50</v>
      </c>
      <c r="CH128">
        <f t="shared" si="256"/>
        <v>-50</v>
      </c>
    </row>
    <row r="129" spans="5:86" x14ac:dyDescent="0.2">
      <c r="E129" s="174">
        <v>19</v>
      </c>
      <c r="F129" s="221">
        <f t="shared" si="257"/>
        <v>7.9799999999999996E-2</v>
      </c>
      <c r="G129" s="221"/>
      <c r="H129" s="221">
        <f t="shared" si="201"/>
        <v>1.2368999999999999</v>
      </c>
      <c r="I129" s="551">
        <f t="shared" si="202"/>
        <v>9</v>
      </c>
      <c r="J129" s="451">
        <f t="shared" si="203"/>
        <v>16.399999999999999</v>
      </c>
      <c r="K129" s="451">
        <f t="shared" si="204"/>
        <v>25.4</v>
      </c>
      <c r="L129" s="451"/>
      <c r="M129" s="221">
        <f t="shared" si="205"/>
        <v>0.64566929133858264</v>
      </c>
      <c r="N129" s="176">
        <f t="shared" si="206"/>
        <v>10.799787401574802</v>
      </c>
      <c r="O129" s="176">
        <f t="shared" si="173"/>
        <v>1.2368999999999999</v>
      </c>
      <c r="P129" s="221">
        <f t="shared" si="207"/>
        <v>0.69676047752095494</v>
      </c>
      <c r="Q129" s="221">
        <f t="shared" si="208"/>
        <v>15.5</v>
      </c>
      <c r="R129" s="221"/>
      <c r="S129" s="176">
        <f t="shared" si="209"/>
        <v>199.12320206904332</v>
      </c>
      <c r="T129" s="176">
        <f t="shared" si="210"/>
        <v>15.5</v>
      </c>
      <c r="U129" s="221">
        <f t="shared" si="211"/>
        <v>0.47300903342366757</v>
      </c>
      <c r="V129" s="221">
        <f t="shared" si="212"/>
        <v>0.47300903342366757</v>
      </c>
      <c r="W129" s="221">
        <f t="shared" si="213"/>
        <v>0.25957812809835418</v>
      </c>
      <c r="X129" s="201">
        <f t="shared" si="214"/>
        <v>350</v>
      </c>
      <c r="Y129" s="451">
        <f t="shared" si="215"/>
        <v>350</v>
      </c>
      <c r="AA129" s="221">
        <f t="shared" si="216"/>
        <v>1.8447694038245221</v>
      </c>
      <c r="AB129" s="177">
        <f t="shared" si="217"/>
        <v>1.0123734533183355</v>
      </c>
      <c r="AC129" s="177">
        <f t="shared" si="218"/>
        <v>0.32682922508702178</v>
      </c>
      <c r="AD129" s="177"/>
      <c r="AE129" s="177">
        <f t="shared" si="219"/>
        <v>0.45</v>
      </c>
      <c r="AF129" s="555">
        <f t="shared" si="220"/>
        <v>432.52032520325201</v>
      </c>
      <c r="AG129" s="538">
        <f t="shared" si="221"/>
        <v>6.4574999999999994E-2</v>
      </c>
      <c r="AI129" s="177">
        <f t="shared" si="222"/>
        <v>0.91155544720731785</v>
      </c>
      <c r="AJ129" s="177">
        <f t="shared" si="223"/>
        <v>0.91155544720731785</v>
      </c>
      <c r="AK129" s="177">
        <f t="shared" si="224"/>
        <v>1.2610369648048785</v>
      </c>
      <c r="AM129" s="555">
        <f t="shared" si="225"/>
        <v>79.8</v>
      </c>
      <c r="AN129" s="469">
        <f t="shared" si="226"/>
        <v>350</v>
      </c>
      <c r="AP129" s="469">
        <f t="shared" si="227"/>
        <v>79.8</v>
      </c>
      <c r="AQ129" s="469">
        <f t="shared" si="228"/>
        <v>350</v>
      </c>
      <c r="AS129" s="5">
        <f t="shared" si="175"/>
        <v>2.8571428571428572</v>
      </c>
      <c r="AT129" s="5">
        <f t="shared" si="229"/>
        <v>0.91155544720731785</v>
      </c>
      <c r="AU129" s="5">
        <f t="shared" si="230"/>
        <v>1.9455874099355395</v>
      </c>
      <c r="AV129" s="5"/>
      <c r="AW129" s="177">
        <f t="shared" si="231"/>
        <v>0.31904440652256122</v>
      </c>
      <c r="AX129" s="177">
        <f t="shared" si="150"/>
        <v>1.3087199999999997</v>
      </c>
      <c r="AY129" s="177">
        <f t="shared" si="151"/>
        <v>0.31036439027032559</v>
      </c>
      <c r="AZ129" s="177">
        <f t="shared" si="178"/>
        <v>4.2167208643366338</v>
      </c>
      <c r="BA129" s="469">
        <f t="shared" si="232"/>
        <v>21.317779700075526</v>
      </c>
      <c r="BB129" s="469">
        <f t="shared" si="233"/>
        <v>1.9723230709677415</v>
      </c>
      <c r="BC129" s="5">
        <f t="shared" si="258"/>
        <v>0.49516400562742141</v>
      </c>
      <c r="BD129" s="469">
        <f t="shared" si="235"/>
        <v>30.167951448756405</v>
      </c>
      <c r="BF129" s="177">
        <f t="shared" si="179"/>
        <v>0.2972679106984959</v>
      </c>
      <c r="BG129" s="177">
        <f t="shared" si="156"/>
        <v>0.43429202968363206</v>
      </c>
      <c r="BI129" s="538">
        <f t="shared" si="236"/>
        <v>9.7205031804153824E-3</v>
      </c>
      <c r="BJ129" s="538">
        <f t="shared" si="237"/>
        <v>4.0518639628365272E-2</v>
      </c>
      <c r="BK129" s="538">
        <f t="shared" si="238"/>
        <v>1.7499999999999998E-2</v>
      </c>
      <c r="BL129" s="538">
        <f t="shared" si="239"/>
        <v>5.0806349999999993E-2</v>
      </c>
      <c r="BM129">
        <f t="shared" si="240"/>
        <v>2.6099999999999999E-3</v>
      </c>
      <c r="BN129">
        <f t="shared" si="241"/>
        <v>1.4E-5</v>
      </c>
      <c r="BO129" s="538">
        <f t="shared" si="242"/>
        <v>0.1213871925859296</v>
      </c>
      <c r="BP129" s="469">
        <f t="shared" si="243"/>
        <v>121.15549280878065</v>
      </c>
      <c r="BQ129" s="538">
        <f t="shared" si="244"/>
        <v>7.1819999999999995E-2</v>
      </c>
      <c r="BT129" s="469">
        <f t="shared" si="245"/>
        <v>71.819999999999993</v>
      </c>
      <c r="BU129" s="538">
        <f t="shared" si="246"/>
        <v>4.2416741150903487E-3</v>
      </c>
      <c r="BV129" s="538">
        <f t="shared" si="247"/>
        <v>4.5266296091214901E-2</v>
      </c>
      <c r="BW129" s="538">
        <f t="shared" si="248"/>
        <v>0</v>
      </c>
      <c r="BX129" s="538"/>
      <c r="BY129" s="538">
        <f t="shared" si="249"/>
        <v>1.4541333333333333E-2</v>
      </c>
      <c r="BZ129" s="469">
        <f t="shared" si="250"/>
        <v>64.049303539638586</v>
      </c>
      <c r="CA129" s="177">
        <f t="shared" si="251"/>
        <v>0.25702479634841924</v>
      </c>
      <c r="CB129" s="5">
        <f t="shared" si="252"/>
        <v>1.2368999999999999</v>
      </c>
      <c r="CC129" s="177">
        <f t="shared" si="253"/>
        <v>0.82795332336897987</v>
      </c>
      <c r="CD129" s="5">
        <f t="shared" si="254"/>
        <v>82.795332336897985</v>
      </c>
      <c r="CG129" s="571">
        <f t="shared" si="255"/>
        <v>-50</v>
      </c>
      <c r="CH129">
        <f t="shared" si="256"/>
        <v>-50</v>
      </c>
    </row>
    <row r="130" spans="5:86" x14ac:dyDescent="0.2">
      <c r="E130" s="174">
        <v>20</v>
      </c>
      <c r="F130" s="221">
        <f t="shared" si="257"/>
        <v>8.4000000000000005E-2</v>
      </c>
      <c r="G130" s="221"/>
      <c r="H130" s="221">
        <f t="shared" si="201"/>
        <v>1.302</v>
      </c>
      <c r="I130" s="551">
        <f t="shared" si="202"/>
        <v>9</v>
      </c>
      <c r="J130" s="451">
        <f t="shared" si="203"/>
        <v>16.399999999999999</v>
      </c>
      <c r="K130" s="451">
        <f t="shared" si="204"/>
        <v>25.4</v>
      </c>
      <c r="L130" s="451"/>
      <c r="M130" s="221">
        <f t="shared" si="205"/>
        <v>0.64566929133858264</v>
      </c>
      <c r="N130" s="176">
        <f t="shared" si="206"/>
        <v>10.799787401574802</v>
      </c>
      <c r="O130" s="176">
        <f t="shared" si="173"/>
        <v>1.302</v>
      </c>
      <c r="P130" s="221">
        <f t="shared" si="207"/>
        <v>0.69676047752095494</v>
      </c>
      <c r="Q130" s="221">
        <f t="shared" si="208"/>
        <v>15.5</v>
      </c>
      <c r="R130" s="221"/>
      <c r="S130" s="176">
        <f t="shared" si="209"/>
        <v>188.72128815135591</v>
      </c>
      <c r="T130" s="176">
        <f t="shared" si="210"/>
        <v>15.5</v>
      </c>
      <c r="U130" s="221">
        <f t="shared" si="211"/>
        <v>0.49790424570912384</v>
      </c>
      <c r="V130" s="221">
        <f t="shared" si="212"/>
        <v>0.49790424570912378</v>
      </c>
      <c r="W130" s="221">
        <f t="shared" si="213"/>
        <v>0.27324013484037285</v>
      </c>
      <c r="X130" s="201">
        <f t="shared" si="214"/>
        <v>350</v>
      </c>
      <c r="Y130" s="451">
        <f t="shared" si="215"/>
        <v>350</v>
      </c>
      <c r="AA130" s="221">
        <f t="shared" si="216"/>
        <v>1.8447694038245221</v>
      </c>
      <c r="AB130" s="177">
        <f t="shared" si="217"/>
        <v>1.0123734533183355</v>
      </c>
      <c r="AC130" s="177">
        <f t="shared" si="218"/>
        <v>0.32682922508702178</v>
      </c>
      <c r="AD130" s="177"/>
      <c r="AE130" s="177">
        <f t="shared" si="219"/>
        <v>0.45</v>
      </c>
      <c r="AF130" s="555">
        <f t="shared" si="220"/>
        <v>455.28455284552854</v>
      </c>
      <c r="AG130" s="538">
        <f t="shared" si="221"/>
        <v>6.4574999999999994E-2</v>
      </c>
      <c r="AI130" s="177">
        <f t="shared" si="222"/>
        <v>0.93523615556000961</v>
      </c>
      <c r="AJ130" s="177">
        <f t="shared" si="223"/>
        <v>0.93523615556000961</v>
      </c>
      <c r="AK130" s="177">
        <f t="shared" si="224"/>
        <v>1.276824103706673</v>
      </c>
      <c r="AM130" s="555">
        <f t="shared" si="225"/>
        <v>84</v>
      </c>
      <c r="AN130" s="469">
        <f t="shared" si="226"/>
        <v>350</v>
      </c>
      <c r="AP130" s="469">
        <f t="shared" si="227"/>
        <v>84</v>
      </c>
      <c r="AQ130" s="469">
        <f t="shared" si="228"/>
        <v>350</v>
      </c>
      <c r="AS130" s="5">
        <f t="shared" si="175"/>
        <v>2.8571428571428572</v>
      </c>
      <c r="AT130" s="5">
        <f t="shared" si="229"/>
        <v>0.9352361555600095</v>
      </c>
      <c r="AU130" s="5">
        <f t="shared" si="230"/>
        <v>1.9219067015828477</v>
      </c>
      <c r="AV130" s="5"/>
      <c r="AW130" s="177">
        <f t="shared" si="231"/>
        <v>0.32733265444600329</v>
      </c>
      <c r="AX130" s="177">
        <f t="shared" si="150"/>
        <v>1.3775999999999997</v>
      </c>
      <c r="AY130" s="177">
        <f t="shared" si="151"/>
        <v>0.31455141111333818</v>
      </c>
      <c r="AZ130" s="177">
        <f t="shared" si="178"/>
        <v>4.3795702429820835</v>
      </c>
      <c r="BA130" s="469">
        <f t="shared" si="232"/>
        <v>21.317779700075526</v>
      </c>
      <c r="BB130" s="469">
        <f t="shared" si="233"/>
        <v>2.1765574193548387</v>
      </c>
      <c r="BC130" s="5">
        <f t="shared" si="258"/>
        <v>0.51488117807836775</v>
      </c>
      <c r="BD130" s="469">
        <f t="shared" si="235"/>
        <v>31.375092906924294</v>
      </c>
      <c r="BF130" s="177">
        <f t="shared" si="179"/>
        <v>0.30892661574956465</v>
      </c>
      <c r="BG130" s="177">
        <f t="shared" si="156"/>
        <v>0.44285426681593154</v>
      </c>
      <c r="BI130" s="538">
        <f t="shared" si="236"/>
        <v>1.0497921931032708E-2</v>
      </c>
      <c r="BJ130" s="538">
        <f t="shared" si="237"/>
        <v>4.1571247114642419E-2</v>
      </c>
      <c r="BK130" s="538">
        <f t="shared" si="238"/>
        <v>1.7499999999999998E-2</v>
      </c>
      <c r="BL130" s="538">
        <f t="shared" si="239"/>
        <v>5.0806349999999993E-2</v>
      </c>
      <c r="BM130">
        <f t="shared" si="240"/>
        <v>2.6099999999999999E-3</v>
      </c>
      <c r="BN130">
        <f t="shared" si="241"/>
        <v>1.4E-5</v>
      </c>
      <c r="BO130" s="538">
        <f t="shared" si="242"/>
        <v>0.12323821502774697</v>
      </c>
      <c r="BP130" s="469">
        <f t="shared" si="243"/>
        <v>122.98551904567512</v>
      </c>
      <c r="BQ130" s="538">
        <f t="shared" si="244"/>
        <v>7.5600000000000001E-2</v>
      </c>
      <c r="BT130" s="469">
        <f t="shared" si="245"/>
        <v>75.599999999999994</v>
      </c>
      <c r="BU130" s="538">
        <f t="shared" si="246"/>
        <v>4.580911388087E-3</v>
      </c>
      <c r="BV130" s="538">
        <f t="shared" si="247"/>
        <v>4.7068776392898311E-2</v>
      </c>
      <c r="BW130" s="538">
        <f t="shared" si="248"/>
        <v>0</v>
      </c>
      <c r="BX130" s="538"/>
      <c r="BY130" s="538">
        <f t="shared" si="249"/>
        <v>1.5306666666666663E-2</v>
      </c>
      <c r="BZ130" s="469">
        <f t="shared" si="250"/>
        <v>66.956354447651961</v>
      </c>
      <c r="CA130" s="177">
        <f t="shared" si="251"/>
        <v>0.26554187349332714</v>
      </c>
      <c r="CB130" s="5">
        <f t="shared" si="252"/>
        <v>1.302</v>
      </c>
      <c r="CC130" s="177">
        <f t="shared" si="253"/>
        <v>0.83059982129755994</v>
      </c>
      <c r="CD130" s="5">
        <f t="shared" si="254"/>
        <v>83.059982129755994</v>
      </c>
      <c r="CG130" s="571">
        <f t="shared" si="255"/>
        <v>-50</v>
      </c>
      <c r="CH130">
        <f t="shared" si="256"/>
        <v>-50</v>
      </c>
    </row>
    <row r="131" spans="5:86" x14ac:dyDescent="0.2">
      <c r="E131" s="174">
        <v>21</v>
      </c>
      <c r="F131" s="221">
        <f t="shared" si="257"/>
        <v>8.8199999999999987E-2</v>
      </c>
      <c r="G131" s="221"/>
      <c r="H131" s="221">
        <f t="shared" si="201"/>
        <v>1.3670999999999998</v>
      </c>
      <c r="I131" s="551">
        <f t="shared" si="202"/>
        <v>9</v>
      </c>
      <c r="J131" s="451">
        <f t="shared" si="203"/>
        <v>16.399999999999999</v>
      </c>
      <c r="K131" s="451">
        <f t="shared" si="204"/>
        <v>25.4</v>
      </c>
      <c r="L131" s="451"/>
      <c r="M131" s="221">
        <f t="shared" si="205"/>
        <v>0.64566929133858264</v>
      </c>
      <c r="N131" s="176">
        <f t="shared" si="206"/>
        <v>10.799787401574802</v>
      </c>
      <c r="O131" s="176">
        <f t="shared" si="173"/>
        <v>1.3670999999999998</v>
      </c>
      <c r="P131" s="221">
        <f t="shared" si="207"/>
        <v>0.69676047752095494</v>
      </c>
      <c r="Q131" s="221">
        <f t="shared" si="208"/>
        <v>15.5</v>
      </c>
      <c r="R131" s="221"/>
      <c r="S131" s="176">
        <f t="shared" si="209"/>
        <v>179.3102536203703</v>
      </c>
      <c r="T131" s="176">
        <f t="shared" si="210"/>
        <v>15.5</v>
      </c>
      <c r="U131" s="221">
        <f t="shared" si="211"/>
        <v>0.52279945799457994</v>
      </c>
      <c r="V131" s="221">
        <f t="shared" si="212"/>
        <v>0.52279945799457994</v>
      </c>
      <c r="W131" s="221">
        <f t="shared" si="213"/>
        <v>0.28690214158239147</v>
      </c>
      <c r="X131" s="201">
        <f t="shared" si="214"/>
        <v>350</v>
      </c>
      <c r="Y131" s="451">
        <f t="shared" si="215"/>
        <v>350</v>
      </c>
      <c r="AA131" s="221">
        <f t="shared" si="216"/>
        <v>1.8447694038245221</v>
      </c>
      <c r="AB131" s="177">
        <f t="shared" si="217"/>
        <v>1.0123734533183355</v>
      </c>
      <c r="AC131" s="177">
        <f t="shared" si="218"/>
        <v>0.32682922508702178</v>
      </c>
      <c r="AD131" s="177"/>
      <c r="AE131" s="177">
        <f t="shared" si="219"/>
        <v>0.45</v>
      </c>
      <c r="AF131" s="555">
        <f t="shared" si="220"/>
        <v>478.04878048780483</v>
      </c>
      <c r="AG131" s="538">
        <f t="shared" si="221"/>
        <v>6.4574999999999994E-2</v>
      </c>
      <c r="AI131" s="177">
        <f t="shared" si="222"/>
        <v>0.95833188405687497</v>
      </c>
      <c r="AJ131" s="177">
        <f t="shared" si="223"/>
        <v>0.95833188405687497</v>
      </c>
      <c r="AK131" s="177">
        <f t="shared" si="224"/>
        <v>1.2922212560379167</v>
      </c>
      <c r="AM131" s="555">
        <f t="shared" si="225"/>
        <v>88.199999999999989</v>
      </c>
      <c r="AN131" s="469">
        <f t="shared" si="226"/>
        <v>350</v>
      </c>
      <c r="AP131" s="469">
        <f t="shared" si="227"/>
        <v>88.199999999999989</v>
      </c>
      <c r="AQ131" s="469">
        <f t="shared" si="228"/>
        <v>350</v>
      </c>
      <c r="AS131" s="5">
        <f t="shared" si="175"/>
        <v>2.8571428571428572</v>
      </c>
      <c r="AT131" s="5">
        <f t="shared" si="229"/>
        <v>0.95833188405687508</v>
      </c>
      <c r="AU131" s="5">
        <f t="shared" si="230"/>
        <v>1.8988109730859821</v>
      </c>
      <c r="AV131" s="5"/>
      <c r="AW131" s="177">
        <f t="shared" si="231"/>
        <v>0.33541615941990627</v>
      </c>
      <c r="AX131" s="177">
        <f t="shared" si="150"/>
        <v>1.4464799999999995</v>
      </c>
      <c r="AY131" s="177">
        <f t="shared" si="151"/>
        <v>0.31844594202843751</v>
      </c>
      <c r="AZ131" s="177">
        <f t="shared" si="178"/>
        <v>4.5423094129766852</v>
      </c>
      <c r="BA131" s="469">
        <f t="shared" si="232"/>
        <v>21.317779700075526</v>
      </c>
      <c r="BB131" s="469">
        <f t="shared" si="233"/>
        <v>2.3908345548387087</v>
      </c>
      <c r="BC131" s="5">
        <f t="shared" si="258"/>
        <v>0.53412849409585295</v>
      </c>
      <c r="BD131" s="469">
        <f t="shared" si="235"/>
        <v>32.554042979084514</v>
      </c>
      <c r="BF131" s="177">
        <f t="shared" si="179"/>
        <v>0.32044042650246329</v>
      </c>
      <c r="BG131" s="177">
        <f t="shared" si="156"/>
        <v>0.45105572426946611</v>
      </c>
      <c r="BI131" s="538">
        <f t="shared" si="236"/>
        <v>1.1295027363078865E-2</v>
      </c>
      <c r="BJ131" s="538">
        <f t="shared" si="237"/>
        <v>4.2597852246328088E-2</v>
      </c>
      <c r="BK131" s="538">
        <f t="shared" si="238"/>
        <v>1.7499999999999998E-2</v>
      </c>
      <c r="BL131" s="538">
        <f t="shared" si="239"/>
        <v>5.0806349999999993E-2</v>
      </c>
      <c r="BM131">
        <f t="shared" si="240"/>
        <v>2.6099999999999999E-3</v>
      </c>
      <c r="BN131">
        <f t="shared" si="241"/>
        <v>1.4E-5</v>
      </c>
      <c r="BO131" s="538">
        <f t="shared" si="242"/>
        <v>0.12508389601159722</v>
      </c>
      <c r="BP131" s="469">
        <f t="shared" si="243"/>
        <v>124.80922960940694</v>
      </c>
      <c r="BQ131" s="538">
        <f t="shared" si="244"/>
        <v>7.9379999999999992E-2</v>
      </c>
      <c r="BT131" s="469">
        <f t="shared" si="245"/>
        <v>79.38</v>
      </c>
      <c r="BU131" s="538">
        <f t="shared" si="246"/>
        <v>4.9287392129798678E-3</v>
      </c>
      <c r="BV131" s="538">
        <f t="shared" si="247"/>
        <v>4.8828303935100632E-2</v>
      </c>
      <c r="BW131" s="538">
        <f t="shared" si="248"/>
        <v>0</v>
      </c>
      <c r="BX131" s="538"/>
      <c r="BY131" s="538">
        <f t="shared" si="249"/>
        <v>1.6071999999999999E-2</v>
      </c>
      <c r="BZ131" s="469">
        <f t="shared" si="250"/>
        <v>69.829043148080501</v>
      </c>
      <c r="CA131" s="177">
        <f t="shared" si="251"/>
        <v>0.27401827275748741</v>
      </c>
      <c r="CB131" s="5">
        <f t="shared" si="252"/>
        <v>1.3670999999999998</v>
      </c>
      <c r="CC131" s="177">
        <f t="shared" si="253"/>
        <v>0.83302954009702879</v>
      </c>
      <c r="CD131" s="5">
        <f t="shared" si="254"/>
        <v>83.302954009702873</v>
      </c>
      <c r="CG131" s="571">
        <f t="shared" si="255"/>
        <v>-50</v>
      </c>
      <c r="CH131">
        <f t="shared" si="256"/>
        <v>-50</v>
      </c>
    </row>
    <row r="132" spans="5:86" x14ac:dyDescent="0.2">
      <c r="E132" s="174">
        <v>22</v>
      </c>
      <c r="F132" s="221">
        <f t="shared" si="257"/>
        <v>9.2399999999999996E-2</v>
      </c>
      <c r="G132" s="221"/>
      <c r="H132" s="221">
        <f t="shared" si="201"/>
        <v>1.4321999999999999</v>
      </c>
      <c r="I132" s="551">
        <f t="shared" si="202"/>
        <v>9</v>
      </c>
      <c r="J132" s="451">
        <f t="shared" si="203"/>
        <v>16.399999999999999</v>
      </c>
      <c r="K132" s="451">
        <f t="shared" si="204"/>
        <v>25.4</v>
      </c>
      <c r="L132" s="451"/>
      <c r="M132" s="221">
        <f t="shared" si="205"/>
        <v>0.64566929133858264</v>
      </c>
      <c r="N132" s="176">
        <f t="shared" si="206"/>
        <v>10.799787401574802</v>
      </c>
      <c r="O132" s="176">
        <f t="shared" si="173"/>
        <v>1.4321999999999999</v>
      </c>
      <c r="P132" s="221">
        <f t="shared" si="207"/>
        <v>0.69676047752095494</v>
      </c>
      <c r="Q132" s="221">
        <f t="shared" si="208"/>
        <v>15.5</v>
      </c>
      <c r="R132" s="221"/>
      <c r="S132" s="176">
        <f t="shared" si="209"/>
        <v>170.75497988627006</v>
      </c>
      <c r="T132" s="176">
        <f t="shared" si="210"/>
        <v>15.5</v>
      </c>
      <c r="U132" s="221">
        <f t="shared" si="211"/>
        <v>0.54769467028003616</v>
      </c>
      <c r="V132" s="221">
        <f t="shared" si="212"/>
        <v>0.54769467028003616</v>
      </c>
      <c r="W132" s="221">
        <f t="shared" si="213"/>
        <v>0.30056414832441014</v>
      </c>
      <c r="X132" s="201">
        <f t="shared" si="214"/>
        <v>350</v>
      </c>
      <c r="Y132" s="451">
        <f t="shared" si="215"/>
        <v>350</v>
      </c>
      <c r="AA132" s="221">
        <f t="shared" si="216"/>
        <v>1.8447694038245221</v>
      </c>
      <c r="AB132" s="177">
        <f t="shared" si="217"/>
        <v>1.0123734533183355</v>
      </c>
      <c r="AC132" s="177">
        <f t="shared" si="218"/>
        <v>0.32682922508702178</v>
      </c>
      <c r="AD132" s="177"/>
      <c r="AE132" s="177">
        <f t="shared" si="219"/>
        <v>0.45</v>
      </c>
      <c r="AF132" s="555">
        <f t="shared" si="220"/>
        <v>500.8130081300813</v>
      </c>
      <c r="AG132" s="538">
        <f t="shared" si="221"/>
        <v>6.4574999999999994E-2</v>
      </c>
      <c r="AI132" s="177">
        <f t="shared" si="222"/>
        <v>0.98088395507997439</v>
      </c>
      <c r="AJ132" s="177">
        <f t="shared" si="223"/>
        <v>0.98088395507997439</v>
      </c>
      <c r="AK132" s="177">
        <f t="shared" si="224"/>
        <v>1.3072559700533162</v>
      </c>
      <c r="AM132" s="555">
        <f t="shared" si="225"/>
        <v>92.399999999999991</v>
      </c>
      <c r="AN132" s="469">
        <f t="shared" si="226"/>
        <v>350</v>
      </c>
      <c r="AP132" s="469">
        <f t="shared" si="227"/>
        <v>92.399999999999991</v>
      </c>
      <c r="AQ132" s="469">
        <f t="shared" si="228"/>
        <v>350</v>
      </c>
      <c r="AS132" s="5">
        <f t="shared" si="175"/>
        <v>2.8571428571428572</v>
      </c>
      <c r="AT132" s="5">
        <f t="shared" si="229"/>
        <v>0.9808839550799745</v>
      </c>
      <c r="AU132" s="5">
        <f t="shared" si="230"/>
        <v>1.8762589020628826</v>
      </c>
      <c r="AV132" s="5"/>
      <c r="AW132" s="177">
        <f t="shared" si="231"/>
        <v>0.34330938427799107</v>
      </c>
      <c r="AX132" s="177">
        <f t="shared" si="150"/>
        <v>1.5153599999999996</v>
      </c>
      <c r="AY132" s="177">
        <f t="shared" si="151"/>
        <v>0.32206864420665388</v>
      </c>
      <c r="AZ132" s="177">
        <f t="shared" si="178"/>
        <v>4.7050839231268844</v>
      </c>
      <c r="BA132" s="469">
        <f t="shared" si="232"/>
        <v>21.317779700075526</v>
      </c>
      <c r="BB132" s="469">
        <f t="shared" si="233"/>
        <v>2.6151544774193543</v>
      </c>
      <c r="BC132" s="5">
        <f t="shared" si="258"/>
        <v>0.55291728385482719</v>
      </c>
      <c r="BD132" s="469">
        <f t="shared" si="235"/>
        <v>33.705481475734075</v>
      </c>
      <c r="BF132" s="177">
        <f t="shared" si="179"/>
        <v>0.33181792309437708</v>
      </c>
      <c r="BG132" s="177">
        <f t="shared" si="156"/>
        <v>0.45892044738107407</v>
      </c>
      <c r="BI132" s="538">
        <f t="shared" si="236"/>
        <v>1.2111344749533254E-2</v>
      </c>
      <c r="BJ132" s="538">
        <f t="shared" si="237"/>
        <v>4.3600291803304859E-2</v>
      </c>
      <c r="BK132" s="538">
        <f t="shared" si="238"/>
        <v>1.7499999999999998E-2</v>
      </c>
      <c r="BL132" s="538">
        <f t="shared" si="239"/>
        <v>5.0806349999999993E-2</v>
      </c>
      <c r="BM132">
        <f t="shared" si="240"/>
        <v>2.6099999999999999E-3</v>
      </c>
      <c r="BN132">
        <f t="shared" si="241"/>
        <v>1.4E-5</v>
      </c>
      <c r="BO132" s="538">
        <f t="shared" si="242"/>
        <v>0.12692560729362759</v>
      </c>
      <c r="BP132" s="469">
        <f t="shared" si="243"/>
        <v>126.62798655283811</v>
      </c>
      <c r="BQ132" s="538">
        <f t="shared" si="244"/>
        <v>8.3159999999999998E-2</v>
      </c>
      <c r="BT132" s="469">
        <f t="shared" si="245"/>
        <v>83.16</v>
      </c>
      <c r="BU132" s="538">
        <f t="shared" si="246"/>
        <v>5.284950436159965E-3</v>
      </c>
      <c r="BV132" s="538">
        <f t="shared" si="247"/>
        <v>5.0545914485866837E-2</v>
      </c>
      <c r="BW132" s="538">
        <f t="shared" si="248"/>
        <v>0</v>
      </c>
      <c r="BX132" s="538"/>
      <c r="BY132" s="538">
        <f t="shared" si="249"/>
        <v>1.6837333333333333E-2</v>
      </c>
      <c r="BZ132" s="469">
        <f t="shared" si="250"/>
        <v>72.668198255360139</v>
      </c>
      <c r="CA132" s="177">
        <f t="shared" si="251"/>
        <v>0.28245618480819817</v>
      </c>
      <c r="CB132" s="5">
        <f t="shared" si="252"/>
        <v>1.4321999999999999</v>
      </c>
      <c r="CC132" s="177">
        <f t="shared" si="253"/>
        <v>0.83526949174373766</v>
      </c>
      <c r="CD132" s="5">
        <f t="shared" si="254"/>
        <v>83.526949174373769</v>
      </c>
      <c r="CG132" s="571">
        <f t="shared" si="255"/>
        <v>-50</v>
      </c>
      <c r="CH132">
        <f t="shared" si="256"/>
        <v>-50</v>
      </c>
    </row>
    <row r="133" spans="5:86" x14ac:dyDescent="0.2">
      <c r="E133" s="174">
        <v>23</v>
      </c>
      <c r="F133" s="221">
        <f t="shared" si="257"/>
        <v>9.6600000000000005E-2</v>
      </c>
      <c r="G133" s="221"/>
      <c r="H133" s="221">
        <f t="shared" si="201"/>
        <v>1.4973000000000001</v>
      </c>
      <c r="I133" s="551">
        <f t="shared" si="202"/>
        <v>9</v>
      </c>
      <c r="J133" s="451">
        <f t="shared" si="203"/>
        <v>16.399999999999999</v>
      </c>
      <c r="K133" s="451">
        <f t="shared" si="204"/>
        <v>25.4</v>
      </c>
      <c r="L133" s="451"/>
      <c r="M133" s="221">
        <f t="shared" si="205"/>
        <v>0.64566929133858264</v>
      </c>
      <c r="N133" s="176">
        <f t="shared" si="206"/>
        <v>10.799787401574802</v>
      </c>
      <c r="O133" s="176">
        <f t="shared" si="173"/>
        <v>1.4973000000000001</v>
      </c>
      <c r="P133" s="221">
        <f t="shared" si="207"/>
        <v>0.69676047752095494</v>
      </c>
      <c r="Q133" s="221">
        <f t="shared" si="208"/>
        <v>15.5</v>
      </c>
      <c r="R133" s="221"/>
      <c r="S133" s="176">
        <f t="shared" si="209"/>
        <v>162.94384725357489</v>
      </c>
      <c r="T133" s="176">
        <f t="shared" si="210"/>
        <v>15.5</v>
      </c>
      <c r="U133" s="221">
        <f t="shared" si="211"/>
        <v>0.57258988256549237</v>
      </c>
      <c r="V133" s="221">
        <f t="shared" si="212"/>
        <v>0.57258988256549237</v>
      </c>
      <c r="W133" s="221">
        <f t="shared" si="213"/>
        <v>0.31422615506642876</v>
      </c>
      <c r="X133" s="201">
        <f t="shared" si="214"/>
        <v>350</v>
      </c>
      <c r="Y133" s="451">
        <f t="shared" si="215"/>
        <v>350</v>
      </c>
      <c r="AA133" s="221">
        <f t="shared" si="216"/>
        <v>1.8447694038245221</v>
      </c>
      <c r="AB133" s="177">
        <f t="shared" si="217"/>
        <v>1.0123734533183355</v>
      </c>
      <c r="AC133" s="177">
        <f t="shared" si="218"/>
        <v>0.32682922508702178</v>
      </c>
      <c r="AD133" s="177"/>
      <c r="AE133" s="177">
        <f t="shared" si="219"/>
        <v>0.45</v>
      </c>
      <c r="AF133" s="555">
        <f t="shared" si="220"/>
        <v>523.57723577235777</v>
      </c>
      <c r="AG133" s="538">
        <f t="shared" si="221"/>
        <v>6.4574999999999994E-2</v>
      </c>
      <c r="AI133" s="177">
        <f t="shared" si="222"/>
        <v>1.0029290436848792</v>
      </c>
      <c r="AJ133" s="177">
        <f t="shared" si="223"/>
        <v>1.0029290436848792</v>
      </c>
      <c r="AK133" s="177">
        <f t="shared" si="224"/>
        <v>1.3219526957899195</v>
      </c>
      <c r="AM133" s="555">
        <f t="shared" si="225"/>
        <v>96.600000000000009</v>
      </c>
      <c r="AN133" s="469">
        <f t="shared" si="226"/>
        <v>350</v>
      </c>
      <c r="AP133" s="469">
        <f t="shared" si="227"/>
        <v>96.600000000000009</v>
      </c>
      <c r="AQ133" s="469">
        <f t="shared" si="228"/>
        <v>350</v>
      </c>
      <c r="AS133" s="5">
        <f t="shared" si="175"/>
        <v>2.8571428571428572</v>
      </c>
      <c r="AT133" s="5">
        <f t="shared" si="229"/>
        <v>1.0029290436848792</v>
      </c>
      <c r="AU133" s="5">
        <f t="shared" si="230"/>
        <v>1.854213813457978</v>
      </c>
      <c r="AV133" s="5"/>
      <c r="AW133" s="177">
        <f t="shared" si="231"/>
        <v>0.35102516528970773</v>
      </c>
      <c r="AX133" s="177">
        <f t="shared" ref="AX133:AX196" si="259">0.5*L*AJ133^2*AN133*1000</f>
        <v>1.5842399999999999</v>
      </c>
      <c r="AY133" s="177">
        <f t="shared" ref="AY133:AY196" si="260">AJ133*Nps/2*(1-AW133)</f>
        <v>0.32543785517577301</v>
      </c>
      <c r="AZ133" s="177">
        <f t="shared" si="178"/>
        <v>4.8680261831996532</v>
      </c>
      <c r="BA133" s="469">
        <f t="shared" si="232"/>
        <v>21.317779700075526</v>
      </c>
      <c r="BB133" s="469">
        <f t="shared" si="233"/>
        <v>2.8495171870967737</v>
      </c>
      <c r="BC133" s="5">
        <f t="shared" si="258"/>
        <v>0.57125809524498561</v>
      </c>
      <c r="BD133" s="469">
        <f t="shared" si="235"/>
        <v>34.830041270254696</v>
      </c>
      <c r="BF133" s="177">
        <f t="shared" si="179"/>
        <v>0.3430668122130508</v>
      </c>
      <c r="BG133" s="177">
        <f t="shared" ref="BG133:BG196" si="261">AJ133*Nps*SQRT((1-AW133)/3)</f>
        <v>0.46646977527688133</v>
      </c>
      <c r="BI133" s="538">
        <f t="shared" si="236"/>
        <v>1.2946432140622714E-2</v>
      </c>
      <c r="BJ133" s="538">
        <f t="shared" si="237"/>
        <v>4.4580195991792887E-2</v>
      </c>
      <c r="BK133" s="538">
        <f t="shared" si="238"/>
        <v>1.7499999999999998E-2</v>
      </c>
      <c r="BL133" s="538">
        <f t="shared" si="239"/>
        <v>5.0806349999999993E-2</v>
      </c>
      <c r="BM133">
        <f t="shared" si="240"/>
        <v>2.6099999999999999E-3</v>
      </c>
      <c r="BN133">
        <f t="shared" si="241"/>
        <v>1.4E-5</v>
      </c>
      <c r="BO133" s="538">
        <f t="shared" si="242"/>
        <v>0.12876454728428258</v>
      </c>
      <c r="BP133" s="469">
        <f t="shared" si="243"/>
        <v>128.44297813241559</v>
      </c>
      <c r="BQ133" s="538">
        <f t="shared" si="244"/>
        <v>8.6940000000000003E-2</v>
      </c>
      <c r="BT133" s="469">
        <f t="shared" si="245"/>
        <v>86.94</v>
      </c>
      <c r="BU133" s="538">
        <f t="shared" si="246"/>
        <v>5.6493522068171839E-3</v>
      </c>
      <c r="BV133" s="538">
        <f t="shared" si="247"/>
        <v>5.22225722992474E-2</v>
      </c>
      <c r="BW133" s="538">
        <f t="shared" si="248"/>
        <v>0</v>
      </c>
      <c r="BX133" s="538"/>
      <c r="BY133" s="538">
        <f t="shared" si="249"/>
        <v>1.7602666666666666E-2</v>
      </c>
      <c r="BZ133" s="469">
        <f t="shared" si="250"/>
        <v>75.474591172731252</v>
      </c>
      <c r="CA133" s="177">
        <f t="shared" si="251"/>
        <v>0.29085756930514683</v>
      </c>
      <c r="CB133" s="5">
        <f t="shared" si="252"/>
        <v>1.4973000000000001</v>
      </c>
      <c r="CC133" s="177">
        <f t="shared" si="253"/>
        <v>0.83734231574560281</v>
      </c>
      <c r="CD133" s="5">
        <f t="shared" si="254"/>
        <v>83.734231574560283</v>
      </c>
      <c r="CG133" s="571">
        <f t="shared" si="255"/>
        <v>-50</v>
      </c>
      <c r="CH133">
        <f t="shared" si="256"/>
        <v>-50</v>
      </c>
    </row>
    <row r="134" spans="5:86" x14ac:dyDescent="0.2">
      <c r="E134" s="174">
        <v>24</v>
      </c>
      <c r="F134" s="221">
        <f t="shared" si="257"/>
        <v>0.10079999999999999</v>
      </c>
      <c r="G134" s="221"/>
      <c r="H134" s="221">
        <f t="shared" si="201"/>
        <v>1.5623999999999998</v>
      </c>
      <c r="I134" s="551">
        <f t="shared" si="202"/>
        <v>9</v>
      </c>
      <c r="J134" s="451">
        <f t="shared" si="203"/>
        <v>16.399999999999999</v>
      </c>
      <c r="K134" s="451">
        <f t="shared" si="204"/>
        <v>25.4</v>
      </c>
      <c r="L134" s="451"/>
      <c r="M134" s="221">
        <f t="shared" si="205"/>
        <v>0.64566929133858264</v>
      </c>
      <c r="N134" s="176">
        <f t="shared" si="206"/>
        <v>10.799787401574802</v>
      </c>
      <c r="O134" s="176">
        <f t="shared" ref="O134:O197" si="262">T134*F134</f>
        <v>1.5623999999999998</v>
      </c>
      <c r="P134" s="221">
        <f t="shared" si="207"/>
        <v>0.69676047752095494</v>
      </c>
      <c r="Q134" s="221">
        <f t="shared" si="208"/>
        <v>15.5</v>
      </c>
      <c r="R134" s="221"/>
      <c r="S134" s="176">
        <f t="shared" si="209"/>
        <v>155.78383931821534</v>
      </c>
      <c r="T134" s="176">
        <f t="shared" si="210"/>
        <v>15.5</v>
      </c>
      <c r="U134" s="221">
        <f t="shared" si="211"/>
        <v>0.59748509485094847</v>
      </c>
      <c r="V134" s="221">
        <f t="shared" si="212"/>
        <v>0.59748509485094847</v>
      </c>
      <c r="W134" s="221">
        <f t="shared" si="213"/>
        <v>0.32788816180844732</v>
      </c>
      <c r="X134" s="201">
        <f t="shared" si="214"/>
        <v>350</v>
      </c>
      <c r="Y134" s="451">
        <f t="shared" si="215"/>
        <v>350</v>
      </c>
      <c r="AA134" s="221">
        <f t="shared" si="216"/>
        <v>1.8447694038245221</v>
      </c>
      <c r="AB134" s="177">
        <f t="shared" si="217"/>
        <v>1.0123734533183355</v>
      </c>
      <c r="AC134" s="177">
        <f t="shared" si="218"/>
        <v>0.32682922508702178</v>
      </c>
      <c r="AD134" s="177"/>
      <c r="AE134" s="177">
        <f t="shared" si="219"/>
        <v>0.45</v>
      </c>
      <c r="AF134" s="555">
        <f t="shared" si="220"/>
        <v>546.34146341463406</v>
      </c>
      <c r="AG134" s="538">
        <f t="shared" si="221"/>
        <v>6.4574999999999994E-2</v>
      </c>
      <c r="AI134" s="177">
        <f t="shared" si="222"/>
        <v>1.0244998779892556</v>
      </c>
      <c r="AJ134" s="177">
        <f t="shared" si="223"/>
        <v>1.0244998779892556</v>
      </c>
      <c r="AK134" s="177">
        <f t="shared" si="224"/>
        <v>1.336333251992837</v>
      </c>
      <c r="AM134" s="555">
        <f t="shared" si="225"/>
        <v>100.79999999999998</v>
      </c>
      <c r="AN134" s="469">
        <f t="shared" si="226"/>
        <v>350</v>
      </c>
      <c r="AP134" s="469">
        <f t="shared" si="227"/>
        <v>100.79999999999998</v>
      </c>
      <c r="AQ134" s="469">
        <f t="shared" si="228"/>
        <v>350</v>
      </c>
      <c r="AS134" s="5">
        <f t="shared" ref="AS134:AS197" si="263">1/AN134*1000</f>
        <v>2.8571428571428572</v>
      </c>
      <c r="AT134" s="5">
        <f t="shared" si="229"/>
        <v>1.0244998779892556</v>
      </c>
      <c r="AU134" s="5">
        <f t="shared" si="230"/>
        <v>1.8326429791536016</v>
      </c>
      <c r="AV134" s="5"/>
      <c r="AW134" s="177">
        <f t="shared" si="231"/>
        <v>0.35857495729623945</v>
      </c>
      <c r="AX134" s="177">
        <f t="shared" si="259"/>
        <v>1.6531199999999995</v>
      </c>
      <c r="AY134" s="177">
        <f t="shared" si="260"/>
        <v>0.32856993899462789</v>
      </c>
      <c r="AZ134" s="177">
        <f t="shared" ref="AZ134:AZ197" si="264">AX134/AY134</f>
        <v>5.0312575917878721</v>
      </c>
      <c r="BA134" s="469">
        <f t="shared" si="232"/>
        <v>21.317779700075526</v>
      </c>
      <c r="BB134" s="469">
        <f t="shared" si="233"/>
        <v>3.0939226838709657</v>
      </c>
      <c r="BC134" s="5">
        <f t="shared" si="258"/>
        <v>0.58916077996493543</v>
      </c>
      <c r="BD134" s="469">
        <f t="shared" si="235"/>
        <v>35.928313464562798</v>
      </c>
      <c r="BF134" s="177">
        <f t="shared" ref="BF134:BF197" si="265">AJ134*SQRT(AW134/3)</f>
        <v>0.35419405000561144</v>
      </c>
      <c r="BG134" s="177">
        <f t="shared" si="261"/>
        <v>0.47372274761434979</v>
      </c>
      <c r="BI134" s="538">
        <f t="shared" si="236"/>
        <v>1.3799876756531533E-2</v>
      </c>
      <c r="BJ134" s="538">
        <f t="shared" si="237"/>
        <v>4.553901957662241E-2</v>
      </c>
      <c r="BK134" s="538">
        <f t="shared" si="238"/>
        <v>1.7499999999999998E-2</v>
      </c>
      <c r="BL134" s="538">
        <f t="shared" si="239"/>
        <v>5.0806349999999993E-2</v>
      </c>
      <c r="BM134">
        <f t="shared" si="240"/>
        <v>2.6099999999999999E-3</v>
      </c>
      <c r="BN134">
        <f t="shared" si="241"/>
        <v>1.4E-5</v>
      </c>
      <c r="BO134" s="538">
        <f t="shared" si="242"/>
        <v>0.13060176852632094</v>
      </c>
      <c r="BP134" s="469">
        <f t="shared" si="243"/>
        <v>130.25524633315393</v>
      </c>
      <c r="BQ134" s="538">
        <f t="shared" si="244"/>
        <v>9.0719999999999995E-2</v>
      </c>
      <c r="BT134" s="469">
        <f t="shared" si="245"/>
        <v>90.72</v>
      </c>
      <c r="BU134" s="538">
        <f t="shared" si="246"/>
        <v>6.0217644028501237E-3</v>
      </c>
      <c r="BV134" s="538">
        <f t="shared" si="247"/>
        <v>5.3859177985749344E-2</v>
      </c>
      <c r="BW134" s="538">
        <f t="shared" si="248"/>
        <v>0</v>
      </c>
      <c r="BX134" s="538"/>
      <c r="BY134" s="538">
        <f t="shared" si="249"/>
        <v>1.8367999999999995E-2</v>
      </c>
      <c r="BZ134" s="469">
        <f t="shared" si="250"/>
        <v>78.24894238859946</v>
      </c>
      <c r="CA134" s="177">
        <f t="shared" si="251"/>
        <v>0.29922418872175338</v>
      </c>
      <c r="CB134" s="5">
        <f t="shared" si="252"/>
        <v>1.5623999999999998</v>
      </c>
      <c r="CC134" s="177">
        <f t="shared" si="253"/>
        <v>0.83926713536784792</v>
      </c>
      <c r="CD134" s="5">
        <f t="shared" si="254"/>
        <v>83.926713536784789</v>
      </c>
      <c r="CG134" s="571">
        <f t="shared" si="255"/>
        <v>-50</v>
      </c>
      <c r="CH134">
        <f t="shared" si="256"/>
        <v>-50</v>
      </c>
    </row>
    <row r="135" spans="5:86" x14ac:dyDescent="0.2">
      <c r="E135" s="174">
        <v>25</v>
      </c>
      <c r="F135" s="221">
        <f t="shared" si="257"/>
        <v>0.105</v>
      </c>
      <c r="G135" s="221"/>
      <c r="H135" s="221">
        <f t="shared" si="201"/>
        <v>1.6274999999999999</v>
      </c>
      <c r="I135" s="551">
        <f t="shared" si="202"/>
        <v>9</v>
      </c>
      <c r="J135" s="451">
        <f t="shared" si="203"/>
        <v>16.399999999999999</v>
      </c>
      <c r="K135" s="451">
        <f t="shared" si="204"/>
        <v>25.4</v>
      </c>
      <c r="L135" s="451"/>
      <c r="M135" s="221">
        <f t="shared" si="205"/>
        <v>0.64566929133858264</v>
      </c>
      <c r="N135" s="176">
        <f t="shared" si="206"/>
        <v>10.799787401574802</v>
      </c>
      <c r="O135" s="176">
        <f t="shared" si="262"/>
        <v>1.6274999999999999</v>
      </c>
      <c r="P135" s="221">
        <f t="shared" si="207"/>
        <v>0.69676047752095494</v>
      </c>
      <c r="Q135" s="221">
        <f t="shared" si="208"/>
        <v>15.5</v>
      </c>
      <c r="R135" s="221"/>
      <c r="S135" s="176">
        <f t="shared" si="209"/>
        <v>149.19682230931022</v>
      </c>
      <c r="T135" s="176">
        <f t="shared" si="210"/>
        <v>15.5</v>
      </c>
      <c r="U135" s="221">
        <f t="shared" si="211"/>
        <v>0.6223803071364048</v>
      </c>
      <c r="V135" s="221">
        <f t="shared" si="212"/>
        <v>0.6223803071364048</v>
      </c>
      <c r="W135" s="221">
        <f t="shared" si="213"/>
        <v>0.3415501685504661</v>
      </c>
      <c r="X135" s="201">
        <f t="shared" si="214"/>
        <v>350</v>
      </c>
      <c r="Y135" s="451">
        <f t="shared" si="215"/>
        <v>350</v>
      </c>
      <c r="AA135" s="221">
        <f t="shared" si="216"/>
        <v>1.8447694038245221</v>
      </c>
      <c r="AB135" s="177">
        <f t="shared" si="217"/>
        <v>1.0123734533183355</v>
      </c>
      <c r="AC135" s="177">
        <f t="shared" si="218"/>
        <v>0.32682922508702178</v>
      </c>
      <c r="AD135" s="177"/>
      <c r="AE135" s="177">
        <f t="shared" si="219"/>
        <v>0.45</v>
      </c>
      <c r="AF135" s="555">
        <f t="shared" si="220"/>
        <v>569.10569105691059</v>
      </c>
      <c r="AG135" s="538">
        <f t="shared" si="221"/>
        <v>6.4574999999999994E-2</v>
      </c>
      <c r="AI135" s="177">
        <f t="shared" si="222"/>
        <v>1.0456258094238746</v>
      </c>
      <c r="AJ135" s="177">
        <f t="shared" si="223"/>
        <v>1.0456258094238746</v>
      </c>
      <c r="AK135" s="177">
        <f t="shared" si="224"/>
        <v>1.3504172062825832</v>
      </c>
      <c r="AM135" s="555">
        <f t="shared" si="225"/>
        <v>105</v>
      </c>
      <c r="AN135" s="469">
        <f t="shared" si="226"/>
        <v>350</v>
      </c>
      <c r="AP135" s="469">
        <f t="shared" si="227"/>
        <v>105</v>
      </c>
      <c r="AQ135" s="469">
        <f t="shared" si="228"/>
        <v>350</v>
      </c>
      <c r="AS135" s="5">
        <f t="shared" si="263"/>
        <v>2.8571428571428572</v>
      </c>
      <c r="AT135" s="5">
        <f t="shared" si="229"/>
        <v>1.0456258094238744</v>
      </c>
      <c r="AU135" s="5">
        <f t="shared" si="230"/>
        <v>1.8115170477189828</v>
      </c>
      <c r="AV135" s="5"/>
      <c r="AW135" s="177">
        <f t="shared" si="231"/>
        <v>0.36596903329835601</v>
      </c>
      <c r="AX135" s="177">
        <f t="shared" si="259"/>
        <v>1.7219999999999995</v>
      </c>
      <c r="AY135" s="177">
        <f t="shared" si="260"/>
        <v>0.33147957137860407</v>
      </c>
      <c r="AZ135" s="177">
        <f t="shared" si="264"/>
        <v>5.194890269823575</v>
      </c>
      <c r="BA135" s="469">
        <f t="shared" si="232"/>
        <v>21.317779700075526</v>
      </c>
      <c r="BB135" s="469">
        <f t="shared" si="233"/>
        <v>3.3483709677419347</v>
      </c>
      <c r="BC135" s="5">
        <f t="shared" si="258"/>
        <v>0.60663456690589379</v>
      </c>
      <c r="BD135" s="469">
        <f t="shared" si="235"/>
        <v>37.000851792131414</v>
      </c>
      <c r="BF135" s="177">
        <f t="shared" si="265"/>
        <v>0.36520594330362383</v>
      </c>
      <c r="BG135" s="177">
        <f t="shared" si="261"/>
        <v>0.48069643583050892</v>
      </c>
      <c r="BI135" s="538">
        <f t="shared" si="236"/>
        <v>1.4671291912671866E-2</v>
      </c>
      <c r="BJ135" s="538">
        <f t="shared" si="237"/>
        <v>4.6478067228891223E-2</v>
      </c>
      <c r="BK135" s="538">
        <f t="shared" si="238"/>
        <v>1.7499999999999998E-2</v>
      </c>
      <c r="BL135" s="538">
        <f t="shared" si="239"/>
        <v>5.0806349999999993E-2</v>
      </c>
      <c r="BM135">
        <f t="shared" si="240"/>
        <v>2.6099999999999999E-3</v>
      </c>
      <c r="BN135">
        <f t="shared" si="241"/>
        <v>1.4E-5</v>
      </c>
      <c r="BO135" s="538">
        <f t="shared" si="242"/>
        <v>0.13243819992775016</v>
      </c>
      <c r="BP135" s="469">
        <f t="shared" si="243"/>
        <v>132.06570914156308</v>
      </c>
      <c r="BQ135" s="538">
        <f t="shared" si="244"/>
        <v>9.4500000000000001E-2</v>
      </c>
      <c r="BT135" s="469">
        <f t="shared" si="245"/>
        <v>94.5</v>
      </c>
      <c r="BU135" s="538">
        <f t="shared" si="246"/>
        <v>6.4020182891659054E-3</v>
      </c>
      <c r="BV135" s="538">
        <f t="shared" si="247"/>
        <v>5.5456575220837093E-2</v>
      </c>
      <c r="BW135" s="538">
        <f t="shared" si="248"/>
        <v>0</v>
      </c>
      <c r="BX135" s="538"/>
      <c r="BY135" s="538">
        <f t="shared" si="249"/>
        <v>1.9133333333333332E-2</v>
      </c>
      <c r="BZ135" s="469">
        <f t="shared" si="250"/>
        <v>80.99192684333633</v>
      </c>
      <c r="CA135" s="177">
        <f t="shared" si="251"/>
        <v>0.30755763598489938</v>
      </c>
      <c r="CB135" s="5">
        <f t="shared" si="252"/>
        <v>1.6274999999999999</v>
      </c>
      <c r="CC135" s="177">
        <f t="shared" si="253"/>
        <v>0.84106021946557685</v>
      </c>
      <c r="CD135" s="5">
        <f t="shared" si="254"/>
        <v>84.106021946557689</v>
      </c>
      <c r="CG135" s="571">
        <f t="shared" si="255"/>
        <v>-50</v>
      </c>
      <c r="CH135">
        <f t="shared" si="256"/>
        <v>-50</v>
      </c>
    </row>
    <row r="136" spans="5:86" x14ac:dyDescent="0.2">
      <c r="E136" s="174">
        <v>26</v>
      </c>
      <c r="F136" s="221">
        <f t="shared" si="257"/>
        <v>0.10920000000000001</v>
      </c>
      <c r="G136" s="221"/>
      <c r="H136" s="221">
        <f t="shared" si="201"/>
        <v>1.6926000000000001</v>
      </c>
      <c r="I136" s="551">
        <f t="shared" si="202"/>
        <v>9</v>
      </c>
      <c r="J136" s="451">
        <f t="shared" si="203"/>
        <v>16.399999999999999</v>
      </c>
      <c r="K136" s="451">
        <f t="shared" si="204"/>
        <v>25.4</v>
      </c>
      <c r="L136" s="451"/>
      <c r="M136" s="221">
        <f t="shared" si="205"/>
        <v>0.64566929133858264</v>
      </c>
      <c r="N136" s="176">
        <f t="shared" si="206"/>
        <v>10.799787401574802</v>
      </c>
      <c r="O136" s="176">
        <f t="shared" si="262"/>
        <v>1.6926000000000001</v>
      </c>
      <c r="P136" s="221">
        <f t="shared" si="207"/>
        <v>0.69676047752095494</v>
      </c>
      <c r="Q136" s="221">
        <f t="shared" si="208"/>
        <v>15.5</v>
      </c>
      <c r="R136" s="221"/>
      <c r="S136" s="176">
        <f t="shared" si="209"/>
        <v>143.11668304438027</v>
      </c>
      <c r="T136" s="176">
        <f t="shared" si="210"/>
        <v>15.5</v>
      </c>
      <c r="U136" s="221">
        <f t="shared" si="211"/>
        <v>0.64727551942186101</v>
      </c>
      <c r="V136" s="221">
        <f t="shared" si="212"/>
        <v>0.64727551942186101</v>
      </c>
      <c r="W136" s="221">
        <f t="shared" si="213"/>
        <v>0.35521217529248472</v>
      </c>
      <c r="X136" s="201">
        <f t="shared" si="214"/>
        <v>350</v>
      </c>
      <c r="Y136" s="451">
        <f t="shared" si="215"/>
        <v>350</v>
      </c>
      <c r="AA136" s="221">
        <f t="shared" si="216"/>
        <v>1.8447694038245221</v>
      </c>
      <c r="AB136" s="177">
        <f t="shared" si="217"/>
        <v>1.0123734533183355</v>
      </c>
      <c r="AC136" s="177">
        <f t="shared" si="218"/>
        <v>0.32682922508702178</v>
      </c>
      <c r="AD136" s="177"/>
      <c r="AE136" s="177">
        <f t="shared" si="219"/>
        <v>0.45</v>
      </c>
      <c r="AF136" s="555">
        <f t="shared" si="220"/>
        <v>591.869918699187</v>
      </c>
      <c r="AG136" s="538">
        <f t="shared" si="221"/>
        <v>6.4574999999999994E-2</v>
      </c>
      <c r="AI136" s="177">
        <f t="shared" si="222"/>
        <v>1.0663332812337174</v>
      </c>
      <c r="AJ136" s="177">
        <f t="shared" si="223"/>
        <v>1.0663332812337174</v>
      </c>
      <c r="AK136" s="177">
        <f t="shared" si="224"/>
        <v>1.3642221874891449</v>
      </c>
      <c r="AM136" s="555">
        <f t="shared" si="225"/>
        <v>109.2</v>
      </c>
      <c r="AN136" s="469">
        <f t="shared" si="226"/>
        <v>350</v>
      </c>
      <c r="AP136" s="469">
        <f t="shared" si="227"/>
        <v>109.2</v>
      </c>
      <c r="AQ136" s="469">
        <f t="shared" si="228"/>
        <v>350</v>
      </c>
      <c r="AS136" s="5">
        <f t="shared" si="263"/>
        <v>2.8571428571428572</v>
      </c>
      <c r="AT136" s="5">
        <f t="shared" si="229"/>
        <v>1.0663332812337174</v>
      </c>
      <c r="AU136" s="5">
        <f t="shared" si="230"/>
        <v>1.7908095759091398</v>
      </c>
      <c r="AV136" s="5"/>
      <c r="AW136" s="177">
        <f t="shared" si="231"/>
        <v>0.37321664843180108</v>
      </c>
      <c r="AX136" s="177">
        <f t="shared" si="259"/>
        <v>1.7908799999999994</v>
      </c>
      <c r="AY136" s="177">
        <f t="shared" si="260"/>
        <v>0.33417997395019211</v>
      </c>
      <c r="AZ136" s="177">
        <f t="shared" si="264"/>
        <v>5.3590284864494047</v>
      </c>
      <c r="BA136" s="469">
        <f t="shared" si="232"/>
        <v>21.317779700075526</v>
      </c>
      <c r="BB136" s="469">
        <f t="shared" si="233"/>
        <v>3.612862038709677</v>
      </c>
      <c r="BC136" s="5">
        <f t="shared" si="258"/>
        <v>0.62368812514070149</v>
      </c>
      <c r="BD136" s="469">
        <f t="shared" si="235"/>
        <v>38.048176397330998</v>
      </c>
      <c r="BF136" s="177">
        <f t="shared" si="265"/>
        <v>0.3761082337026817</v>
      </c>
      <c r="BG136" s="177">
        <f t="shared" si="261"/>
        <v>0.48740621535149814</v>
      </c>
      <c r="BI136" s="538">
        <f t="shared" si="236"/>
        <v>1.5560314380484613E-2</v>
      </c>
      <c r="BJ136" s="538">
        <f t="shared" si="237"/>
        <v>4.7398514350838743E-2</v>
      </c>
      <c r="BK136" s="538">
        <f t="shared" si="238"/>
        <v>1.7499999999999998E-2</v>
      </c>
      <c r="BL136" s="538">
        <f t="shared" si="239"/>
        <v>5.0806349999999993E-2</v>
      </c>
      <c r="BM136">
        <f t="shared" si="240"/>
        <v>2.6099999999999999E-3</v>
      </c>
      <c r="BN136">
        <f t="shared" si="241"/>
        <v>1.4E-5</v>
      </c>
      <c r="BO136" s="538">
        <f t="shared" si="242"/>
        <v>0.13427466491320966</v>
      </c>
      <c r="BP136" s="469">
        <f t="shared" si="243"/>
        <v>133.87517873132336</v>
      </c>
      <c r="BQ136" s="538">
        <f t="shared" si="244"/>
        <v>9.8280000000000006E-2</v>
      </c>
      <c r="BT136" s="469">
        <f t="shared" si="245"/>
        <v>98.28</v>
      </c>
      <c r="BU136" s="538">
        <f t="shared" si="246"/>
        <v>6.7899553660296496E-3</v>
      </c>
      <c r="BV136" s="538">
        <f t="shared" si="247"/>
        <v>5.7015556503185037E-2</v>
      </c>
      <c r="BW136" s="538">
        <f t="shared" si="248"/>
        <v>0</v>
      </c>
      <c r="BX136" s="538"/>
      <c r="BY136" s="538">
        <f t="shared" si="249"/>
        <v>1.9898666666666658E-2</v>
      </c>
      <c r="BZ136" s="469">
        <f t="shared" si="250"/>
        <v>83.70417853588134</v>
      </c>
      <c r="CA136" s="177">
        <f t="shared" si="251"/>
        <v>0.31585935726720471</v>
      </c>
      <c r="CB136" s="5">
        <f t="shared" si="252"/>
        <v>1.6926000000000001</v>
      </c>
      <c r="CC136" s="177">
        <f t="shared" si="253"/>
        <v>0.84273549966329586</v>
      </c>
      <c r="CD136" s="5">
        <f t="shared" si="254"/>
        <v>84.273549966329583</v>
      </c>
      <c r="CG136" s="571">
        <f t="shared" si="255"/>
        <v>-50</v>
      </c>
      <c r="CH136">
        <f t="shared" si="256"/>
        <v>-50</v>
      </c>
    </row>
    <row r="137" spans="5:86" x14ac:dyDescent="0.2">
      <c r="E137" s="174">
        <v>27</v>
      </c>
      <c r="F137" s="221">
        <f t="shared" si="257"/>
        <v>0.1134</v>
      </c>
      <c r="G137" s="221"/>
      <c r="H137" s="221">
        <f t="shared" si="201"/>
        <v>1.7577</v>
      </c>
      <c r="I137" s="551">
        <f t="shared" si="202"/>
        <v>9</v>
      </c>
      <c r="J137" s="451">
        <f t="shared" si="203"/>
        <v>16.399999999999999</v>
      </c>
      <c r="K137" s="451">
        <f t="shared" si="204"/>
        <v>25.4</v>
      </c>
      <c r="L137" s="451"/>
      <c r="M137" s="221">
        <f t="shared" si="205"/>
        <v>0.64566929133858264</v>
      </c>
      <c r="N137" s="176">
        <f t="shared" si="206"/>
        <v>10.799787401574802</v>
      </c>
      <c r="O137" s="176">
        <f t="shared" si="262"/>
        <v>1.7577</v>
      </c>
      <c r="P137" s="221">
        <f t="shared" si="207"/>
        <v>0.69676047752095494</v>
      </c>
      <c r="Q137" s="221">
        <f t="shared" si="208"/>
        <v>15.5</v>
      </c>
      <c r="R137" s="221"/>
      <c r="S137" s="176">
        <f t="shared" si="209"/>
        <v>137.48710289451427</v>
      </c>
      <c r="T137" s="176">
        <f t="shared" si="210"/>
        <v>15.5</v>
      </c>
      <c r="U137" s="221">
        <f t="shared" si="211"/>
        <v>0.67217073170731712</v>
      </c>
      <c r="V137" s="221">
        <f t="shared" si="212"/>
        <v>0.67217073170731712</v>
      </c>
      <c r="W137" s="221">
        <f t="shared" si="213"/>
        <v>0.36887418203450334</v>
      </c>
      <c r="X137" s="201">
        <f t="shared" si="214"/>
        <v>350</v>
      </c>
      <c r="Y137" s="451">
        <f t="shared" si="215"/>
        <v>350</v>
      </c>
      <c r="AA137" s="221">
        <f t="shared" si="216"/>
        <v>1.8447694038245221</v>
      </c>
      <c r="AB137" s="177">
        <f t="shared" si="217"/>
        <v>1.0123734533183355</v>
      </c>
      <c r="AC137" s="177">
        <f t="shared" si="218"/>
        <v>0.32682922508702178</v>
      </c>
      <c r="AD137" s="177"/>
      <c r="AE137" s="177">
        <f t="shared" si="219"/>
        <v>0.45</v>
      </c>
      <c r="AF137" s="555">
        <f t="shared" si="220"/>
        <v>614.63414634146341</v>
      </c>
      <c r="AG137" s="538">
        <f t="shared" si="221"/>
        <v>6.4574999999999994E-2</v>
      </c>
      <c r="AI137" s="177">
        <f t="shared" si="222"/>
        <v>1.0866462165764899</v>
      </c>
      <c r="AJ137" s="177">
        <f t="shared" si="223"/>
        <v>1.0866462165764899</v>
      </c>
      <c r="AK137" s="177">
        <f t="shared" si="224"/>
        <v>1.3777641443843267</v>
      </c>
      <c r="AM137" s="555">
        <f t="shared" si="225"/>
        <v>113.4</v>
      </c>
      <c r="AN137" s="469">
        <f t="shared" si="226"/>
        <v>350</v>
      </c>
      <c r="AP137" s="469">
        <f t="shared" si="227"/>
        <v>113.4</v>
      </c>
      <c r="AQ137" s="469">
        <f t="shared" si="228"/>
        <v>350</v>
      </c>
      <c r="AS137" s="5">
        <f t="shared" si="263"/>
        <v>2.8571428571428572</v>
      </c>
      <c r="AT137" s="5">
        <f t="shared" si="229"/>
        <v>1.0866462165764899</v>
      </c>
      <c r="AU137" s="5">
        <f t="shared" si="230"/>
        <v>1.7704966405663674</v>
      </c>
      <c r="AV137" s="5"/>
      <c r="AW137" s="177">
        <f t="shared" si="231"/>
        <v>0.38032617580177142</v>
      </c>
      <c r="AX137" s="177">
        <f t="shared" si="259"/>
        <v>1.8597599999999996</v>
      </c>
      <c r="AY137" s="177">
        <f t="shared" si="260"/>
        <v>0.33668310828824499</v>
      </c>
      <c r="AZ137" s="177">
        <f t="shared" si="264"/>
        <v>5.5237698423759376</v>
      </c>
      <c r="BA137" s="469">
        <f t="shared" si="232"/>
        <v>21.317779700075526</v>
      </c>
      <c r="BB137" s="469">
        <f t="shared" si="233"/>
        <v>3.8873958967741924</v>
      </c>
      <c r="BC137" s="5">
        <f t="shared" si="258"/>
        <v>0.64032961833816937</v>
      </c>
      <c r="BD137" s="469">
        <f t="shared" si="235"/>
        <v>39.070777100290165</v>
      </c>
      <c r="BF137" s="177">
        <f t="shared" si="265"/>
        <v>0.38690616794718746</v>
      </c>
      <c r="BG137" s="177">
        <f t="shared" si="261"/>
        <v>0.49386599113972474</v>
      </c>
      <c r="BI137" s="538">
        <f t="shared" si="236"/>
        <v>1.6466602107513495E-2</v>
      </c>
      <c r="BJ137" s="538">
        <f t="shared" si="237"/>
        <v>4.8301424326824972E-2</v>
      </c>
      <c r="BK137" s="538">
        <f t="shared" si="238"/>
        <v>1.7499999999999998E-2</v>
      </c>
      <c r="BL137" s="538">
        <f t="shared" si="239"/>
        <v>5.0806349999999993E-2</v>
      </c>
      <c r="BM137">
        <f t="shared" si="240"/>
        <v>2.6099999999999999E-3</v>
      </c>
      <c r="BN137">
        <f t="shared" si="241"/>
        <v>1.4E-5</v>
      </c>
      <c r="BO137" s="538">
        <f t="shared" si="242"/>
        <v>0.13611189636543519</v>
      </c>
      <c r="BP137" s="469">
        <f t="shared" si="243"/>
        <v>135.68437643433845</v>
      </c>
      <c r="BQ137" s="538">
        <f t="shared" si="244"/>
        <v>0.10206</v>
      </c>
      <c r="BT137" s="469">
        <f t="shared" si="245"/>
        <v>102.06</v>
      </c>
      <c r="BU137" s="538">
        <f t="shared" si="246"/>
        <v>7.1854263741877077E-3</v>
      </c>
      <c r="BV137" s="538">
        <f t="shared" si="247"/>
        <v>5.8536868129061434E-2</v>
      </c>
      <c r="BW137" s="538">
        <f t="shared" si="248"/>
        <v>0</v>
      </c>
      <c r="BX137" s="538"/>
      <c r="BY137" s="538">
        <f t="shared" si="249"/>
        <v>2.0663999999999995E-2</v>
      </c>
      <c r="BZ137" s="469">
        <f t="shared" si="250"/>
        <v>86.386294503249133</v>
      </c>
      <c r="CA137" s="177">
        <f t="shared" si="251"/>
        <v>0.32413067093758757</v>
      </c>
      <c r="CB137" s="5">
        <f t="shared" si="252"/>
        <v>1.7577</v>
      </c>
      <c r="CC137" s="177">
        <f t="shared" si="253"/>
        <v>0.84430497856407793</v>
      </c>
      <c r="CD137" s="5">
        <f t="shared" si="254"/>
        <v>84.430497856407797</v>
      </c>
      <c r="CG137" s="571">
        <f t="shared" si="255"/>
        <v>-50</v>
      </c>
      <c r="CH137">
        <f t="shared" si="256"/>
        <v>-50</v>
      </c>
    </row>
    <row r="138" spans="5:86" x14ac:dyDescent="0.2">
      <c r="E138" s="174">
        <v>28</v>
      </c>
      <c r="F138" s="221">
        <f t="shared" si="257"/>
        <v>0.11760000000000001</v>
      </c>
      <c r="G138" s="221"/>
      <c r="H138" s="221">
        <f t="shared" si="201"/>
        <v>1.8228000000000002</v>
      </c>
      <c r="I138" s="551">
        <f t="shared" si="202"/>
        <v>9</v>
      </c>
      <c r="J138" s="451">
        <f t="shared" si="203"/>
        <v>16.399999999999999</v>
      </c>
      <c r="K138" s="451">
        <f t="shared" si="204"/>
        <v>25.4</v>
      </c>
      <c r="L138" s="451"/>
      <c r="M138" s="221">
        <f t="shared" si="205"/>
        <v>0.64566929133858264</v>
      </c>
      <c r="N138" s="176">
        <f t="shared" si="206"/>
        <v>10.799787401574802</v>
      </c>
      <c r="O138" s="176">
        <f t="shared" si="262"/>
        <v>1.8228000000000002</v>
      </c>
      <c r="P138" s="221">
        <f t="shared" si="207"/>
        <v>0.69676047752095494</v>
      </c>
      <c r="Q138" s="221">
        <f t="shared" si="208"/>
        <v>15.5</v>
      </c>
      <c r="R138" s="221"/>
      <c r="S138" s="176">
        <f t="shared" si="209"/>
        <v>132.25980875700006</v>
      </c>
      <c r="T138" s="176">
        <f t="shared" si="210"/>
        <v>15.5</v>
      </c>
      <c r="U138" s="221">
        <f t="shared" si="211"/>
        <v>0.69706594399277344</v>
      </c>
      <c r="V138" s="221">
        <f t="shared" si="212"/>
        <v>0.69706594399277344</v>
      </c>
      <c r="W138" s="221">
        <f t="shared" si="213"/>
        <v>0.38253618877652201</v>
      </c>
      <c r="X138" s="201">
        <f t="shared" si="214"/>
        <v>350</v>
      </c>
      <c r="Y138" s="451">
        <f t="shared" si="215"/>
        <v>350</v>
      </c>
      <c r="AA138" s="221">
        <f t="shared" si="216"/>
        <v>1.8447694038245221</v>
      </c>
      <c r="AB138" s="177">
        <f t="shared" si="217"/>
        <v>1.0123734533183355</v>
      </c>
      <c r="AC138" s="177">
        <f t="shared" si="218"/>
        <v>0.32682922508702178</v>
      </c>
      <c r="AD138" s="177"/>
      <c r="AE138" s="177">
        <f t="shared" si="219"/>
        <v>0.45</v>
      </c>
      <c r="AF138" s="555">
        <f t="shared" si="220"/>
        <v>637.39837398373993</v>
      </c>
      <c r="AG138" s="538">
        <f t="shared" si="221"/>
        <v>6.4574999999999994E-2</v>
      </c>
      <c r="AI138" s="177">
        <f t="shared" si="222"/>
        <v>1.1065863424664761</v>
      </c>
      <c r="AJ138" s="177">
        <f t="shared" si="223"/>
        <v>1.1065863424664761</v>
      </c>
      <c r="AK138" s="177">
        <f t="shared" si="224"/>
        <v>1.3910575616443175</v>
      </c>
      <c r="AM138" s="555">
        <f t="shared" si="225"/>
        <v>117.60000000000001</v>
      </c>
      <c r="AN138" s="469">
        <f t="shared" si="226"/>
        <v>350</v>
      </c>
      <c r="AP138" s="469">
        <f t="shared" si="227"/>
        <v>117.60000000000001</v>
      </c>
      <c r="AQ138" s="469">
        <f t="shared" si="228"/>
        <v>350</v>
      </c>
      <c r="AS138" s="5">
        <f t="shared" si="263"/>
        <v>2.8571428571428572</v>
      </c>
      <c r="AT138" s="5">
        <f t="shared" si="229"/>
        <v>1.1065863424664759</v>
      </c>
      <c r="AU138" s="5">
        <f t="shared" si="230"/>
        <v>1.7505565146763813</v>
      </c>
      <c r="AV138" s="5"/>
      <c r="AW138" s="177">
        <f t="shared" si="231"/>
        <v>0.38730521986326655</v>
      </c>
      <c r="AX138" s="177">
        <f t="shared" si="259"/>
        <v>1.9286399999999999</v>
      </c>
      <c r="AY138" s="177">
        <f t="shared" si="260"/>
        <v>0.33899983789990484</v>
      </c>
      <c r="AZ138" s="177">
        <f t="shared" si="264"/>
        <v>5.6892062602385725</v>
      </c>
      <c r="BA138" s="469">
        <f t="shared" si="232"/>
        <v>21.317779700075526</v>
      </c>
      <c r="BB138" s="469">
        <f t="shared" si="233"/>
        <v>4.1719725419354843</v>
      </c>
      <c r="BC138" s="5">
        <f t="shared" si="258"/>
        <v>0.65656675204775883</v>
      </c>
      <c r="BD138" s="469">
        <f t="shared" si="235"/>
        <v>40.069116233976636</v>
      </c>
      <c r="BF138" s="177">
        <f t="shared" si="265"/>
        <v>0.39760455727458877</v>
      </c>
      <c r="BG138" s="177">
        <f t="shared" si="261"/>
        <v>0.50008838600017091</v>
      </c>
      <c r="BI138" s="538">
        <f t="shared" si="236"/>
        <v>1.7389832236207391E-2</v>
      </c>
      <c r="BJ138" s="538">
        <f t="shared" si="237"/>
        <v>4.9187762922634853E-2</v>
      </c>
      <c r="BK138" s="538">
        <f t="shared" si="238"/>
        <v>1.7499999999999998E-2</v>
      </c>
      <c r="BL138" s="538">
        <f t="shared" si="239"/>
        <v>5.0806349999999993E-2</v>
      </c>
      <c r="BM138">
        <f t="shared" si="240"/>
        <v>2.6099999999999999E-3</v>
      </c>
      <c r="BN138">
        <f t="shared" si="241"/>
        <v>1.4E-5</v>
      </c>
      <c r="BO138" s="538">
        <f t="shared" si="242"/>
        <v>0.1379505490176875</v>
      </c>
      <c r="BP138" s="469">
        <f t="shared" si="243"/>
        <v>137.49394515884225</v>
      </c>
      <c r="BQ138" s="538">
        <f t="shared" si="244"/>
        <v>0.10584000000000002</v>
      </c>
      <c r="BT138" s="469">
        <f t="shared" si="245"/>
        <v>105.84000000000002</v>
      </c>
      <c r="BU138" s="538">
        <f t="shared" si="246"/>
        <v>7.5882904303450436E-3</v>
      </c>
      <c r="BV138" s="538">
        <f t="shared" si="247"/>
        <v>6.0021214514941426E-2</v>
      </c>
      <c r="BW138" s="538">
        <f t="shared" si="248"/>
        <v>0</v>
      </c>
      <c r="BX138" s="538"/>
      <c r="BY138" s="538">
        <f t="shared" si="249"/>
        <v>2.1429333333333335E-2</v>
      </c>
      <c r="BZ138" s="469">
        <f t="shared" si="250"/>
        <v>89.038838278619806</v>
      </c>
      <c r="CA138" s="177">
        <f t="shared" si="251"/>
        <v>0.33237278343746207</v>
      </c>
      <c r="CB138" s="5">
        <f t="shared" si="252"/>
        <v>1.8228000000000002</v>
      </c>
      <c r="CC138" s="177">
        <f t="shared" si="253"/>
        <v>0.8457790549362203</v>
      </c>
      <c r="CD138" s="5">
        <f t="shared" si="254"/>
        <v>84.577905493622026</v>
      </c>
      <c r="CG138" s="571">
        <f t="shared" si="255"/>
        <v>-50</v>
      </c>
      <c r="CH138">
        <f t="shared" si="256"/>
        <v>-50</v>
      </c>
    </row>
    <row r="139" spans="5:86" x14ac:dyDescent="0.2">
      <c r="E139" s="174">
        <v>29</v>
      </c>
      <c r="F139" s="221">
        <f t="shared" si="257"/>
        <v>0.12179999999999999</v>
      </c>
      <c r="G139" s="221"/>
      <c r="H139" s="221">
        <f t="shared" si="201"/>
        <v>1.8878999999999999</v>
      </c>
      <c r="I139" s="551">
        <f t="shared" si="202"/>
        <v>9</v>
      </c>
      <c r="J139" s="451">
        <f t="shared" si="203"/>
        <v>16.399999999999999</v>
      </c>
      <c r="K139" s="451">
        <f t="shared" si="204"/>
        <v>25.4</v>
      </c>
      <c r="L139" s="451"/>
      <c r="M139" s="221">
        <f t="shared" si="205"/>
        <v>0.64566929133858264</v>
      </c>
      <c r="N139" s="176">
        <f t="shared" si="206"/>
        <v>10.799787401574802</v>
      </c>
      <c r="O139" s="176">
        <f t="shared" si="262"/>
        <v>1.8878999999999999</v>
      </c>
      <c r="P139" s="221">
        <f t="shared" si="207"/>
        <v>0.69676047752095494</v>
      </c>
      <c r="Q139" s="221">
        <f t="shared" si="208"/>
        <v>15.5</v>
      </c>
      <c r="R139" s="221"/>
      <c r="S139" s="176">
        <f t="shared" si="209"/>
        <v>127.39318589568714</v>
      </c>
      <c r="T139" s="176">
        <f t="shared" si="210"/>
        <v>15.5</v>
      </c>
      <c r="U139" s="221">
        <f t="shared" si="211"/>
        <v>0.72196115627822954</v>
      </c>
      <c r="V139" s="221">
        <f t="shared" si="212"/>
        <v>0.72196115627822965</v>
      </c>
      <c r="W139" s="221">
        <f t="shared" si="213"/>
        <v>0.39619819551854069</v>
      </c>
      <c r="X139" s="201">
        <f t="shared" si="214"/>
        <v>350</v>
      </c>
      <c r="Y139" s="451">
        <f t="shared" si="215"/>
        <v>350</v>
      </c>
      <c r="AA139" s="221">
        <f t="shared" si="216"/>
        <v>1.8447694038245221</v>
      </c>
      <c r="AB139" s="177">
        <f t="shared" si="217"/>
        <v>1.0123734533183355</v>
      </c>
      <c r="AC139" s="177">
        <f t="shared" si="218"/>
        <v>0.32682922508702178</v>
      </c>
      <c r="AD139" s="177"/>
      <c r="AE139" s="177">
        <f t="shared" si="219"/>
        <v>0.45</v>
      </c>
      <c r="AF139" s="555">
        <f t="shared" si="220"/>
        <v>660.16260162601623</v>
      </c>
      <c r="AG139" s="538">
        <f t="shared" si="221"/>
        <v>6.4574999999999994E-2</v>
      </c>
      <c r="AI139" s="177">
        <f t="shared" si="222"/>
        <v>1.126173462068196</v>
      </c>
      <c r="AJ139" s="177">
        <f t="shared" si="223"/>
        <v>1.126173462068196</v>
      </c>
      <c r="AK139" s="177">
        <f t="shared" si="224"/>
        <v>1.4041156413787974</v>
      </c>
      <c r="AM139" s="555">
        <f t="shared" si="225"/>
        <v>121.8</v>
      </c>
      <c r="AN139" s="469">
        <f t="shared" si="226"/>
        <v>350</v>
      </c>
      <c r="AP139" s="469">
        <f t="shared" si="227"/>
        <v>121.8</v>
      </c>
      <c r="AQ139" s="469">
        <f t="shared" si="228"/>
        <v>350</v>
      </c>
      <c r="AS139" s="5">
        <f t="shared" si="263"/>
        <v>2.8571428571428572</v>
      </c>
      <c r="AT139" s="5">
        <f t="shared" si="229"/>
        <v>1.126173462068196</v>
      </c>
      <c r="AU139" s="5">
        <f t="shared" si="230"/>
        <v>1.7309693950746612</v>
      </c>
      <c r="AV139" s="5"/>
      <c r="AW139" s="177">
        <f t="shared" si="231"/>
        <v>0.39416071172386857</v>
      </c>
      <c r="AX139" s="177">
        <f t="shared" si="259"/>
        <v>1.9975199999999995</v>
      </c>
      <c r="AY139" s="177">
        <f t="shared" si="260"/>
        <v>0.34114006436743138</v>
      </c>
      <c r="AZ139" s="177">
        <f t="shared" si="264"/>
        <v>5.8554248200191834</v>
      </c>
      <c r="BA139" s="469">
        <f t="shared" si="232"/>
        <v>21.317779700075526</v>
      </c>
      <c r="BB139" s="469">
        <f t="shared" si="233"/>
        <v>4.4665919741935465</v>
      </c>
      <c r="BC139" s="5">
        <f t="shared" si="258"/>
        <v>0.67240681501264454</v>
      </c>
      <c r="BD139" s="469">
        <f t="shared" si="235"/>
        <v>41.043631122980891</v>
      </c>
      <c r="BF139" s="177">
        <f t="shared" si="265"/>
        <v>0.40820782778261028</v>
      </c>
      <c r="BG139" s="177">
        <f t="shared" si="261"/>
        <v>0.50608489889795993</v>
      </c>
      <c r="BI139" s="538">
        <f t="shared" si="236"/>
        <v>1.8329699372929695E-2</v>
      </c>
      <c r="BJ139" s="538">
        <f t="shared" si="237"/>
        <v>5.0058410388931308E-2</v>
      </c>
      <c r="BK139" s="538">
        <f t="shared" si="238"/>
        <v>1.7499999999999998E-2</v>
      </c>
      <c r="BL139" s="538">
        <f t="shared" si="239"/>
        <v>5.0806349999999993E-2</v>
      </c>
      <c r="BM139">
        <f t="shared" si="240"/>
        <v>2.6099999999999999E-3</v>
      </c>
      <c r="BN139">
        <f t="shared" si="241"/>
        <v>1.4E-5</v>
      </c>
      <c r="BO139" s="538">
        <f t="shared" si="242"/>
        <v>0.13979120980381182</v>
      </c>
      <c r="BP139" s="469">
        <f t="shared" si="243"/>
        <v>139.30445976186101</v>
      </c>
      <c r="BQ139" s="538">
        <f t="shared" si="244"/>
        <v>0.10962</v>
      </c>
      <c r="BT139" s="469">
        <f t="shared" si="245"/>
        <v>109.61999999999999</v>
      </c>
      <c r="BU139" s="538">
        <f t="shared" si="246"/>
        <v>7.9984142718238661E-3</v>
      </c>
      <c r="BV139" s="538">
        <f t="shared" si="247"/>
        <v>6.1469261974213991E-2</v>
      </c>
      <c r="BW139" s="538">
        <f t="shared" si="248"/>
        <v>0</v>
      </c>
      <c r="BX139" s="538"/>
      <c r="BY139" s="538">
        <f t="shared" si="249"/>
        <v>2.2194666666666665E-2</v>
      </c>
      <c r="BZ139" s="469">
        <f t="shared" si="250"/>
        <v>91.662342912704531</v>
      </c>
      <c r="CA139" s="177">
        <f t="shared" si="251"/>
        <v>0.34058680267456548</v>
      </c>
      <c r="CB139" s="5">
        <f t="shared" si="252"/>
        <v>1.8878999999999999</v>
      </c>
      <c r="CC139" s="177">
        <f t="shared" si="253"/>
        <v>0.84716678498351305</v>
      </c>
      <c r="CD139" s="5">
        <f t="shared" si="254"/>
        <v>84.7166784983513</v>
      </c>
      <c r="CG139" s="571">
        <f t="shared" si="255"/>
        <v>-50</v>
      </c>
      <c r="CH139">
        <f t="shared" si="256"/>
        <v>-50</v>
      </c>
    </row>
    <row r="140" spans="5:86" x14ac:dyDescent="0.2">
      <c r="E140" s="174">
        <v>30</v>
      </c>
      <c r="F140" s="221">
        <f t="shared" si="257"/>
        <v>0.126</v>
      </c>
      <c r="G140" s="221"/>
      <c r="H140" s="221">
        <f t="shared" si="201"/>
        <v>1.9530000000000001</v>
      </c>
      <c r="I140" s="551">
        <f t="shared" si="202"/>
        <v>9</v>
      </c>
      <c r="J140" s="451">
        <f t="shared" si="203"/>
        <v>16.399999999999999</v>
      </c>
      <c r="K140" s="451">
        <f t="shared" si="204"/>
        <v>25.4</v>
      </c>
      <c r="L140" s="451"/>
      <c r="M140" s="221">
        <f t="shared" si="205"/>
        <v>0.64566929133858264</v>
      </c>
      <c r="N140" s="176">
        <f t="shared" si="206"/>
        <v>10.799787401574802</v>
      </c>
      <c r="O140" s="176">
        <f t="shared" si="262"/>
        <v>1.9530000000000001</v>
      </c>
      <c r="P140" s="221">
        <f t="shared" si="207"/>
        <v>0.69676047752095494</v>
      </c>
      <c r="Q140" s="221">
        <f t="shared" si="208"/>
        <v>15.5</v>
      </c>
      <c r="R140" s="221"/>
      <c r="S140" s="176">
        <f t="shared" si="209"/>
        <v>122.85116821327674</v>
      </c>
      <c r="T140" s="176">
        <f t="shared" si="210"/>
        <v>15.5</v>
      </c>
      <c r="U140" s="221">
        <f t="shared" si="211"/>
        <v>0.74685636856368576</v>
      </c>
      <c r="V140" s="221">
        <f t="shared" si="212"/>
        <v>0.74685636856368587</v>
      </c>
      <c r="W140" s="221">
        <f t="shared" si="213"/>
        <v>0.40986020226055936</v>
      </c>
      <c r="X140" s="201">
        <f t="shared" si="214"/>
        <v>350</v>
      </c>
      <c r="Y140" s="451">
        <f t="shared" si="215"/>
        <v>350</v>
      </c>
      <c r="AA140" s="221">
        <f t="shared" si="216"/>
        <v>1.8447694038245221</v>
      </c>
      <c r="AB140" s="177">
        <f t="shared" si="217"/>
        <v>1.0123734533183355</v>
      </c>
      <c r="AC140" s="177">
        <f t="shared" si="218"/>
        <v>0.32682922508702178</v>
      </c>
      <c r="AD140" s="177"/>
      <c r="AE140" s="177">
        <f t="shared" si="219"/>
        <v>0.45</v>
      </c>
      <c r="AF140" s="555">
        <f t="shared" si="220"/>
        <v>682.92682926829275</v>
      </c>
      <c r="AG140" s="538">
        <f t="shared" si="221"/>
        <v>6.4574999999999994E-2</v>
      </c>
      <c r="AI140" s="177">
        <f t="shared" si="222"/>
        <v>1.1454256850621083</v>
      </c>
      <c r="AJ140" s="177">
        <f t="shared" si="223"/>
        <v>1.1454256850621083</v>
      </c>
      <c r="AK140" s="177">
        <f t="shared" si="224"/>
        <v>1.4169504567080722</v>
      </c>
      <c r="AM140" s="555">
        <f t="shared" si="225"/>
        <v>126</v>
      </c>
      <c r="AN140" s="469">
        <f t="shared" si="226"/>
        <v>350</v>
      </c>
      <c r="AP140" s="469">
        <f t="shared" si="227"/>
        <v>126</v>
      </c>
      <c r="AQ140" s="469">
        <f t="shared" si="228"/>
        <v>350</v>
      </c>
      <c r="AS140" s="5">
        <f t="shared" si="263"/>
        <v>2.8571428571428572</v>
      </c>
      <c r="AT140" s="5">
        <f t="shared" si="229"/>
        <v>1.1454256850621083</v>
      </c>
      <c r="AU140" s="5">
        <f t="shared" si="230"/>
        <v>1.7117171720807489</v>
      </c>
      <c r="AV140" s="5"/>
      <c r="AW140" s="177">
        <f t="shared" si="231"/>
        <v>0.40089898977173788</v>
      </c>
      <c r="AX140" s="177">
        <f t="shared" si="259"/>
        <v>2.0664000000000002</v>
      </c>
      <c r="AY140" s="177">
        <f t="shared" si="260"/>
        <v>0.34311284253105412</v>
      </c>
      <c r="AZ140" s="177">
        <f t="shared" si="264"/>
        <v>6.0225084690992778</v>
      </c>
      <c r="BA140" s="469">
        <f t="shared" si="232"/>
        <v>21.317779700075526</v>
      </c>
      <c r="BB140" s="469">
        <f t="shared" si="233"/>
        <v>4.771254193548387</v>
      </c>
      <c r="BC140" s="5">
        <f t="shared" si="258"/>
        <v>0.6878567154472639</v>
      </c>
      <c r="BD140" s="469">
        <f t="shared" si="235"/>
        <v>41.994736260169169</v>
      </c>
      <c r="BF140" s="177">
        <f t="shared" si="265"/>
        <v>0.41872006343957302</v>
      </c>
      <c r="BG140" s="177">
        <f t="shared" si="261"/>
        <v>0.5118660389266837</v>
      </c>
      <c r="BI140" s="538">
        <f t="shared" si="236"/>
        <v>1.9285914067952405E-2</v>
      </c>
      <c r="BJ140" s="538">
        <f t="shared" si="237"/>
        <v>5.0914171701010709E-2</v>
      </c>
      <c r="BK140" s="538">
        <f t="shared" si="238"/>
        <v>1.7499999999999998E-2</v>
      </c>
      <c r="BL140" s="538">
        <f t="shared" si="239"/>
        <v>5.0806349999999993E-2</v>
      </c>
      <c r="BM140">
        <f t="shared" si="240"/>
        <v>2.6099999999999999E-3</v>
      </c>
      <c r="BN140">
        <f t="shared" si="241"/>
        <v>1.4E-5</v>
      </c>
      <c r="BO140" s="538">
        <f t="shared" si="242"/>
        <v>0.1416344065583468</v>
      </c>
      <c r="BP140" s="469">
        <f t="shared" si="243"/>
        <v>141.1164357689631</v>
      </c>
      <c r="BQ140" s="538">
        <f t="shared" si="244"/>
        <v>0.1134</v>
      </c>
      <c r="BT140" s="469">
        <f t="shared" si="245"/>
        <v>113.4</v>
      </c>
      <c r="BU140" s="538">
        <f t="shared" si="246"/>
        <v>8.4156715932883226E-3</v>
      </c>
      <c r="BV140" s="538">
        <f t="shared" si="247"/>
        <v>6.288164203355838E-2</v>
      </c>
      <c r="BW140" s="538">
        <f t="shared" si="248"/>
        <v>0</v>
      </c>
      <c r="BX140" s="538"/>
      <c r="BY140" s="538">
        <f t="shared" si="249"/>
        <v>2.2960000000000001E-2</v>
      </c>
      <c r="BZ140" s="469">
        <f t="shared" si="250"/>
        <v>94.257313626846695</v>
      </c>
      <c r="CA140" s="177">
        <f t="shared" si="251"/>
        <v>0.3487737493958098</v>
      </c>
      <c r="CB140" s="5">
        <f t="shared" si="252"/>
        <v>1.9530000000000001</v>
      </c>
      <c r="CC140" s="177">
        <f t="shared" si="253"/>
        <v>0.84847609393088308</v>
      </c>
      <c r="CD140" s="5">
        <f t="shared" si="254"/>
        <v>84.847609393088305</v>
      </c>
      <c r="CG140" s="571">
        <f t="shared" si="255"/>
        <v>-50</v>
      </c>
      <c r="CH140">
        <f t="shared" si="256"/>
        <v>-50</v>
      </c>
    </row>
    <row r="141" spans="5:86" x14ac:dyDescent="0.2">
      <c r="E141" s="174">
        <v>31</v>
      </c>
      <c r="F141" s="221">
        <f t="shared" si="257"/>
        <v>0.13019999999999998</v>
      </c>
      <c r="G141" s="221"/>
      <c r="H141" s="221">
        <f t="shared" si="201"/>
        <v>2.0180999999999996</v>
      </c>
      <c r="I141" s="551">
        <f t="shared" si="202"/>
        <v>9</v>
      </c>
      <c r="J141" s="451">
        <f t="shared" si="203"/>
        <v>16.399999999999999</v>
      </c>
      <c r="K141" s="451">
        <f t="shared" si="204"/>
        <v>25.4</v>
      </c>
      <c r="L141" s="451"/>
      <c r="M141" s="221">
        <f t="shared" si="205"/>
        <v>0.64566929133858264</v>
      </c>
      <c r="N141" s="176">
        <f t="shared" si="206"/>
        <v>10.799787401574802</v>
      </c>
      <c r="O141" s="176">
        <f t="shared" si="262"/>
        <v>2.0180999999999996</v>
      </c>
      <c r="P141" s="221">
        <f t="shared" si="207"/>
        <v>0.69676047752095494</v>
      </c>
      <c r="Q141" s="221">
        <f t="shared" si="208"/>
        <v>15.5</v>
      </c>
      <c r="R141" s="221"/>
      <c r="S141" s="176">
        <f t="shared" si="209"/>
        <v>118.60234330962092</v>
      </c>
      <c r="T141" s="176">
        <f t="shared" si="210"/>
        <v>15.5</v>
      </c>
      <c r="U141" s="221">
        <f t="shared" si="211"/>
        <v>0.77175158084914175</v>
      </c>
      <c r="V141" s="221">
        <f t="shared" si="212"/>
        <v>0.77175158084914175</v>
      </c>
      <c r="W141" s="221">
        <f t="shared" si="213"/>
        <v>0.42352220900257781</v>
      </c>
      <c r="X141" s="201">
        <f t="shared" si="214"/>
        <v>350</v>
      </c>
      <c r="Y141" s="451">
        <f t="shared" si="215"/>
        <v>350</v>
      </c>
      <c r="AA141" s="221">
        <f t="shared" si="216"/>
        <v>1.8447694038245221</v>
      </c>
      <c r="AB141" s="177">
        <f t="shared" si="217"/>
        <v>1.0123734533183355</v>
      </c>
      <c r="AC141" s="177">
        <f t="shared" si="218"/>
        <v>0.32682922508702178</v>
      </c>
      <c r="AD141" s="177"/>
      <c r="AE141" s="177">
        <f t="shared" si="219"/>
        <v>0.45</v>
      </c>
      <c r="AF141" s="555">
        <f t="shared" si="220"/>
        <v>705.69105691056905</v>
      </c>
      <c r="AG141" s="538">
        <f t="shared" si="221"/>
        <v>6.4574999999999994E-2</v>
      </c>
      <c r="AI141" s="177">
        <f t="shared" si="222"/>
        <v>1.1643596237131091</v>
      </c>
      <c r="AJ141" s="177">
        <f t="shared" si="223"/>
        <v>1.1643596237131091</v>
      </c>
      <c r="AK141" s="177">
        <f t="shared" si="224"/>
        <v>1.429573082475406</v>
      </c>
      <c r="AM141" s="555">
        <f t="shared" si="225"/>
        <v>130.19999999999999</v>
      </c>
      <c r="AN141" s="469">
        <f t="shared" si="226"/>
        <v>350</v>
      </c>
      <c r="AP141" s="469">
        <f t="shared" si="227"/>
        <v>130.19999999999999</v>
      </c>
      <c r="AQ141" s="469">
        <f t="shared" si="228"/>
        <v>350</v>
      </c>
      <c r="AS141" s="5">
        <f t="shared" si="263"/>
        <v>2.8571428571428572</v>
      </c>
      <c r="AT141" s="5">
        <f t="shared" si="229"/>
        <v>1.1643596237131091</v>
      </c>
      <c r="AU141" s="5">
        <f t="shared" si="230"/>
        <v>1.6927832334297481</v>
      </c>
      <c r="AV141" s="5"/>
      <c r="AW141" s="177">
        <f t="shared" si="231"/>
        <v>0.40752586829958815</v>
      </c>
      <c r="AX141" s="177">
        <f t="shared" si="259"/>
        <v>2.1352799999999994</v>
      </c>
      <c r="AY141" s="177">
        <f t="shared" si="260"/>
        <v>0.34492647852322128</v>
      </c>
      <c r="AZ141" s="177">
        <f t="shared" si="264"/>
        <v>6.1905366301307225</v>
      </c>
      <c r="BA141" s="469">
        <f t="shared" si="232"/>
        <v>21.317779700075526</v>
      </c>
      <c r="BB141" s="469">
        <f t="shared" si="233"/>
        <v>5.0859591999999969</v>
      </c>
      <c r="BC141" s="5">
        <f t="shared" si="258"/>
        <v>0.70292301304209326</v>
      </c>
      <c r="BD141" s="469">
        <f t="shared" si="235"/>
        <v>42.922825226970048</v>
      </c>
      <c r="BF141" s="177">
        <f t="shared" si="265"/>
        <v>0.42914504302133932</v>
      </c>
      <c r="BG141" s="177">
        <f t="shared" si="261"/>
        <v>0.51744143935456488</v>
      </c>
      <c r="BI141" s="538">
        <f t="shared" si="236"/>
        <v>2.025820147447659E-2</v>
      </c>
      <c r="BJ141" s="538">
        <f t="shared" si="237"/>
        <v>5.1755785274047693E-2</v>
      </c>
      <c r="BK141" s="538">
        <f t="shared" si="238"/>
        <v>1.7499999999999998E-2</v>
      </c>
      <c r="BL141" s="538">
        <f t="shared" si="239"/>
        <v>5.0806349999999993E-2</v>
      </c>
      <c r="BM141">
        <f t="shared" si="240"/>
        <v>2.6099999999999999E-3</v>
      </c>
      <c r="BN141">
        <f t="shared" si="241"/>
        <v>1.4E-5</v>
      </c>
      <c r="BO141" s="538">
        <f t="shared" si="242"/>
        <v>0.14348061537349216</v>
      </c>
      <c r="BP141" s="469">
        <f t="shared" si="243"/>
        <v>142.9303367485243</v>
      </c>
      <c r="BQ141" s="538">
        <f t="shared" si="244"/>
        <v>0.11717999999999999</v>
      </c>
      <c r="BT141" s="469">
        <f t="shared" si="245"/>
        <v>117.17999999999999</v>
      </c>
      <c r="BU141" s="538">
        <f t="shared" si="246"/>
        <v>8.8399424615897837E-3</v>
      </c>
      <c r="BV141" s="538">
        <f t="shared" si="247"/>
        <v>6.4258954358717715E-2</v>
      </c>
      <c r="BW141" s="538">
        <f t="shared" si="248"/>
        <v>0</v>
      </c>
      <c r="BX141" s="538"/>
      <c r="BY141" s="538">
        <f t="shared" si="249"/>
        <v>2.3725333333333327E-2</v>
      </c>
      <c r="BZ141" s="469">
        <f t="shared" si="250"/>
        <v>96.824230153640826</v>
      </c>
      <c r="CA141" s="177">
        <f t="shared" si="251"/>
        <v>0.35693456690216507</v>
      </c>
      <c r="CB141" s="5">
        <f t="shared" si="252"/>
        <v>2.0180999999999996</v>
      </c>
      <c r="CC141" s="177">
        <f t="shared" si="253"/>
        <v>0.84971394864045013</v>
      </c>
      <c r="CD141" s="5">
        <f t="shared" si="254"/>
        <v>84.97139486404501</v>
      </c>
      <c r="CG141" s="571">
        <f t="shared" si="255"/>
        <v>-50</v>
      </c>
      <c r="CH141">
        <f t="shared" si="256"/>
        <v>-50</v>
      </c>
    </row>
    <row r="142" spans="5:86" x14ac:dyDescent="0.2">
      <c r="E142" s="174">
        <v>32</v>
      </c>
      <c r="F142" s="221">
        <f t="shared" si="257"/>
        <v>0.13439999999999999</v>
      </c>
      <c r="G142" s="221"/>
      <c r="H142" s="221">
        <f t="shared" ref="H142:H173" si="266">F142*Vout</f>
        <v>2.0831999999999997</v>
      </c>
      <c r="I142" s="551">
        <f t="shared" ref="I142:I173" si="267">VIN_min</f>
        <v>9</v>
      </c>
      <c r="J142" s="451">
        <f t="shared" ref="J142:J173" si="268">(T142+Vfwd1)*Nps</f>
        <v>16.399999999999999</v>
      </c>
      <c r="K142" s="451">
        <f t="shared" ref="K142:K173" si="269">(Vout+Vfwd1)*Nps+I142</f>
        <v>25.4</v>
      </c>
      <c r="L142" s="451"/>
      <c r="M142" s="221">
        <f t="shared" ref="M142:M173" si="270">(Vout+Vfwd1)*Nps/((Vout+Vfwd1)*Nps+I142)</f>
        <v>0.64566929133858264</v>
      </c>
      <c r="N142" s="176">
        <f t="shared" ref="N142:N173" si="271">M142*I142*(Isw_max+VIN_min/Lmag*ILIM_delay)*0.5*Efficiency</f>
        <v>10.799787401574802</v>
      </c>
      <c r="O142" s="176">
        <f t="shared" si="262"/>
        <v>2.0831999999999997</v>
      </c>
      <c r="P142" s="221">
        <f t="shared" ref="P142:P173" si="272">N142/Vout</f>
        <v>0.69676047752095494</v>
      </c>
      <c r="Q142" s="221">
        <f t="shared" ref="Q142:Q173" si="273">MIN(Vout,N142/F142)</f>
        <v>15.5</v>
      </c>
      <c r="R142" s="221"/>
      <c r="S142" s="176">
        <f t="shared" ref="S142:S173" si="274">(SQRT(Isw_max^2*Nps^2*I142^2+4*Isw_max*F142/Efficiency*(Nps^2*Vfwd1*I142-Nps*I142^2)+4*(F142/Efficiency)^2*Nps^2*Vfwd1^2+8*(F142/Efficiency)^2*Nps*Vfwd1*I142+4*(F142/Efficiency)^2*I142^2)-2*F142/Efficiency*I142-2*F142/Efficiency*Nps*Vfwd1+Isw_max*Nps*I142)/(4*F142/Efficiency*Nps)</f>
        <v>114.61922534159028</v>
      </c>
      <c r="T142" s="176">
        <f t="shared" ref="T142:T173" si="275">MIN(Vout, S142)</f>
        <v>15.5</v>
      </c>
      <c r="U142" s="221">
        <f t="shared" ref="U142:U173" si="276">MIN(2*Vout*F142/(Efficiency*I142*M142), Isw_max)</f>
        <v>0.79664679313459796</v>
      </c>
      <c r="V142" s="221">
        <f t="shared" ref="V142:V173" si="277">L*U142/I142*1000000</f>
        <v>0.79664679313459807</v>
      </c>
      <c r="W142" s="221">
        <f t="shared" ref="W142:W173" si="278">L*U142/J142*1000000</f>
        <v>0.43718421574459648</v>
      </c>
      <c r="X142" s="201">
        <f t="shared" ref="X142:X173" si="279">IF(1/((350000*L)*(1/I142+1/J142))&gt;Isw_min, 350, 0.001/((Isw_min*L)*(1/I142+1/J142)))</f>
        <v>350</v>
      </c>
      <c r="Y142" s="451">
        <f t="shared" si="215"/>
        <v>350</v>
      </c>
      <c r="AA142" s="221">
        <f t="shared" ref="AA142:AA173" si="280">1/((X142*1000*L)*(1/I142+1/J142))</f>
        <v>1.8447694038245221</v>
      </c>
      <c r="AB142" s="177">
        <f t="shared" ref="AB142:AB173" si="281">L*AA142/J142*1000000</f>
        <v>1.0123734533183355</v>
      </c>
      <c r="AC142" s="177">
        <f t="shared" ref="AC142:AC173" si="282">0.5*AB142*AA142*Nps*X142/1000</f>
        <v>0.32682922508702178</v>
      </c>
      <c r="AD142" s="177"/>
      <c r="AE142" s="177">
        <f t="shared" ref="AE142:AE173" si="283">L*Isw_min/J142*1000000</f>
        <v>0.45</v>
      </c>
      <c r="AF142" s="555">
        <f t="shared" ref="AF142:AF173" si="284">MAX(12000,F142/(0.5*AE142/1000000*Isw_min*Nps))/1000</f>
        <v>728.45528455284557</v>
      </c>
      <c r="AG142" s="538">
        <f t="shared" ref="AG142:AG173" si="285">0.5*AE142/1000000*Isw_min*Nps*X142*1000</f>
        <v>6.4574999999999994E-2</v>
      </c>
      <c r="AI142" s="177">
        <f t="shared" ref="AI142:AI173" si="286">SQRT(F142/(0.5*L/J142*Fsw_DCM*Nps))</f>
        <v>1.182990560683671</v>
      </c>
      <c r="AJ142" s="177">
        <f t="shared" ref="AJ142:AJ173" si="287">MAX(IF(F142&gt;AC142,U142,AI142),Isw_min)</f>
        <v>1.182990560683671</v>
      </c>
      <c r="AK142" s="177">
        <f t="shared" ref="AK142:AK173" si="288">IF(F142&gt;AG142, (AJ142-Isw_min)/1.2*0.8+1.2, AF142*0.2/350+1)</f>
        <v>1.4419937071224473</v>
      </c>
      <c r="AM142" s="555">
        <f t="shared" ref="AM142:AM173" si="289">F142*1000</f>
        <v>134.4</v>
      </c>
      <c r="AN142" s="469">
        <f t="shared" ref="AN142:AN173" si="290">IF(F142&gt;AG142, Y142, AF142)</f>
        <v>350</v>
      </c>
      <c r="AP142" s="469">
        <f t="shared" ref="AP142:AP173" si="291">IF(H142&gt;N142, "",AM142)</f>
        <v>134.4</v>
      </c>
      <c r="AQ142" s="469">
        <f t="shared" ref="AQ142:AQ173" si="292">IF(H142&gt;N142, "",AN142)</f>
        <v>350</v>
      </c>
      <c r="AS142" s="5">
        <f t="shared" si="263"/>
        <v>2.8571428571428572</v>
      </c>
      <c r="AT142" s="5">
        <f t="shared" ref="AT142:AT173" si="293">L*AJ142/I142*1000000</f>
        <v>1.182990560683671</v>
      </c>
      <c r="AU142" s="5">
        <f t="shared" si="230"/>
        <v>1.6741522964591862</v>
      </c>
      <c r="AV142" s="5"/>
      <c r="AW142" s="177">
        <f t="shared" si="231"/>
        <v>0.41404669623928486</v>
      </c>
      <c r="AX142" s="177">
        <f t="shared" si="259"/>
        <v>2.2041599999999999</v>
      </c>
      <c r="AY142" s="177">
        <f t="shared" si="260"/>
        <v>0.34658861367516891</v>
      </c>
      <c r="AZ142" s="177">
        <f t="shared" si="264"/>
        <v>6.3595857250688308</v>
      </c>
      <c r="BA142" s="469">
        <f t="shared" ref="BA142:BA173" si="294">L*Isw_max^2/(2*Vout_ripple*Vout)*1000000000*((1+M142)/2)^2</f>
        <v>21.317779700075526</v>
      </c>
      <c r="BB142" s="469">
        <f t="shared" ref="BB142:BB173" si="295">L*F142^2/(2*Cout*Vout*Nps^2)*1000000000*((1+M142)/(1-M142))^2+F142*RCoutEsr</f>
        <v>5.4107069935483842</v>
      </c>
      <c r="BC142" s="5">
        <f t="shared" si="258"/>
        <v>0.71761194732176448</v>
      </c>
      <c r="BD142" s="469">
        <f t="shared" ref="BD142:BD173" si="296">((CB142/I142/Efficiency)*AU142/Cin+(CB142/I142/Efficiency)*RCinEsr)*1000</f>
        <v>43.828272394861429</v>
      </c>
      <c r="BF142" s="177">
        <f t="shared" si="265"/>
        <v>0.4394862720003655</v>
      </c>
      <c r="BG142" s="177">
        <f t="shared" si="261"/>
        <v>0.52281995525430125</v>
      </c>
      <c r="BI142" s="538">
        <f t="shared" si="236"/>
        <v>2.1246300160445715E-2</v>
      </c>
      <c r="BJ142" s="538">
        <f t="shared" si="237"/>
        <v>5.2583930422389173E-2</v>
      </c>
      <c r="BK142" s="538">
        <f t="shared" si="238"/>
        <v>1.7499999999999998E-2</v>
      </c>
      <c r="BL142" s="538">
        <f t="shared" si="239"/>
        <v>5.0806349999999993E-2</v>
      </c>
      <c r="BM142">
        <f t="shared" si="240"/>
        <v>2.6099999999999999E-3</v>
      </c>
      <c r="BN142">
        <f t="shared" ref="BN142:BN173" si="297">(I142-Vdd)*Qg*AN142</f>
        <v>1.4E-5</v>
      </c>
      <c r="BO142" s="538">
        <f t="shared" ref="BO142:BO173" si="298">(BJ142+BK142+BL142+BM142+BN142+BI142*(1+RdsonTC*(Ta-25)))/(1-BI142*RdsonTC*ThetaJA)</f>
        <v>0.1453302668549184</v>
      </c>
      <c r="BP142" s="469">
        <f t="shared" si="243"/>
        <v>144.74658058283487</v>
      </c>
      <c r="BQ142" s="538">
        <f t="shared" ref="BQ142:BQ173" si="299">(Vfwd2*F142+BG142^2*Rdiode)*(1+Diode_TC/1000*(Ta-25))</f>
        <v>0.12096</v>
      </c>
      <c r="BT142" s="469">
        <f t="shared" si="245"/>
        <v>120.96</v>
      </c>
      <c r="BU142" s="538">
        <f t="shared" si="246"/>
        <v>9.2711127972854041E-3</v>
      </c>
      <c r="BV142" s="538">
        <f t="shared" si="247"/>
        <v>6.5601769346906286E-2</v>
      </c>
      <c r="BW142" s="538">
        <f t="shared" si="248"/>
        <v>0</v>
      </c>
      <c r="BX142" s="538"/>
      <c r="BY142" s="538">
        <f t="shared" si="249"/>
        <v>2.4490666666666664E-2</v>
      </c>
      <c r="BZ142" s="469">
        <f t="shared" si="250"/>
        <v>99.363548810858347</v>
      </c>
      <c r="CA142" s="177">
        <f t="shared" si="251"/>
        <v>0.36507012939369321</v>
      </c>
      <c r="CB142" s="5">
        <f t="shared" si="252"/>
        <v>2.0831999999999997</v>
      </c>
      <c r="CC142" s="177">
        <f t="shared" si="253"/>
        <v>0.85088649940596961</v>
      </c>
      <c r="CD142" s="5">
        <f t="shared" si="254"/>
        <v>85.088649940596966</v>
      </c>
      <c r="CG142" s="571">
        <f t="shared" ref="CG142:CG173" si="300">IF(ABS(F142-Ioutmax_Vinmin)&lt;Iout/200, AN142, -50)</f>
        <v>-50</v>
      </c>
      <c r="CH142">
        <f t="shared" ref="CH142:CH173" si="301">IF(ABS(F142-Ioutmax_Vinmin)&lt;Iout/200, N142*CC142, -50)</f>
        <v>-50</v>
      </c>
    </row>
    <row r="143" spans="5:86" x14ac:dyDescent="0.2">
      <c r="E143" s="174">
        <v>33</v>
      </c>
      <c r="F143" s="221">
        <f t="shared" ref="F143:F174" si="302">IF(PLOT_TYPE=1, E143/100*Iout_max, min_I*EXP(N143*rr/100))</f>
        <v>0.1386</v>
      </c>
      <c r="G143" s="221"/>
      <c r="H143" s="221">
        <f t="shared" si="266"/>
        <v>2.1482999999999999</v>
      </c>
      <c r="I143" s="551">
        <f t="shared" si="267"/>
        <v>9</v>
      </c>
      <c r="J143" s="451">
        <f t="shared" si="268"/>
        <v>16.399999999999999</v>
      </c>
      <c r="K143" s="451">
        <f t="shared" si="269"/>
        <v>25.4</v>
      </c>
      <c r="L143" s="451"/>
      <c r="M143" s="221">
        <f t="shared" si="270"/>
        <v>0.64566929133858264</v>
      </c>
      <c r="N143" s="176">
        <f t="shared" si="271"/>
        <v>10.799787401574802</v>
      </c>
      <c r="O143" s="176">
        <f t="shared" si="262"/>
        <v>2.1482999999999999</v>
      </c>
      <c r="P143" s="221">
        <f t="shared" si="272"/>
        <v>0.69676047752095494</v>
      </c>
      <c r="Q143" s="221">
        <f t="shared" si="273"/>
        <v>15.5</v>
      </c>
      <c r="R143" s="221"/>
      <c r="S143" s="176">
        <f t="shared" si="274"/>
        <v>110.8776600902389</v>
      </c>
      <c r="T143" s="176">
        <f t="shared" si="275"/>
        <v>15.5</v>
      </c>
      <c r="U143" s="221">
        <f t="shared" si="276"/>
        <v>0.82154200542005429</v>
      </c>
      <c r="V143" s="221">
        <f t="shared" si="277"/>
        <v>0.82154200542005429</v>
      </c>
      <c r="W143" s="221">
        <f t="shared" si="278"/>
        <v>0.45084622248661521</v>
      </c>
      <c r="X143" s="201">
        <f t="shared" si="279"/>
        <v>350</v>
      </c>
      <c r="Y143" s="451">
        <f t="shared" si="215"/>
        <v>350</v>
      </c>
      <c r="AA143" s="221">
        <f t="shared" si="280"/>
        <v>1.8447694038245221</v>
      </c>
      <c r="AB143" s="177">
        <f t="shared" si="281"/>
        <v>1.0123734533183355</v>
      </c>
      <c r="AC143" s="177">
        <f t="shared" si="282"/>
        <v>0.32682922508702178</v>
      </c>
      <c r="AD143" s="177"/>
      <c r="AE143" s="177">
        <f t="shared" si="283"/>
        <v>0.45</v>
      </c>
      <c r="AF143" s="555">
        <f t="shared" si="284"/>
        <v>751.21951219512198</v>
      </c>
      <c r="AG143" s="538">
        <f t="shared" si="285"/>
        <v>6.4574999999999994E-2</v>
      </c>
      <c r="AI143" s="177">
        <f t="shared" si="286"/>
        <v>1.2013325934144965</v>
      </c>
      <c r="AJ143" s="177">
        <f t="shared" si="287"/>
        <v>1.2013325934144965</v>
      </c>
      <c r="AK143" s="177">
        <f t="shared" si="288"/>
        <v>1.4542217289429977</v>
      </c>
      <c r="AM143" s="555">
        <f t="shared" si="289"/>
        <v>138.6</v>
      </c>
      <c r="AN143" s="469">
        <f t="shared" si="290"/>
        <v>350</v>
      </c>
      <c r="AP143" s="469">
        <f t="shared" si="291"/>
        <v>138.6</v>
      </c>
      <c r="AQ143" s="469">
        <f t="shared" si="292"/>
        <v>350</v>
      </c>
      <c r="AS143" s="5">
        <f t="shared" si="263"/>
        <v>2.8571428571428572</v>
      </c>
      <c r="AT143" s="5">
        <f t="shared" si="293"/>
        <v>1.2013325934144965</v>
      </c>
      <c r="AU143" s="5">
        <f t="shared" si="230"/>
        <v>1.6558102637283607</v>
      </c>
      <c r="AV143" s="5"/>
      <c r="AW143" s="177">
        <f t="shared" si="231"/>
        <v>0.42046640769507376</v>
      </c>
      <c r="AX143" s="177">
        <f t="shared" si="259"/>
        <v>2.2730399999999999</v>
      </c>
      <c r="AY143" s="177">
        <f t="shared" si="260"/>
        <v>0.3481062967072483</v>
      </c>
      <c r="AZ143" s="177">
        <f t="shared" si="264"/>
        <v>6.5297296300031871</v>
      </c>
      <c r="BA143" s="469">
        <f t="shared" si="294"/>
        <v>21.317779700075526</v>
      </c>
      <c r="BB143" s="469">
        <f t="shared" si="295"/>
        <v>5.745497574193549</v>
      </c>
      <c r="BC143" s="5">
        <f t="shared" si="258"/>
        <v>0.7319294628739994</v>
      </c>
      <c r="BD143" s="469">
        <f t="shared" si="296"/>
        <v>44.711434439106625</v>
      </c>
      <c r="BF143" s="177">
        <f t="shared" si="265"/>
        <v>0.44974701021260477</v>
      </c>
      <c r="BG143" s="177">
        <f t="shared" si="261"/>
        <v>0.52800974751560203</v>
      </c>
      <c r="BI143" s="538">
        <f t="shared" si="236"/>
        <v>2.2249961051469452E-2</v>
      </c>
      <c r="BJ143" s="538">
        <f t="shared" si="237"/>
        <v>5.3399233777274367E-2</v>
      </c>
      <c r="BK143" s="538">
        <f t="shared" si="238"/>
        <v>1.7499999999999998E-2</v>
      </c>
      <c r="BL143" s="538">
        <f t="shared" si="239"/>
        <v>5.0806349999999993E-2</v>
      </c>
      <c r="BM143">
        <f t="shared" si="240"/>
        <v>2.6099999999999999E-3</v>
      </c>
      <c r="BN143">
        <f t="shared" si="297"/>
        <v>1.4E-5</v>
      </c>
      <c r="BO143" s="538">
        <f t="shared" si="298"/>
        <v>0.14718375146882928</v>
      </c>
      <c r="BP143" s="469">
        <f t="shared" si="243"/>
        <v>146.56554482874381</v>
      </c>
      <c r="BQ143" s="538">
        <f t="shared" si="299"/>
        <v>0.12474</v>
      </c>
      <c r="BT143" s="469">
        <f t="shared" si="245"/>
        <v>124.74000000000001</v>
      </c>
      <c r="BU143" s="538">
        <f t="shared" si="246"/>
        <v>9.7090739133684871E-3</v>
      </c>
      <c r="BV143" s="538">
        <f t="shared" si="247"/>
        <v>6.691063043315755E-2</v>
      </c>
      <c r="BW143" s="538">
        <f t="shared" si="248"/>
        <v>0</v>
      </c>
      <c r="BX143" s="538"/>
      <c r="BY143" s="538">
        <f t="shared" si="249"/>
        <v>2.5256000000000004E-2</v>
      </c>
      <c r="BZ143" s="469">
        <f t="shared" si="250"/>
        <v>101.87570434652604</v>
      </c>
      <c r="CA143" s="177">
        <f t="shared" si="251"/>
        <v>0.37318124917526985</v>
      </c>
      <c r="CB143" s="5">
        <f t="shared" si="252"/>
        <v>2.1482999999999999</v>
      </c>
      <c r="CC143" s="177">
        <f t="shared" si="253"/>
        <v>0.8519991971793045</v>
      </c>
      <c r="CD143" s="5">
        <f t="shared" si="254"/>
        <v>85.199919717930456</v>
      </c>
      <c r="CG143" s="571">
        <f t="shared" si="300"/>
        <v>-50</v>
      </c>
      <c r="CH143">
        <f t="shared" si="301"/>
        <v>-50</v>
      </c>
    </row>
    <row r="144" spans="5:86" x14ac:dyDescent="0.2">
      <c r="E144" s="174">
        <v>34</v>
      </c>
      <c r="F144" s="221">
        <f t="shared" si="302"/>
        <v>0.14280000000000001</v>
      </c>
      <c r="G144" s="221"/>
      <c r="H144" s="221">
        <f t="shared" si="266"/>
        <v>2.2134</v>
      </c>
      <c r="I144" s="551">
        <f t="shared" si="267"/>
        <v>9</v>
      </c>
      <c r="J144" s="451">
        <f t="shared" si="268"/>
        <v>16.399999999999999</v>
      </c>
      <c r="K144" s="451">
        <f t="shared" si="269"/>
        <v>25.4</v>
      </c>
      <c r="L144" s="451"/>
      <c r="M144" s="221">
        <f t="shared" si="270"/>
        <v>0.64566929133858264</v>
      </c>
      <c r="N144" s="176">
        <f t="shared" si="271"/>
        <v>10.799787401574802</v>
      </c>
      <c r="O144" s="176">
        <f t="shared" si="262"/>
        <v>2.2134</v>
      </c>
      <c r="P144" s="221">
        <f t="shared" si="272"/>
        <v>0.69676047752095494</v>
      </c>
      <c r="Q144" s="221">
        <f t="shared" si="273"/>
        <v>15.5</v>
      </c>
      <c r="R144" s="221"/>
      <c r="S144" s="176">
        <f t="shared" si="274"/>
        <v>107.35633501611655</v>
      </c>
      <c r="T144" s="176">
        <f t="shared" si="275"/>
        <v>15.5</v>
      </c>
      <c r="U144" s="221">
        <f t="shared" si="276"/>
        <v>0.8464372177055105</v>
      </c>
      <c r="V144" s="221">
        <f t="shared" si="277"/>
        <v>0.8464372177055105</v>
      </c>
      <c r="W144" s="221">
        <f t="shared" si="278"/>
        <v>0.46450822922863388</v>
      </c>
      <c r="X144" s="201">
        <f t="shared" si="279"/>
        <v>350</v>
      </c>
      <c r="Y144" s="451">
        <f t="shared" si="215"/>
        <v>350</v>
      </c>
      <c r="AA144" s="221">
        <f t="shared" si="280"/>
        <v>1.8447694038245221</v>
      </c>
      <c r="AB144" s="177">
        <f t="shared" si="281"/>
        <v>1.0123734533183355</v>
      </c>
      <c r="AC144" s="177">
        <f t="shared" si="282"/>
        <v>0.32682922508702178</v>
      </c>
      <c r="AD144" s="177"/>
      <c r="AE144" s="177">
        <f t="shared" si="283"/>
        <v>0.45</v>
      </c>
      <c r="AF144" s="555">
        <f t="shared" si="284"/>
        <v>773.9837398373985</v>
      </c>
      <c r="AG144" s="538">
        <f t="shared" si="285"/>
        <v>6.4574999999999994E-2</v>
      </c>
      <c r="AI144" s="177">
        <f t="shared" si="286"/>
        <v>1.2193987589518587</v>
      </c>
      <c r="AJ144" s="177">
        <f t="shared" si="287"/>
        <v>1.2193987589518587</v>
      </c>
      <c r="AK144" s="177">
        <f t="shared" si="288"/>
        <v>1.4662658393012391</v>
      </c>
      <c r="AM144" s="555">
        <f t="shared" si="289"/>
        <v>142.80000000000001</v>
      </c>
      <c r="AN144" s="469">
        <f t="shared" si="290"/>
        <v>350</v>
      </c>
      <c r="AP144" s="469">
        <f t="shared" si="291"/>
        <v>142.80000000000001</v>
      </c>
      <c r="AQ144" s="469">
        <f t="shared" si="292"/>
        <v>350</v>
      </c>
      <c r="AS144" s="5">
        <f t="shared" si="263"/>
        <v>2.8571428571428572</v>
      </c>
      <c r="AT144" s="5">
        <f t="shared" si="293"/>
        <v>1.2193987589518589</v>
      </c>
      <c r="AU144" s="5">
        <f t="shared" si="230"/>
        <v>1.6377440981909983</v>
      </c>
      <c r="AV144" s="5"/>
      <c r="AW144" s="177">
        <f t="shared" si="231"/>
        <v>0.42678956563315062</v>
      </c>
      <c r="AX144" s="177">
        <f t="shared" si="259"/>
        <v>2.34192</v>
      </c>
      <c r="AY144" s="177">
        <f t="shared" si="260"/>
        <v>0.34948604614259599</v>
      </c>
      <c r="AZ144" s="177">
        <f t="shared" si="264"/>
        <v>6.7010400725540231</v>
      </c>
      <c r="BA144" s="469">
        <f t="shared" si="294"/>
        <v>21.317779700075526</v>
      </c>
      <c r="BB144" s="469">
        <f t="shared" si="295"/>
        <v>6.0903309419354823</v>
      </c>
      <c r="BC144" s="5">
        <f t="shared" si="258"/>
        <v>0.74588123187982613</v>
      </c>
      <c r="BD144" s="469">
        <f t="shared" si="296"/>
        <v>45.572651690567362</v>
      </c>
      <c r="BF144" s="177">
        <f t="shared" si="265"/>
        <v>0.45993029597204044</v>
      </c>
      <c r="BG144" s="177">
        <f t="shared" si="261"/>
        <v>0.53301835549211218</v>
      </c>
      <c r="BI144" s="538">
        <f t="shared" si="236"/>
        <v>2.3268946486822158E-2</v>
      </c>
      <c r="BJ144" s="538">
        <f t="shared" si="237"/>
        <v>5.4202274835410118E-2</v>
      </c>
      <c r="BK144" s="538">
        <f t="shared" si="238"/>
        <v>1.7499999999999998E-2</v>
      </c>
      <c r="BL144" s="538">
        <f t="shared" si="239"/>
        <v>5.0806349999999993E-2</v>
      </c>
      <c r="BM144">
        <f t="shared" si="240"/>
        <v>2.6099999999999999E-3</v>
      </c>
      <c r="BN144">
        <f t="shared" si="297"/>
        <v>1.4E-5</v>
      </c>
      <c r="BO144" s="538">
        <f t="shared" si="298"/>
        <v>0.14904142413443422</v>
      </c>
      <c r="BP144" s="469">
        <f t="shared" si="243"/>
        <v>148.38757132223228</v>
      </c>
      <c r="BQ144" s="538">
        <f t="shared" si="299"/>
        <v>0.12852000000000002</v>
      </c>
      <c r="BT144" s="469">
        <f t="shared" si="245"/>
        <v>128.52000000000001</v>
      </c>
      <c r="BU144" s="538">
        <f t="shared" si="246"/>
        <v>1.0153722103340578E-2</v>
      </c>
      <c r="BV144" s="538">
        <f t="shared" si="247"/>
        <v>6.8186056149963759E-2</v>
      </c>
      <c r="BW144" s="538">
        <f t="shared" si="248"/>
        <v>0</v>
      </c>
      <c r="BX144" s="538"/>
      <c r="BY144" s="538">
        <f t="shared" si="249"/>
        <v>2.6021333333333334E-2</v>
      </c>
      <c r="BZ144" s="469">
        <f t="shared" si="250"/>
        <v>104.36111158663766</v>
      </c>
      <c r="CA144" s="177">
        <f t="shared" si="251"/>
        <v>0.38126868290887</v>
      </c>
      <c r="CB144" s="5">
        <f t="shared" si="252"/>
        <v>2.2134</v>
      </c>
      <c r="CC144" s="177">
        <f t="shared" si="253"/>
        <v>0.8530568910704116</v>
      </c>
      <c r="CD144" s="5">
        <f t="shared" si="254"/>
        <v>85.305689107041161</v>
      </c>
      <c r="CG144" s="571">
        <f t="shared" si="300"/>
        <v>-50</v>
      </c>
      <c r="CH144">
        <f t="shared" si="301"/>
        <v>-50</v>
      </c>
    </row>
    <row r="145" spans="5:86" x14ac:dyDescent="0.2">
      <c r="E145" s="174">
        <v>35</v>
      </c>
      <c r="F145" s="221">
        <f t="shared" si="302"/>
        <v>0.14699999999999999</v>
      </c>
      <c r="G145" s="221"/>
      <c r="H145" s="221">
        <f t="shared" si="266"/>
        <v>2.2784999999999997</v>
      </c>
      <c r="I145" s="551">
        <f t="shared" si="267"/>
        <v>9</v>
      </c>
      <c r="J145" s="451">
        <f t="shared" si="268"/>
        <v>16.399999999999999</v>
      </c>
      <c r="K145" s="451">
        <f t="shared" si="269"/>
        <v>25.4</v>
      </c>
      <c r="L145" s="451"/>
      <c r="M145" s="221">
        <f t="shared" si="270"/>
        <v>0.64566929133858264</v>
      </c>
      <c r="N145" s="176">
        <f t="shared" si="271"/>
        <v>10.799787401574802</v>
      </c>
      <c r="O145" s="176">
        <f t="shared" si="262"/>
        <v>2.2784999999999997</v>
      </c>
      <c r="P145" s="221">
        <f t="shared" si="272"/>
        <v>0.69676047752095494</v>
      </c>
      <c r="Q145" s="221">
        <f t="shared" si="273"/>
        <v>15.5</v>
      </c>
      <c r="R145" s="221"/>
      <c r="S145" s="176">
        <f t="shared" si="274"/>
        <v>104.0363733050993</v>
      </c>
      <c r="T145" s="176">
        <f t="shared" si="275"/>
        <v>15.5</v>
      </c>
      <c r="U145" s="221">
        <f t="shared" si="276"/>
        <v>0.87133242999096661</v>
      </c>
      <c r="V145" s="221">
        <f t="shared" si="277"/>
        <v>0.87133242999096649</v>
      </c>
      <c r="W145" s="221">
        <f t="shared" si="278"/>
        <v>0.47817023597065239</v>
      </c>
      <c r="X145" s="201">
        <f t="shared" si="279"/>
        <v>350</v>
      </c>
      <c r="Y145" s="451">
        <f t="shared" si="215"/>
        <v>350</v>
      </c>
      <c r="AA145" s="221">
        <f t="shared" si="280"/>
        <v>1.8447694038245221</v>
      </c>
      <c r="AB145" s="177">
        <f t="shared" si="281"/>
        <v>1.0123734533183355</v>
      </c>
      <c r="AC145" s="177">
        <f t="shared" si="282"/>
        <v>0.32682922508702178</v>
      </c>
      <c r="AD145" s="177"/>
      <c r="AE145" s="177">
        <f t="shared" si="283"/>
        <v>0.45</v>
      </c>
      <c r="AF145" s="555">
        <f t="shared" si="284"/>
        <v>796.7479674796748</v>
      </c>
      <c r="AG145" s="538">
        <f t="shared" si="285"/>
        <v>6.4574999999999994E-2</v>
      </c>
      <c r="AI145" s="177">
        <f t="shared" si="286"/>
        <v>1.2372011423639515</v>
      </c>
      <c r="AJ145" s="177">
        <f t="shared" si="287"/>
        <v>1.2372011423639515</v>
      </c>
      <c r="AK145" s="177">
        <f t="shared" si="288"/>
        <v>1.4781340949093011</v>
      </c>
      <c r="AM145" s="555">
        <f t="shared" si="289"/>
        <v>147</v>
      </c>
      <c r="AN145" s="469">
        <f t="shared" si="290"/>
        <v>350</v>
      </c>
      <c r="AP145" s="469">
        <f t="shared" si="291"/>
        <v>147</v>
      </c>
      <c r="AQ145" s="469">
        <f t="shared" si="292"/>
        <v>350</v>
      </c>
      <c r="AS145" s="5">
        <f t="shared" si="263"/>
        <v>2.8571428571428572</v>
      </c>
      <c r="AT145" s="5">
        <f t="shared" si="293"/>
        <v>1.2372011423639515</v>
      </c>
      <c r="AU145" s="5">
        <f t="shared" si="230"/>
        <v>1.6199417147789057</v>
      </c>
      <c r="AV145" s="5"/>
      <c r="AW145" s="177">
        <f t="shared" si="231"/>
        <v>0.433020399827383</v>
      </c>
      <c r="AX145" s="177">
        <f t="shared" si="259"/>
        <v>2.4108000000000001</v>
      </c>
      <c r="AY145" s="177">
        <f t="shared" si="260"/>
        <v>0.35073390451530917</v>
      </c>
      <c r="AZ145" s="177">
        <f t="shared" si="264"/>
        <v>6.8735869813657295</v>
      </c>
      <c r="BA145" s="469">
        <f t="shared" si="294"/>
        <v>21.317779700075526</v>
      </c>
      <c r="BB145" s="469">
        <f t="shared" si="295"/>
        <v>6.4452070967741903</v>
      </c>
      <c r="BC145" s="5">
        <f t="shared" si="258"/>
        <v>0.75947267430529541</v>
      </c>
      <c r="BD145" s="469">
        <f t="shared" si="296"/>
        <v>46.412249347206618</v>
      </c>
      <c r="BF145" s="177">
        <f t="shared" si="265"/>
        <v>0.47003896717983135</v>
      </c>
      <c r="BG145" s="177">
        <f t="shared" si="261"/>
        <v>0.5378527601070201</v>
      </c>
      <c r="BI145" s="538">
        <f t="shared" si="236"/>
        <v>2.4303029373423081E-2</v>
      </c>
      <c r="BJ145" s="538">
        <f t="shared" si="237"/>
        <v>5.4993590778077646E-2</v>
      </c>
      <c r="BK145" s="538">
        <f t="shared" si="238"/>
        <v>1.7499999999999998E-2</v>
      </c>
      <c r="BL145" s="538">
        <f t="shared" si="239"/>
        <v>5.0806349999999993E-2</v>
      </c>
      <c r="BM145">
        <f t="shared" si="240"/>
        <v>2.6099999999999999E-3</v>
      </c>
      <c r="BN145">
        <f t="shared" si="297"/>
        <v>1.4E-5</v>
      </c>
      <c r="BO145" s="538">
        <f t="shared" si="298"/>
        <v>0.15090360818621598</v>
      </c>
      <c r="BP145" s="469">
        <f t="shared" si="243"/>
        <v>150.21297015150074</v>
      </c>
      <c r="BQ145" s="538">
        <f t="shared" si="299"/>
        <v>0.1323</v>
      </c>
      <c r="BT145" s="469">
        <f t="shared" si="245"/>
        <v>132.30000000000001</v>
      </c>
      <c r="BU145" s="538">
        <f t="shared" si="246"/>
        <v>1.0604958272039163E-2</v>
      </c>
      <c r="BV145" s="538">
        <f t="shared" si="247"/>
        <v>6.9428541973137525E-2</v>
      </c>
      <c r="BW145" s="538">
        <f t="shared" si="248"/>
        <v>0</v>
      </c>
      <c r="BX145" s="538"/>
      <c r="BY145" s="538">
        <f t="shared" si="249"/>
        <v>2.678666666666667E-2</v>
      </c>
      <c r="BZ145" s="469">
        <f t="shared" si="250"/>
        <v>106.82016691184336</v>
      </c>
      <c r="CA145" s="177">
        <f t="shared" si="251"/>
        <v>0.3893331370633441</v>
      </c>
      <c r="CB145" s="5">
        <f t="shared" si="252"/>
        <v>2.2784999999999997</v>
      </c>
      <c r="CC145" s="177">
        <f t="shared" si="253"/>
        <v>0.85406390989958691</v>
      </c>
      <c r="CD145" s="5">
        <f t="shared" si="254"/>
        <v>85.406390989958695</v>
      </c>
      <c r="CG145" s="571">
        <f t="shared" si="300"/>
        <v>-50</v>
      </c>
      <c r="CH145">
        <f t="shared" si="301"/>
        <v>-50</v>
      </c>
    </row>
    <row r="146" spans="5:86" x14ac:dyDescent="0.2">
      <c r="E146" s="174">
        <v>36</v>
      </c>
      <c r="F146" s="221">
        <f t="shared" si="302"/>
        <v>0.1512</v>
      </c>
      <c r="G146" s="221"/>
      <c r="H146" s="221">
        <f t="shared" si="266"/>
        <v>2.3435999999999999</v>
      </c>
      <c r="I146" s="551">
        <f t="shared" si="267"/>
        <v>9</v>
      </c>
      <c r="J146" s="451">
        <f t="shared" si="268"/>
        <v>16.399999999999999</v>
      </c>
      <c r="K146" s="451">
        <f t="shared" si="269"/>
        <v>25.4</v>
      </c>
      <c r="L146" s="451"/>
      <c r="M146" s="221">
        <f t="shared" si="270"/>
        <v>0.64566929133858264</v>
      </c>
      <c r="N146" s="176">
        <f t="shared" si="271"/>
        <v>10.799787401574802</v>
      </c>
      <c r="O146" s="176">
        <f t="shared" si="262"/>
        <v>2.3435999999999999</v>
      </c>
      <c r="P146" s="221">
        <f t="shared" si="272"/>
        <v>0.69676047752095494</v>
      </c>
      <c r="Q146" s="221">
        <f t="shared" si="273"/>
        <v>15.5</v>
      </c>
      <c r="R146" s="221"/>
      <c r="S146" s="176">
        <f t="shared" si="274"/>
        <v>100.90099557324803</v>
      </c>
      <c r="T146" s="176">
        <f t="shared" si="275"/>
        <v>15.5</v>
      </c>
      <c r="U146" s="221">
        <f t="shared" si="276"/>
        <v>0.89622764227642282</v>
      </c>
      <c r="V146" s="221">
        <f t="shared" si="277"/>
        <v>0.89622764227642293</v>
      </c>
      <c r="W146" s="221">
        <f t="shared" si="278"/>
        <v>0.49183224271267112</v>
      </c>
      <c r="X146" s="201">
        <f t="shared" si="279"/>
        <v>350</v>
      </c>
      <c r="Y146" s="451">
        <f t="shared" si="215"/>
        <v>350</v>
      </c>
      <c r="AA146" s="221">
        <f t="shared" si="280"/>
        <v>1.8447694038245221</v>
      </c>
      <c r="AB146" s="177">
        <f t="shared" si="281"/>
        <v>1.0123734533183355</v>
      </c>
      <c r="AC146" s="177">
        <f t="shared" si="282"/>
        <v>0.32682922508702178</v>
      </c>
      <c r="AD146" s="177"/>
      <c r="AE146" s="177">
        <f t="shared" si="283"/>
        <v>0.45</v>
      </c>
      <c r="AF146" s="555">
        <f t="shared" si="284"/>
        <v>819.51219512195132</v>
      </c>
      <c r="AG146" s="538">
        <f t="shared" si="285"/>
        <v>6.4574999999999994E-2</v>
      </c>
      <c r="AI146" s="177">
        <f t="shared" si="286"/>
        <v>1.2547509713086498</v>
      </c>
      <c r="AJ146" s="177">
        <f t="shared" si="287"/>
        <v>1.2547509713086498</v>
      </c>
      <c r="AK146" s="177">
        <f t="shared" si="288"/>
        <v>1.4898339808724332</v>
      </c>
      <c r="AM146" s="555">
        <f t="shared" si="289"/>
        <v>151.19999999999999</v>
      </c>
      <c r="AN146" s="469">
        <f t="shared" si="290"/>
        <v>350</v>
      </c>
      <c r="AP146" s="469">
        <f t="shared" si="291"/>
        <v>151.19999999999999</v>
      </c>
      <c r="AQ146" s="469">
        <f t="shared" si="292"/>
        <v>350</v>
      </c>
      <c r="AS146" s="5">
        <f t="shared" si="263"/>
        <v>2.8571428571428572</v>
      </c>
      <c r="AT146" s="5">
        <f t="shared" si="293"/>
        <v>1.2547509713086498</v>
      </c>
      <c r="AU146" s="5">
        <f t="shared" si="230"/>
        <v>1.6023918858342074</v>
      </c>
      <c r="AV146" s="5"/>
      <c r="AW146" s="177">
        <f t="shared" si="231"/>
        <v>0.43916283995802741</v>
      </c>
      <c r="AX146" s="177">
        <f t="shared" si="259"/>
        <v>2.4796800000000001</v>
      </c>
      <c r="AY146" s="177">
        <f t="shared" si="260"/>
        <v>0.3518554856543249</v>
      </c>
      <c r="AZ146" s="177">
        <f t="shared" si="264"/>
        <v>7.0474387954721962</v>
      </c>
      <c r="BA146" s="469">
        <f t="shared" si="294"/>
        <v>21.317779700075526</v>
      </c>
      <c r="BB146" s="469">
        <f t="shared" si="295"/>
        <v>6.8101260387096758</v>
      </c>
      <c r="BC146" s="5">
        <f t="shared" si="258"/>
        <v>0.77270897605782862</v>
      </c>
      <c r="BD146" s="469">
        <f t="shared" si="296"/>
        <v>47.230538563469722</v>
      </c>
      <c r="BF146" s="177">
        <f t="shared" si="265"/>
        <v>0.48007567987763428</v>
      </c>
      <c r="BG146" s="177">
        <f t="shared" si="261"/>
        <v>0.54251943890521304</v>
      </c>
      <c r="BI146" s="538">
        <f t="shared" si="236"/>
        <v>2.5351992425097006E-2</v>
      </c>
      <c r="BJ146" s="538">
        <f t="shared" si="237"/>
        <v>5.5773680674669472E-2</v>
      </c>
      <c r="BK146" s="538">
        <f t="shared" si="238"/>
        <v>1.7499999999999998E-2</v>
      </c>
      <c r="BL146" s="538">
        <f t="shared" si="239"/>
        <v>5.0806349999999993E-2</v>
      </c>
      <c r="BM146">
        <f t="shared" si="240"/>
        <v>2.6099999999999999E-3</v>
      </c>
      <c r="BN146">
        <f t="shared" si="297"/>
        <v>1.4E-5</v>
      </c>
      <c r="BO146" s="538">
        <f t="shared" si="298"/>
        <v>0.15277059880702523</v>
      </c>
      <c r="BP146" s="469">
        <f t="shared" si="243"/>
        <v>152.04202309976648</v>
      </c>
      <c r="BQ146" s="538">
        <f t="shared" si="299"/>
        <v>0.13608000000000001</v>
      </c>
      <c r="BT146" s="469">
        <f t="shared" si="245"/>
        <v>136.08000000000001</v>
      </c>
      <c r="BU146" s="538">
        <f t="shared" si="246"/>
        <v>1.1062687603678694E-2</v>
      </c>
      <c r="BV146" s="538">
        <f t="shared" si="247"/>
        <v>7.0638561981606521E-2</v>
      </c>
      <c r="BW146" s="538">
        <f t="shared" si="248"/>
        <v>0</v>
      </c>
      <c r="BX146" s="538"/>
      <c r="BY146" s="538">
        <f t="shared" si="249"/>
        <v>2.7552000000000004E-2</v>
      </c>
      <c r="BZ146" s="469">
        <f t="shared" si="250"/>
        <v>109.25324958528522</v>
      </c>
      <c r="CA146" s="177">
        <f t="shared" si="251"/>
        <v>0.39737527268505168</v>
      </c>
      <c r="CB146" s="5">
        <f t="shared" si="252"/>
        <v>2.3435999999999999</v>
      </c>
      <c r="CC146" s="177">
        <f t="shared" si="253"/>
        <v>0.85502413077379424</v>
      </c>
      <c r="CD146" s="5">
        <f t="shared" si="254"/>
        <v>85.50241307737943</v>
      </c>
      <c r="CG146" s="571">
        <f t="shared" si="300"/>
        <v>-50</v>
      </c>
      <c r="CH146">
        <f t="shared" si="301"/>
        <v>-50</v>
      </c>
    </row>
    <row r="147" spans="5:86" x14ac:dyDescent="0.2">
      <c r="E147" s="174">
        <v>37</v>
      </c>
      <c r="F147" s="221">
        <f t="shared" si="302"/>
        <v>0.15539999999999998</v>
      </c>
      <c r="G147" s="221"/>
      <c r="H147" s="221">
        <f t="shared" si="266"/>
        <v>2.4086999999999996</v>
      </c>
      <c r="I147" s="551">
        <f t="shared" si="267"/>
        <v>9</v>
      </c>
      <c r="J147" s="451">
        <f t="shared" si="268"/>
        <v>16.399999999999999</v>
      </c>
      <c r="K147" s="451">
        <f t="shared" si="269"/>
        <v>25.4</v>
      </c>
      <c r="L147" s="451"/>
      <c r="M147" s="221">
        <f t="shared" si="270"/>
        <v>0.64566929133858264</v>
      </c>
      <c r="N147" s="176">
        <f t="shared" si="271"/>
        <v>10.799787401574802</v>
      </c>
      <c r="O147" s="176">
        <f t="shared" si="262"/>
        <v>2.4086999999999996</v>
      </c>
      <c r="P147" s="221">
        <f t="shared" si="272"/>
        <v>0.69676047752095494</v>
      </c>
      <c r="Q147" s="221">
        <f t="shared" si="273"/>
        <v>15.5</v>
      </c>
      <c r="R147" s="221"/>
      <c r="S147" s="176">
        <f t="shared" si="274"/>
        <v>97.935236430339089</v>
      </c>
      <c r="T147" s="176">
        <f t="shared" si="275"/>
        <v>15.5</v>
      </c>
      <c r="U147" s="221">
        <f t="shared" si="276"/>
        <v>0.92112285456187892</v>
      </c>
      <c r="V147" s="221">
        <f t="shared" si="277"/>
        <v>0.92112285456187903</v>
      </c>
      <c r="W147" s="221">
        <f t="shared" si="278"/>
        <v>0.50549424945468979</v>
      </c>
      <c r="X147" s="201">
        <f t="shared" si="279"/>
        <v>350</v>
      </c>
      <c r="Y147" s="451">
        <f t="shared" si="215"/>
        <v>350</v>
      </c>
      <c r="AA147" s="221">
        <f t="shared" si="280"/>
        <v>1.8447694038245221</v>
      </c>
      <c r="AB147" s="177">
        <f t="shared" si="281"/>
        <v>1.0123734533183355</v>
      </c>
      <c r="AC147" s="177">
        <f t="shared" si="282"/>
        <v>0.32682922508702178</v>
      </c>
      <c r="AD147" s="177"/>
      <c r="AE147" s="177">
        <f t="shared" si="283"/>
        <v>0.45</v>
      </c>
      <c r="AF147" s="555">
        <f t="shared" si="284"/>
        <v>842.27642276422762</v>
      </c>
      <c r="AG147" s="538">
        <f t="shared" si="285"/>
        <v>6.4574999999999994E-2</v>
      </c>
      <c r="AI147" s="177">
        <f t="shared" si="286"/>
        <v>1.2720586988552585</v>
      </c>
      <c r="AJ147" s="177">
        <f t="shared" si="287"/>
        <v>1.2720586988552585</v>
      </c>
      <c r="AK147" s="177">
        <f t="shared" si="288"/>
        <v>1.5013724659035057</v>
      </c>
      <c r="AM147" s="555">
        <f t="shared" si="289"/>
        <v>155.39999999999998</v>
      </c>
      <c r="AN147" s="469">
        <f t="shared" si="290"/>
        <v>350</v>
      </c>
      <c r="AP147" s="469">
        <f t="shared" si="291"/>
        <v>155.39999999999998</v>
      </c>
      <c r="AQ147" s="469">
        <f t="shared" si="292"/>
        <v>350</v>
      </c>
      <c r="AS147" s="5">
        <f t="shared" si="263"/>
        <v>2.8571428571428572</v>
      </c>
      <c r="AT147" s="5">
        <f t="shared" si="293"/>
        <v>1.2720586988552585</v>
      </c>
      <c r="AU147" s="5">
        <f t="shared" si="230"/>
        <v>1.5850841582875987</v>
      </c>
      <c r="AV147" s="5"/>
      <c r="AW147" s="177">
        <f t="shared" si="231"/>
        <v>0.44522054459934046</v>
      </c>
      <c r="AX147" s="177">
        <f t="shared" si="259"/>
        <v>2.5485600000000002</v>
      </c>
      <c r="AY147" s="177">
        <f t="shared" si="260"/>
        <v>0.35285601609429595</v>
      </c>
      <c r="AZ147" s="177">
        <f t="shared" si="264"/>
        <v>7.2226627399174976</v>
      </c>
      <c r="BA147" s="469">
        <f t="shared" si="294"/>
        <v>21.317779700075526</v>
      </c>
      <c r="BB147" s="469">
        <f t="shared" si="295"/>
        <v>7.1850877677419334</v>
      </c>
      <c r="BC147" s="5">
        <f t="shared" si="258"/>
        <v>0.78559510536364985</v>
      </c>
      <c r="BD147" s="469">
        <f t="shared" si="296"/>
        <v>48.027817432930092</v>
      </c>
      <c r="BF147" s="177">
        <f t="shared" si="265"/>
        <v>0.49004292461681787</v>
      </c>
      <c r="BG147" s="177">
        <f t="shared" si="261"/>
        <v>0.54702441427305004</v>
      </c>
      <c r="BI147" s="538">
        <f t="shared" si="236"/>
        <v>2.6415627476370468E-2</v>
      </c>
      <c r="BJ147" s="538">
        <f t="shared" si="237"/>
        <v>5.6543009164116233E-2</v>
      </c>
      <c r="BK147" s="538">
        <f t="shared" si="238"/>
        <v>1.7499999999999998E-2</v>
      </c>
      <c r="BL147" s="538">
        <f t="shared" si="239"/>
        <v>5.0806349999999993E-2</v>
      </c>
      <c r="BM147">
        <f t="shared" si="240"/>
        <v>2.6099999999999999E-3</v>
      </c>
      <c r="BN147">
        <f t="shared" si="297"/>
        <v>1.4E-5</v>
      </c>
      <c r="BO147" s="538">
        <f t="shared" si="298"/>
        <v>0.15464266601457582</v>
      </c>
      <c r="BP147" s="469">
        <f t="shared" si="243"/>
        <v>153.8749866404867</v>
      </c>
      <c r="BQ147" s="538">
        <f t="shared" si="299"/>
        <v>0.13985999999999998</v>
      </c>
      <c r="BT147" s="469">
        <f t="shared" si="245"/>
        <v>139.85999999999999</v>
      </c>
      <c r="BU147" s="538">
        <f t="shared" si="246"/>
        <v>1.1526819262416204E-2</v>
      </c>
      <c r="BV147" s="538">
        <f t="shared" si="247"/>
        <v>7.1816570354585635E-2</v>
      </c>
      <c r="BW147" s="538">
        <f t="shared" si="248"/>
        <v>0</v>
      </c>
      <c r="BX147" s="538"/>
      <c r="BY147" s="538">
        <f t="shared" si="249"/>
        <v>2.8317333333333333E-2</v>
      </c>
      <c r="BZ147" s="469">
        <f t="shared" si="250"/>
        <v>111.66072295033517</v>
      </c>
      <c r="CA147" s="177">
        <f t="shared" si="251"/>
        <v>0.40539570959082183</v>
      </c>
      <c r="CB147" s="5">
        <f t="shared" si="252"/>
        <v>2.4086999999999996</v>
      </c>
      <c r="CC147" s="177">
        <f t="shared" si="253"/>
        <v>0.85594103704107216</v>
      </c>
      <c r="CD147" s="5">
        <f t="shared" si="254"/>
        <v>85.594103704107212</v>
      </c>
      <c r="CG147" s="571">
        <f t="shared" si="300"/>
        <v>-50</v>
      </c>
      <c r="CH147">
        <f t="shared" si="301"/>
        <v>-50</v>
      </c>
    </row>
    <row r="148" spans="5:86" x14ac:dyDescent="0.2">
      <c r="E148" s="174">
        <v>38</v>
      </c>
      <c r="F148" s="221">
        <f t="shared" si="302"/>
        <v>0.15959999999999999</v>
      </c>
      <c r="G148" s="221"/>
      <c r="H148" s="221">
        <f t="shared" si="266"/>
        <v>2.4737999999999998</v>
      </c>
      <c r="I148" s="551">
        <f t="shared" si="267"/>
        <v>9</v>
      </c>
      <c r="J148" s="451">
        <f t="shared" si="268"/>
        <v>16.399999999999999</v>
      </c>
      <c r="K148" s="451">
        <f t="shared" si="269"/>
        <v>25.4</v>
      </c>
      <c r="L148" s="451"/>
      <c r="M148" s="221">
        <f t="shared" si="270"/>
        <v>0.64566929133858264</v>
      </c>
      <c r="N148" s="176">
        <f t="shared" si="271"/>
        <v>10.799787401574802</v>
      </c>
      <c r="O148" s="176">
        <f t="shared" si="262"/>
        <v>2.4737999999999998</v>
      </c>
      <c r="P148" s="221">
        <f t="shared" si="272"/>
        <v>0.69676047752095494</v>
      </c>
      <c r="Q148" s="221">
        <f t="shared" si="273"/>
        <v>15.5</v>
      </c>
      <c r="R148" s="221"/>
      <c r="S148" s="176">
        <f t="shared" si="274"/>
        <v>95.125705796521515</v>
      </c>
      <c r="T148" s="176">
        <f t="shared" si="275"/>
        <v>15.5</v>
      </c>
      <c r="U148" s="221">
        <f t="shared" si="276"/>
        <v>0.94601806684733514</v>
      </c>
      <c r="V148" s="221">
        <f t="shared" si="277"/>
        <v>0.94601806684733514</v>
      </c>
      <c r="W148" s="221">
        <f t="shared" si="278"/>
        <v>0.51915625619670835</v>
      </c>
      <c r="X148" s="201">
        <f t="shared" si="279"/>
        <v>350</v>
      </c>
      <c r="Y148" s="451">
        <f t="shared" si="215"/>
        <v>350</v>
      </c>
      <c r="AA148" s="221">
        <f t="shared" si="280"/>
        <v>1.8447694038245221</v>
      </c>
      <c r="AB148" s="177">
        <f t="shared" si="281"/>
        <v>1.0123734533183355</v>
      </c>
      <c r="AC148" s="177">
        <f t="shared" si="282"/>
        <v>0.32682922508702178</v>
      </c>
      <c r="AD148" s="177"/>
      <c r="AE148" s="177">
        <f t="shared" si="283"/>
        <v>0.45</v>
      </c>
      <c r="AF148" s="555">
        <f t="shared" si="284"/>
        <v>865.04065040650403</v>
      </c>
      <c r="AG148" s="538">
        <f t="shared" si="285"/>
        <v>6.4574999999999994E-2</v>
      </c>
      <c r="AI148" s="177">
        <f t="shared" si="286"/>
        <v>1.2891340762956607</v>
      </c>
      <c r="AJ148" s="177">
        <f t="shared" si="287"/>
        <v>1.2891340762956607</v>
      </c>
      <c r="AK148" s="177">
        <f t="shared" si="288"/>
        <v>1.5127560508637738</v>
      </c>
      <c r="AM148" s="555">
        <f t="shared" si="289"/>
        <v>159.6</v>
      </c>
      <c r="AN148" s="469">
        <f t="shared" si="290"/>
        <v>350</v>
      </c>
      <c r="AP148" s="469">
        <f t="shared" si="291"/>
        <v>159.6</v>
      </c>
      <c r="AQ148" s="469">
        <f t="shared" si="292"/>
        <v>350</v>
      </c>
      <c r="AS148" s="5">
        <f t="shared" si="263"/>
        <v>2.8571428571428572</v>
      </c>
      <c r="AT148" s="5">
        <f t="shared" si="293"/>
        <v>1.2891340762956607</v>
      </c>
      <c r="AU148" s="5">
        <f t="shared" si="230"/>
        <v>1.5680087808471965</v>
      </c>
      <c r="AV148" s="5"/>
      <c r="AW148" s="177">
        <f t="shared" si="231"/>
        <v>0.45119692670348122</v>
      </c>
      <c r="AX148" s="177">
        <f t="shared" si="259"/>
        <v>2.6174399999999993</v>
      </c>
      <c r="AY148" s="177">
        <f t="shared" si="260"/>
        <v>0.35374037148116377</v>
      </c>
      <c r="AZ148" s="177">
        <f t="shared" si="264"/>
        <v>7.3993250729069659</v>
      </c>
      <c r="BA148" s="469">
        <f t="shared" si="294"/>
        <v>21.317779700075526</v>
      </c>
      <c r="BB148" s="469">
        <f t="shared" si="295"/>
        <v>7.5700922838709666</v>
      </c>
      <c r="BC148" s="5">
        <f t="shared" si="258"/>
        <v>0.79813582758431967</v>
      </c>
      <c r="BD148" s="469">
        <f t="shared" si="296"/>
        <v>48.804371877281412</v>
      </c>
      <c r="BF148" s="177">
        <f t="shared" si="265"/>
        <v>0.49994304095265313</v>
      </c>
      <c r="BG148" s="177">
        <f t="shared" si="261"/>
        <v>0.5513732958337475</v>
      </c>
      <c r="BI148" s="538">
        <f t="shared" si="236"/>
        <v>2.7493734861668482E-2</v>
      </c>
      <c r="BJ148" s="538">
        <f t="shared" si="237"/>
        <v>5.730200969134211E-2</v>
      </c>
      <c r="BK148" s="538">
        <f t="shared" si="238"/>
        <v>1.7499999999999998E-2</v>
      </c>
      <c r="BL148" s="538">
        <f t="shared" si="239"/>
        <v>5.0806349999999993E-2</v>
      </c>
      <c r="BM148">
        <f t="shared" si="240"/>
        <v>2.6099999999999999E-3</v>
      </c>
      <c r="BN148">
        <f t="shared" si="297"/>
        <v>1.4E-5</v>
      </c>
      <c r="BO148" s="538">
        <f t="shared" si="298"/>
        <v>0.15652005726922527</v>
      </c>
      <c r="BP148" s="469">
        <f t="shared" si="243"/>
        <v>155.71209455301059</v>
      </c>
      <c r="BQ148" s="538">
        <f t="shared" si="299"/>
        <v>0.14363999999999999</v>
      </c>
      <c r="BT148" s="469">
        <f t="shared" si="245"/>
        <v>143.63999999999999</v>
      </c>
      <c r="BU148" s="538">
        <f t="shared" si="246"/>
        <v>1.1997266121455338E-2</v>
      </c>
      <c r="BV148" s="538">
        <f t="shared" si="247"/>
        <v>7.2963002726056603E-2</v>
      </c>
      <c r="BW148" s="538">
        <f t="shared" si="248"/>
        <v>0</v>
      </c>
      <c r="BX148" s="538"/>
      <c r="BY148" s="538">
        <f t="shared" si="249"/>
        <v>2.9082666666666666E-2</v>
      </c>
      <c r="BZ148" s="469">
        <f t="shared" si="250"/>
        <v>114.04293551417859</v>
      </c>
      <c r="CA148" s="177">
        <f t="shared" si="251"/>
        <v>0.4133950300671892</v>
      </c>
      <c r="CB148" s="5">
        <f t="shared" si="252"/>
        <v>2.4737999999999998</v>
      </c>
      <c r="CC148" s="177">
        <f t="shared" si="253"/>
        <v>0.85681776750025473</v>
      </c>
      <c r="CD148" s="5">
        <f t="shared" si="254"/>
        <v>85.681776750025477</v>
      </c>
      <c r="CG148" s="571">
        <f t="shared" si="300"/>
        <v>-50</v>
      </c>
      <c r="CH148">
        <f t="shared" si="301"/>
        <v>-50</v>
      </c>
    </row>
    <row r="149" spans="5:86" x14ac:dyDescent="0.2">
      <c r="E149" s="174">
        <v>39</v>
      </c>
      <c r="F149" s="221">
        <f t="shared" si="302"/>
        <v>0.1638</v>
      </c>
      <c r="G149" s="221"/>
      <c r="H149" s="221">
        <f t="shared" si="266"/>
        <v>2.5388999999999999</v>
      </c>
      <c r="I149" s="551">
        <f t="shared" si="267"/>
        <v>9</v>
      </c>
      <c r="J149" s="451">
        <f t="shared" si="268"/>
        <v>16.399999999999999</v>
      </c>
      <c r="K149" s="451">
        <f t="shared" si="269"/>
        <v>25.4</v>
      </c>
      <c r="L149" s="451"/>
      <c r="M149" s="221">
        <f t="shared" si="270"/>
        <v>0.64566929133858264</v>
      </c>
      <c r="N149" s="176">
        <f t="shared" si="271"/>
        <v>10.799787401574802</v>
      </c>
      <c r="O149" s="176">
        <f t="shared" si="262"/>
        <v>2.5388999999999999</v>
      </c>
      <c r="P149" s="221">
        <f t="shared" si="272"/>
        <v>0.69676047752095494</v>
      </c>
      <c r="Q149" s="221">
        <f t="shared" si="273"/>
        <v>15.5</v>
      </c>
      <c r="R149" s="221"/>
      <c r="S149" s="176">
        <f t="shared" si="274"/>
        <v>92.460386939488743</v>
      </c>
      <c r="T149" s="176">
        <f t="shared" si="275"/>
        <v>15.5</v>
      </c>
      <c r="U149" s="221">
        <f t="shared" si="276"/>
        <v>0.97091327913279146</v>
      </c>
      <c r="V149" s="221">
        <f t="shared" si="277"/>
        <v>0.97091327913279157</v>
      </c>
      <c r="W149" s="221">
        <f t="shared" si="278"/>
        <v>0.53281826293872714</v>
      </c>
      <c r="X149" s="201">
        <f t="shared" si="279"/>
        <v>350</v>
      </c>
      <c r="Y149" s="451">
        <f t="shared" si="215"/>
        <v>350</v>
      </c>
      <c r="AA149" s="221">
        <f t="shared" si="280"/>
        <v>1.8447694038245221</v>
      </c>
      <c r="AB149" s="177">
        <f t="shared" si="281"/>
        <v>1.0123734533183355</v>
      </c>
      <c r="AC149" s="177">
        <f t="shared" si="282"/>
        <v>0.32682922508702178</v>
      </c>
      <c r="AD149" s="177"/>
      <c r="AE149" s="177">
        <f t="shared" si="283"/>
        <v>0.45</v>
      </c>
      <c r="AF149" s="555">
        <f t="shared" si="284"/>
        <v>887.80487804878044</v>
      </c>
      <c r="AG149" s="538">
        <f t="shared" si="285"/>
        <v>6.4574999999999994E-2</v>
      </c>
      <c r="AI149" s="177">
        <f t="shared" si="286"/>
        <v>1.3059862173851606</v>
      </c>
      <c r="AJ149" s="177">
        <f t="shared" si="287"/>
        <v>1.3059862173851606</v>
      </c>
      <c r="AK149" s="177">
        <f t="shared" si="288"/>
        <v>1.5239908115901071</v>
      </c>
      <c r="AM149" s="555">
        <f t="shared" si="289"/>
        <v>163.80000000000001</v>
      </c>
      <c r="AN149" s="469">
        <f t="shared" si="290"/>
        <v>350</v>
      </c>
      <c r="AP149" s="469">
        <f t="shared" si="291"/>
        <v>163.80000000000001</v>
      </c>
      <c r="AQ149" s="469">
        <f t="shared" si="292"/>
        <v>350</v>
      </c>
      <c r="AS149" s="5">
        <f t="shared" si="263"/>
        <v>2.8571428571428572</v>
      </c>
      <c r="AT149" s="5">
        <f t="shared" si="293"/>
        <v>1.3059862173851606</v>
      </c>
      <c r="AU149" s="5">
        <f t="shared" si="230"/>
        <v>1.5511566397576966</v>
      </c>
      <c r="AV149" s="5"/>
      <c r="AW149" s="177">
        <f t="shared" si="231"/>
        <v>0.45709517608480621</v>
      </c>
      <c r="AX149" s="177">
        <f t="shared" si="259"/>
        <v>2.6863200000000003</v>
      </c>
      <c r="AY149" s="177">
        <f t="shared" si="260"/>
        <v>0.35451310869258029</v>
      </c>
      <c r="AZ149" s="177">
        <f t="shared" si="264"/>
        <v>7.5774913088741958</v>
      </c>
      <c r="BA149" s="469">
        <f t="shared" si="294"/>
        <v>21.317779700075526</v>
      </c>
      <c r="BB149" s="469">
        <f t="shared" si="295"/>
        <v>7.9651395870967727</v>
      </c>
      <c r="BC149" s="5">
        <f t="shared" si="258"/>
        <v>0.81033571865860388</v>
      </c>
      <c r="BD149" s="469">
        <f t="shared" si="296"/>
        <v>49.560476452849585</v>
      </c>
      <c r="BF149" s="177">
        <f t="shared" si="265"/>
        <v>0.50977823032185454</v>
      </c>
      <c r="BG149" s="177">
        <f t="shared" si="261"/>
        <v>0.55557131785509906</v>
      </c>
      <c r="BI149" s="538">
        <f t="shared" si="236"/>
        <v>2.8586122852108996E-2</v>
      </c>
      <c r="BJ149" s="538">
        <f t="shared" si="237"/>
        <v>5.8051087362770391E-2</v>
      </c>
      <c r="BK149" s="538">
        <f t="shared" si="238"/>
        <v>1.7499999999999998E-2</v>
      </c>
      <c r="BL149" s="538">
        <f t="shared" si="239"/>
        <v>5.0806349999999993E-2</v>
      </c>
      <c r="BM149">
        <f t="shared" si="240"/>
        <v>2.6099999999999999E-3</v>
      </c>
      <c r="BN149">
        <f t="shared" si="297"/>
        <v>1.4E-5</v>
      </c>
      <c r="BO149" s="538">
        <f t="shared" si="298"/>
        <v>0.15840299975915645</v>
      </c>
      <c r="BP149" s="469">
        <f t="shared" si="243"/>
        <v>157.55356021487938</v>
      </c>
      <c r="BQ149" s="538">
        <f t="shared" si="299"/>
        <v>0.14742</v>
      </c>
      <c r="BT149" s="469">
        <f t="shared" si="245"/>
        <v>147.41999999999999</v>
      </c>
      <c r="BU149" s="538">
        <f t="shared" si="246"/>
        <v>1.2473944517283926E-2</v>
      </c>
      <c r="BV149" s="538">
        <f t="shared" si="247"/>
        <v>7.4078277413580348E-2</v>
      </c>
      <c r="BW149" s="538">
        <f t="shared" si="248"/>
        <v>0</v>
      </c>
      <c r="BX149" s="538"/>
      <c r="BY149" s="538">
        <f t="shared" si="249"/>
        <v>2.9848000000000003E-2</v>
      </c>
      <c r="BZ149" s="469">
        <f t="shared" si="250"/>
        <v>116.40022193086428</v>
      </c>
      <c r="CA149" s="177">
        <f t="shared" si="251"/>
        <v>0.42137378214574367</v>
      </c>
      <c r="CB149" s="5">
        <f t="shared" si="252"/>
        <v>2.5388999999999999</v>
      </c>
      <c r="CC149" s="177">
        <f t="shared" si="253"/>
        <v>0.8576571583725906</v>
      </c>
      <c r="CD149" s="5">
        <f t="shared" si="254"/>
        <v>85.765715837259066</v>
      </c>
      <c r="CG149" s="571">
        <f t="shared" si="300"/>
        <v>-50</v>
      </c>
      <c r="CH149">
        <f t="shared" si="301"/>
        <v>-50</v>
      </c>
    </row>
    <row r="150" spans="5:86" x14ac:dyDescent="0.2">
      <c r="E150" s="174">
        <v>40</v>
      </c>
      <c r="F150" s="221">
        <f t="shared" si="302"/>
        <v>0.16800000000000001</v>
      </c>
      <c r="G150" s="221"/>
      <c r="H150" s="221">
        <f t="shared" si="266"/>
        <v>2.6040000000000001</v>
      </c>
      <c r="I150" s="551">
        <f t="shared" si="267"/>
        <v>9</v>
      </c>
      <c r="J150" s="451">
        <f t="shared" si="268"/>
        <v>16.399999999999999</v>
      </c>
      <c r="K150" s="451">
        <f t="shared" si="269"/>
        <v>25.4</v>
      </c>
      <c r="L150" s="451"/>
      <c r="M150" s="221">
        <f t="shared" si="270"/>
        <v>0.64566929133858264</v>
      </c>
      <c r="N150" s="176">
        <f t="shared" si="271"/>
        <v>10.799787401574802</v>
      </c>
      <c r="O150" s="176">
        <f t="shared" si="262"/>
        <v>2.6040000000000001</v>
      </c>
      <c r="P150" s="221">
        <f t="shared" si="272"/>
        <v>0.69676047752095494</v>
      </c>
      <c r="Q150" s="221">
        <f t="shared" si="273"/>
        <v>15.5</v>
      </c>
      <c r="R150" s="221"/>
      <c r="S150" s="176">
        <f t="shared" si="274"/>
        <v>89.928464806074771</v>
      </c>
      <c r="T150" s="176">
        <f t="shared" si="275"/>
        <v>15.5</v>
      </c>
      <c r="U150" s="221">
        <f t="shared" si="276"/>
        <v>0.99580849141824768</v>
      </c>
      <c r="V150" s="221">
        <f t="shared" si="277"/>
        <v>0.99580849141824757</v>
      </c>
      <c r="W150" s="221">
        <f t="shared" si="278"/>
        <v>0.5464802696807457</v>
      </c>
      <c r="X150" s="201">
        <f t="shared" si="279"/>
        <v>350</v>
      </c>
      <c r="Y150" s="451">
        <f t="shared" si="215"/>
        <v>350</v>
      </c>
      <c r="AA150" s="221">
        <f t="shared" si="280"/>
        <v>1.8447694038245221</v>
      </c>
      <c r="AB150" s="177">
        <f t="shared" si="281"/>
        <v>1.0123734533183355</v>
      </c>
      <c r="AC150" s="177">
        <f t="shared" si="282"/>
        <v>0.32682922508702178</v>
      </c>
      <c r="AD150" s="177"/>
      <c r="AE150" s="177">
        <f t="shared" si="283"/>
        <v>0.45</v>
      </c>
      <c r="AF150" s="555">
        <f t="shared" si="284"/>
        <v>910.56910569105708</v>
      </c>
      <c r="AG150" s="538">
        <f t="shared" si="285"/>
        <v>6.4574999999999994E-2</v>
      </c>
      <c r="AI150" s="177">
        <f t="shared" si="286"/>
        <v>1.3226236552146393</v>
      </c>
      <c r="AJ150" s="177">
        <f t="shared" si="287"/>
        <v>1.3226236552146393</v>
      </c>
      <c r="AK150" s="177">
        <f t="shared" si="288"/>
        <v>1.5350824368097595</v>
      </c>
      <c r="AM150" s="555">
        <f t="shared" si="289"/>
        <v>168</v>
      </c>
      <c r="AN150" s="469">
        <f t="shared" si="290"/>
        <v>350</v>
      </c>
      <c r="AP150" s="469">
        <f t="shared" si="291"/>
        <v>168</v>
      </c>
      <c r="AQ150" s="469">
        <f t="shared" si="292"/>
        <v>350</v>
      </c>
      <c r="AS150" s="5">
        <f t="shared" si="263"/>
        <v>2.8571428571428572</v>
      </c>
      <c r="AT150" s="5">
        <f t="shared" si="293"/>
        <v>1.3226236552146393</v>
      </c>
      <c r="AU150" s="5">
        <f t="shared" si="230"/>
        <v>1.5345192019282179</v>
      </c>
      <c r="AV150" s="5"/>
      <c r="AW150" s="177">
        <f t="shared" si="231"/>
        <v>0.46291827932512375</v>
      </c>
      <c r="AX150" s="177">
        <f t="shared" si="259"/>
        <v>2.7552000000000003</v>
      </c>
      <c r="AY150" s="177">
        <f t="shared" si="260"/>
        <v>0.3551784942739864</v>
      </c>
      <c r="AZ150" s="177">
        <f t="shared" si="264"/>
        <v>7.7572264211318656</v>
      </c>
      <c r="BA150" s="469">
        <f t="shared" si="294"/>
        <v>21.317779700075526</v>
      </c>
      <c r="BB150" s="469">
        <f t="shared" si="295"/>
        <v>8.3702296774193545</v>
      </c>
      <c r="BC150" s="5">
        <f t="shared" si="258"/>
        <v>0.82219917732944015</v>
      </c>
      <c r="BD150" s="469">
        <f t="shared" si="296"/>
        <v>50.296395084210857</v>
      </c>
      <c r="BF150" s="177">
        <f t="shared" si="265"/>
        <v>0.5195505675205413</v>
      </c>
      <c r="BG150" s="177">
        <f t="shared" si="261"/>
        <v>0.55962337236769732</v>
      </c>
      <c r="BI150" s="538">
        <f t="shared" si="236"/>
        <v>2.9692607143200819E-2</v>
      </c>
      <c r="BJ150" s="538">
        <f t="shared" si="237"/>
        <v>5.8790621474290726E-2</v>
      </c>
      <c r="BK150" s="538">
        <f t="shared" si="238"/>
        <v>1.7499999999999998E-2</v>
      </c>
      <c r="BL150" s="538">
        <f t="shared" si="239"/>
        <v>5.0806349999999993E-2</v>
      </c>
      <c r="BM150">
        <f t="shared" si="240"/>
        <v>2.6099999999999999E-3</v>
      </c>
      <c r="BN150">
        <f t="shared" si="297"/>
        <v>1.4E-5</v>
      </c>
      <c r="BO150" s="538">
        <f t="shared" si="298"/>
        <v>0.16029170240959068</v>
      </c>
      <c r="BP150" s="469">
        <f t="shared" si="243"/>
        <v>159.39957861749156</v>
      </c>
      <c r="BQ150" s="538">
        <f t="shared" si="299"/>
        <v>0.1512</v>
      </c>
      <c r="BT150" s="469">
        <f t="shared" si="245"/>
        <v>151.19999999999999</v>
      </c>
      <c r="BU150" s="538">
        <f t="shared" si="246"/>
        <v>1.2956774026123994E-2</v>
      </c>
      <c r="BV150" s="538">
        <f t="shared" si="247"/>
        <v>7.5162796536046655E-2</v>
      </c>
      <c r="BW150" s="538">
        <f t="shared" si="248"/>
        <v>0</v>
      </c>
      <c r="BX150" s="538"/>
      <c r="BY150" s="538">
        <f t="shared" si="249"/>
        <v>3.0613333333333333E-2</v>
      </c>
      <c r="BZ150" s="469">
        <f t="shared" si="250"/>
        <v>118.73290389550398</v>
      </c>
      <c r="CA150" s="177">
        <f t="shared" si="251"/>
        <v>0.42933248251299555</v>
      </c>
      <c r="CB150" s="5">
        <f t="shared" si="252"/>
        <v>2.6040000000000001</v>
      </c>
      <c r="CC150" s="177">
        <f t="shared" si="253"/>
        <v>0.85846177925167289</v>
      </c>
      <c r="CD150" s="5">
        <f t="shared" si="254"/>
        <v>85.846177925167282</v>
      </c>
      <c r="CG150" s="571">
        <f t="shared" si="300"/>
        <v>-50</v>
      </c>
      <c r="CH150">
        <f t="shared" si="301"/>
        <v>-50</v>
      </c>
    </row>
    <row r="151" spans="5:86" x14ac:dyDescent="0.2">
      <c r="E151" s="174">
        <v>41</v>
      </c>
      <c r="F151" s="221">
        <f t="shared" si="302"/>
        <v>0.17219999999999999</v>
      </c>
      <c r="G151" s="221"/>
      <c r="H151" s="221">
        <f t="shared" si="266"/>
        <v>2.6690999999999998</v>
      </c>
      <c r="I151" s="551">
        <f t="shared" si="267"/>
        <v>9</v>
      </c>
      <c r="J151" s="451">
        <f t="shared" si="268"/>
        <v>16.399999999999999</v>
      </c>
      <c r="K151" s="451">
        <f t="shared" si="269"/>
        <v>25.4</v>
      </c>
      <c r="L151" s="451"/>
      <c r="M151" s="221">
        <f t="shared" si="270"/>
        <v>0.64566929133858264</v>
      </c>
      <c r="N151" s="176">
        <f t="shared" si="271"/>
        <v>10.799787401574802</v>
      </c>
      <c r="O151" s="176">
        <f t="shared" si="262"/>
        <v>2.6690999999999998</v>
      </c>
      <c r="P151" s="221">
        <f t="shared" si="272"/>
        <v>0.69676047752095494</v>
      </c>
      <c r="Q151" s="221">
        <f t="shared" si="273"/>
        <v>15.5</v>
      </c>
      <c r="R151" s="221"/>
      <c r="S151" s="176">
        <f t="shared" si="274"/>
        <v>87.520179476055588</v>
      </c>
      <c r="T151" s="176">
        <f t="shared" si="275"/>
        <v>15.5</v>
      </c>
      <c r="U151" s="221">
        <f t="shared" si="276"/>
        <v>1.0207037037037037</v>
      </c>
      <c r="V151" s="221">
        <f t="shared" si="277"/>
        <v>1.0207037037037037</v>
      </c>
      <c r="W151" s="221">
        <f t="shared" si="278"/>
        <v>0.56014227642276426</v>
      </c>
      <c r="X151" s="201">
        <f t="shared" si="279"/>
        <v>350</v>
      </c>
      <c r="Y151" s="451">
        <f t="shared" si="215"/>
        <v>350</v>
      </c>
      <c r="AA151" s="221">
        <f t="shared" si="280"/>
        <v>1.8447694038245221</v>
      </c>
      <c r="AB151" s="177">
        <f t="shared" si="281"/>
        <v>1.0123734533183355</v>
      </c>
      <c r="AC151" s="177">
        <f t="shared" si="282"/>
        <v>0.32682922508702178</v>
      </c>
      <c r="AD151" s="177"/>
      <c r="AE151" s="177">
        <f t="shared" si="283"/>
        <v>0.45</v>
      </c>
      <c r="AF151" s="555">
        <f t="shared" si="284"/>
        <v>933.33333333333337</v>
      </c>
      <c r="AG151" s="538">
        <f t="shared" si="285"/>
        <v>6.4574999999999994E-2</v>
      </c>
      <c r="AI151" s="177">
        <f t="shared" si="286"/>
        <v>1.3390543927214706</v>
      </c>
      <c r="AJ151" s="177">
        <f t="shared" si="287"/>
        <v>1.3390543927214706</v>
      </c>
      <c r="AK151" s="177">
        <f t="shared" si="288"/>
        <v>1.5460362618143138</v>
      </c>
      <c r="AM151" s="555">
        <f t="shared" si="289"/>
        <v>172.2</v>
      </c>
      <c r="AN151" s="469">
        <f t="shared" si="290"/>
        <v>350</v>
      </c>
      <c r="AP151" s="469">
        <f t="shared" si="291"/>
        <v>172.2</v>
      </c>
      <c r="AQ151" s="469">
        <f t="shared" si="292"/>
        <v>350</v>
      </c>
      <c r="AS151" s="5">
        <f t="shared" si="263"/>
        <v>2.8571428571428572</v>
      </c>
      <c r="AT151" s="5">
        <f t="shared" si="293"/>
        <v>1.3390543927214706</v>
      </c>
      <c r="AU151" s="5">
        <f t="shared" si="230"/>
        <v>1.5180884644213866</v>
      </c>
      <c r="AV151" s="5"/>
      <c r="AW151" s="177">
        <f t="shared" si="231"/>
        <v>0.4686690374525147</v>
      </c>
      <c r="AX151" s="177">
        <f t="shared" si="259"/>
        <v>2.8240799999999999</v>
      </c>
      <c r="AY151" s="177">
        <f t="shared" si="260"/>
        <v>0.35574052969406872</v>
      </c>
      <c r="AZ151" s="177">
        <f t="shared" si="264"/>
        <v>7.9385950271920507</v>
      </c>
      <c r="BA151" s="469">
        <f t="shared" si="294"/>
        <v>21.317779700075526</v>
      </c>
      <c r="BB151" s="469">
        <f t="shared" si="295"/>
        <v>8.7853625548387058</v>
      </c>
      <c r="BC151" s="5">
        <f t="shared" si="258"/>
        <v>0.8337304362936464</v>
      </c>
      <c r="BD151" s="469">
        <f t="shared" si="296"/>
        <v>51.012381733174344</v>
      </c>
      <c r="BF151" s="177">
        <f t="shared" si="265"/>
        <v>0.5292620109658529</v>
      </c>
      <c r="BG151" s="177">
        <f t="shared" si="261"/>
        <v>0.56353403857909978</v>
      </c>
      <c r="BI151" s="538">
        <f t="shared" si="236"/>
        <v>3.0813010387678048E-2</v>
      </c>
      <c r="BJ151" s="538">
        <f t="shared" si="237"/>
        <v>5.9520967756469374E-2</v>
      </c>
      <c r="BK151" s="538">
        <f t="shared" si="238"/>
        <v>1.7499999999999998E-2</v>
      </c>
      <c r="BL151" s="538">
        <f t="shared" si="239"/>
        <v>5.0806349999999993E-2</v>
      </c>
      <c r="BM151">
        <f t="shared" si="240"/>
        <v>2.6099999999999999E-3</v>
      </c>
      <c r="BN151">
        <f t="shared" si="297"/>
        <v>1.4E-5</v>
      </c>
      <c r="BO151" s="538">
        <f t="shared" si="298"/>
        <v>0.16218635765497086</v>
      </c>
      <c r="BP151" s="469">
        <f t="shared" si="243"/>
        <v>161.2503281441474</v>
      </c>
      <c r="BQ151" s="538">
        <f t="shared" si="299"/>
        <v>0.15498000000000001</v>
      </c>
      <c r="BT151" s="469">
        <f t="shared" si="245"/>
        <v>154.98000000000002</v>
      </c>
      <c r="BU151" s="538">
        <f t="shared" si="246"/>
        <v>1.3445677260077693E-2</v>
      </c>
      <c r="BV151" s="538">
        <f t="shared" si="247"/>
        <v>7.6216947032944876E-2</v>
      </c>
      <c r="BW151" s="538">
        <f t="shared" si="248"/>
        <v>0</v>
      </c>
      <c r="BX151" s="538"/>
      <c r="BY151" s="538">
        <f t="shared" si="249"/>
        <v>3.1378666666666666E-2</v>
      </c>
      <c r="BZ151" s="469">
        <f t="shared" si="250"/>
        <v>121.04129095968923</v>
      </c>
      <c r="CA151" s="177">
        <f t="shared" si="251"/>
        <v>0.43727161910383661</v>
      </c>
      <c r="CB151" s="5">
        <f t="shared" si="252"/>
        <v>2.6690999999999998</v>
      </c>
      <c r="CC151" s="177">
        <f t="shared" si="253"/>
        <v>0.85923396401941565</v>
      </c>
      <c r="CD151" s="5">
        <f t="shared" si="254"/>
        <v>85.923396401941559</v>
      </c>
      <c r="CG151" s="571">
        <f t="shared" si="300"/>
        <v>-50</v>
      </c>
      <c r="CH151">
        <f t="shared" si="301"/>
        <v>-50</v>
      </c>
    </row>
    <row r="152" spans="5:86" x14ac:dyDescent="0.2">
      <c r="E152" s="174">
        <v>42</v>
      </c>
      <c r="F152" s="221">
        <f t="shared" si="302"/>
        <v>0.17639999999999997</v>
      </c>
      <c r="G152" s="221"/>
      <c r="H152" s="221">
        <f t="shared" si="266"/>
        <v>2.7341999999999995</v>
      </c>
      <c r="I152" s="551">
        <f t="shared" si="267"/>
        <v>9</v>
      </c>
      <c r="J152" s="451">
        <f t="shared" si="268"/>
        <v>16.399999999999999</v>
      </c>
      <c r="K152" s="451">
        <f t="shared" si="269"/>
        <v>25.4</v>
      </c>
      <c r="L152" s="451"/>
      <c r="M152" s="221">
        <f t="shared" si="270"/>
        <v>0.64566929133858264</v>
      </c>
      <c r="N152" s="176">
        <f t="shared" si="271"/>
        <v>10.799787401574802</v>
      </c>
      <c r="O152" s="176">
        <f t="shared" si="262"/>
        <v>2.7341999999999995</v>
      </c>
      <c r="P152" s="221">
        <f t="shared" si="272"/>
        <v>0.69676047752095494</v>
      </c>
      <c r="Q152" s="221">
        <f t="shared" si="273"/>
        <v>15.5</v>
      </c>
      <c r="R152" s="221"/>
      <c r="S152" s="176">
        <f t="shared" si="274"/>
        <v>85.226700551122164</v>
      </c>
      <c r="T152" s="176">
        <f t="shared" si="275"/>
        <v>15.5</v>
      </c>
      <c r="U152" s="221">
        <f t="shared" si="276"/>
        <v>1.0455989159891599</v>
      </c>
      <c r="V152" s="221">
        <f t="shared" si="277"/>
        <v>1.0455989159891599</v>
      </c>
      <c r="W152" s="221">
        <f t="shared" si="278"/>
        <v>0.57380428316478294</v>
      </c>
      <c r="X152" s="201">
        <f t="shared" si="279"/>
        <v>350</v>
      </c>
      <c r="Y152" s="451">
        <f t="shared" si="215"/>
        <v>350</v>
      </c>
      <c r="AA152" s="221">
        <f t="shared" si="280"/>
        <v>1.8447694038245221</v>
      </c>
      <c r="AB152" s="177">
        <f t="shared" si="281"/>
        <v>1.0123734533183355</v>
      </c>
      <c r="AC152" s="177">
        <f t="shared" si="282"/>
        <v>0.32682922508702178</v>
      </c>
      <c r="AD152" s="177"/>
      <c r="AE152" s="177">
        <f t="shared" si="283"/>
        <v>0.45</v>
      </c>
      <c r="AF152" s="555">
        <f t="shared" si="284"/>
        <v>956.09756097560967</v>
      </c>
      <c r="AG152" s="538">
        <f t="shared" si="285"/>
        <v>6.4574999999999994E-2</v>
      </c>
      <c r="AI152" s="177">
        <f t="shared" si="286"/>
        <v>1.355285947687793</v>
      </c>
      <c r="AJ152" s="177">
        <f t="shared" si="287"/>
        <v>1.355285947687793</v>
      </c>
      <c r="AK152" s="177">
        <f t="shared" si="288"/>
        <v>1.5568572984585287</v>
      </c>
      <c r="AM152" s="555">
        <f t="shared" si="289"/>
        <v>176.39999999999998</v>
      </c>
      <c r="AN152" s="469">
        <f t="shared" si="290"/>
        <v>350</v>
      </c>
      <c r="AP152" s="469">
        <f t="shared" si="291"/>
        <v>176.39999999999998</v>
      </c>
      <c r="AQ152" s="469">
        <f t="shared" si="292"/>
        <v>350</v>
      </c>
      <c r="AS152" s="5">
        <f t="shared" si="263"/>
        <v>2.8571428571428572</v>
      </c>
      <c r="AT152" s="5">
        <f t="shared" si="293"/>
        <v>1.355285947687793</v>
      </c>
      <c r="AU152" s="5">
        <f t="shared" si="230"/>
        <v>1.5018569094550642</v>
      </c>
      <c r="AV152" s="5"/>
      <c r="AW152" s="177">
        <f t="shared" si="231"/>
        <v>0.47435008169072751</v>
      </c>
      <c r="AX152" s="177">
        <f t="shared" si="259"/>
        <v>2.8929599999999986</v>
      </c>
      <c r="AY152" s="177">
        <f t="shared" si="260"/>
        <v>0.35620297384389665</v>
      </c>
      <c r="AZ152" s="177">
        <f t="shared" si="264"/>
        <v>8.121661559366478</v>
      </c>
      <c r="BA152" s="469">
        <f t="shared" si="294"/>
        <v>21.317779700075526</v>
      </c>
      <c r="BB152" s="469">
        <f t="shared" si="295"/>
        <v>9.2105382193548344</v>
      </c>
      <c r="BC152" s="5">
        <f t="shared" si="258"/>
        <v>0.84493357239342282</v>
      </c>
      <c r="BD152" s="469">
        <f t="shared" si="296"/>
        <v>51.708681010272045</v>
      </c>
      <c r="BF152" s="177">
        <f t="shared" si="265"/>
        <v>0.53891441189658551</v>
      </c>
      <c r="BG152" s="177">
        <f t="shared" si="261"/>
        <v>0.56730760907714239</v>
      </c>
      <c r="BI152" s="538">
        <f t="shared" si="236"/>
        <v>3.1947161768482689E-2</v>
      </c>
      <c r="BJ152" s="538">
        <f t="shared" si="237"/>
        <v>6.0242460374722397E-2</v>
      </c>
      <c r="BK152" s="538">
        <f t="shared" si="238"/>
        <v>1.7499999999999998E-2</v>
      </c>
      <c r="BL152" s="538">
        <f t="shared" si="239"/>
        <v>5.0806349999999993E-2</v>
      </c>
      <c r="BM152">
        <f t="shared" si="240"/>
        <v>2.6099999999999999E-3</v>
      </c>
      <c r="BN152">
        <f t="shared" si="297"/>
        <v>1.4E-5</v>
      </c>
      <c r="BO152" s="538">
        <f t="shared" si="298"/>
        <v>0.16408714300678084</v>
      </c>
      <c r="BP152" s="469">
        <f t="shared" si="243"/>
        <v>163.10597214320507</v>
      </c>
      <c r="BQ152" s="538">
        <f t="shared" si="299"/>
        <v>0.15875999999999998</v>
      </c>
      <c r="BT152" s="469">
        <f t="shared" si="245"/>
        <v>158.76</v>
      </c>
      <c r="BU152" s="538">
        <f t="shared" si="246"/>
        <v>1.3940579680792447E-2</v>
      </c>
      <c r="BV152" s="538">
        <f t="shared" si="247"/>
        <v>7.7241101596037712E-2</v>
      </c>
      <c r="BW152" s="538">
        <f t="shared" si="248"/>
        <v>0</v>
      </c>
      <c r="BX152" s="538"/>
      <c r="BY152" s="538">
        <f t="shared" si="249"/>
        <v>3.2143999999999992E-2</v>
      </c>
      <c r="BZ152" s="469">
        <f t="shared" si="250"/>
        <v>123.32568127683015</v>
      </c>
      <c r="CA152" s="177">
        <f t="shared" si="251"/>
        <v>0.44519165342003519</v>
      </c>
      <c r="CB152" s="5">
        <f t="shared" si="252"/>
        <v>2.7341999999999995</v>
      </c>
      <c r="CC152" s="177">
        <f t="shared" si="253"/>
        <v>0.85997583753447049</v>
      </c>
      <c r="CD152" s="5">
        <f t="shared" si="254"/>
        <v>85.997583753447046</v>
      </c>
      <c r="CG152" s="571">
        <f t="shared" si="300"/>
        <v>-50</v>
      </c>
      <c r="CH152">
        <f t="shared" si="301"/>
        <v>-50</v>
      </c>
    </row>
    <row r="153" spans="5:86" x14ac:dyDescent="0.2">
      <c r="E153" s="174">
        <v>43</v>
      </c>
      <c r="F153" s="221">
        <f t="shared" si="302"/>
        <v>0.18059999999999998</v>
      </c>
      <c r="G153" s="221"/>
      <c r="H153" s="221">
        <f t="shared" si="266"/>
        <v>2.7992999999999997</v>
      </c>
      <c r="I153" s="551">
        <f t="shared" si="267"/>
        <v>9</v>
      </c>
      <c r="J153" s="451">
        <f t="shared" si="268"/>
        <v>16.399999999999999</v>
      </c>
      <c r="K153" s="451">
        <f t="shared" si="269"/>
        <v>25.4</v>
      </c>
      <c r="L153" s="451"/>
      <c r="M153" s="221">
        <f t="shared" si="270"/>
        <v>0.64566929133858264</v>
      </c>
      <c r="N153" s="176">
        <f t="shared" si="271"/>
        <v>10.799787401574802</v>
      </c>
      <c r="O153" s="176">
        <f t="shared" si="262"/>
        <v>2.7992999999999997</v>
      </c>
      <c r="P153" s="221">
        <f t="shared" si="272"/>
        <v>0.69676047752095494</v>
      </c>
      <c r="Q153" s="221">
        <f t="shared" si="273"/>
        <v>15.5</v>
      </c>
      <c r="R153" s="221"/>
      <c r="S153" s="176">
        <f t="shared" si="274"/>
        <v>83.040019070973415</v>
      </c>
      <c r="T153" s="176">
        <f t="shared" si="275"/>
        <v>15.5</v>
      </c>
      <c r="U153" s="221">
        <f t="shared" si="276"/>
        <v>1.0704941282746161</v>
      </c>
      <c r="V153" s="221">
        <f t="shared" si="277"/>
        <v>1.0704941282746159</v>
      </c>
      <c r="W153" s="221">
        <f t="shared" si="278"/>
        <v>0.5874662899068015</v>
      </c>
      <c r="X153" s="201">
        <f t="shared" si="279"/>
        <v>350</v>
      </c>
      <c r="Y153" s="451">
        <f t="shared" si="215"/>
        <v>350</v>
      </c>
      <c r="AA153" s="221">
        <f t="shared" si="280"/>
        <v>1.8447694038245221</v>
      </c>
      <c r="AB153" s="177">
        <f t="shared" si="281"/>
        <v>1.0123734533183355</v>
      </c>
      <c r="AC153" s="177">
        <f t="shared" si="282"/>
        <v>0.32682922508702178</v>
      </c>
      <c r="AD153" s="177"/>
      <c r="AE153" s="177">
        <f t="shared" si="283"/>
        <v>0.45</v>
      </c>
      <c r="AF153" s="555">
        <f t="shared" si="284"/>
        <v>978.86178861788619</v>
      </c>
      <c r="AG153" s="538">
        <f t="shared" si="285"/>
        <v>6.4574999999999994E-2</v>
      </c>
      <c r="AI153" s="177">
        <f t="shared" si="286"/>
        <v>1.3713253929441156</v>
      </c>
      <c r="AJ153" s="177">
        <f t="shared" si="287"/>
        <v>1.3713253929441156</v>
      </c>
      <c r="AK153" s="177">
        <f t="shared" si="288"/>
        <v>1.5675502619627437</v>
      </c>
      <c r="AM153" s="555">
        <f t="shared" si="289"/>
        <v>180.6</v>
      </c>
      <c r="AN153" s="469">
        <f t="shared" si="290"/>
        <v>350</v>
      </c>
      <c r="AP153" s="469">
        <f t="shared" si="291"/>
        <v>180.6</v>
      </c>
      <c r="AQ153" s="469">
        <f t="shared" si="292"/>
        <v>350</v>
      </c>
      <c r="AS153" s="5">
        <f t="shared" si="263"/>
        <v>2.8571428571428572</v>
      </c>
      <c r="AT153" s="5">
        <f t="shared" si="293"/>
        <v>1.3713253929441158</v>
      </c>
      <c r="AU153" s="5">
        <f t="shared" si="230"/>
        <v>1.4858174641987414</v>
      </c>
      <c r="AV153" s="5"/>
      <c r="AW153" s="177">
        <f t="shared" si="231"/>
        <v>0.4799638875304405</v>
      </c>
      <c r="AX153" s="177">
        <f t="shared" si="259"/>
        <v>2.9618399999999996</v>
      </c>
      <c r="AY153" s="177">
        <f t="shared" si="260"/>
        <v>0.3565693631387245</v>
      </c>
      <c r="AZ153" s="177">
        <f t="shared" si="264"/>
        <v>8.3064904228681193</v>
      </c>
      <c r="BA153" s="469">
        <f t="shared" si="294"/>
        <v>21.317779700075526</v>
      </c>
      <c r="BB153" s="469">
        <f t="shared" si="295"/>
        <v>9.6457566709677387</v>
      </c>
      <c r="BC153" s="5">
        <f t="shared" si="258"/>
        <v>0.85581251595299079</v>
      </c>
      <c r="BD153" s="469">
        <f t="shared" si="296"/>
        <v>52.385528734957234</v>
      </c>
      <c r="BF153" s="177">
        <f t="shared" si="265"/>
        <v>0.54850952264515396</v>
      </c>
      <c r="BG153" s="177">
        <f t="shared" si="261"/>
        <v>0.57094811323974937</v>
      </c>
      <c r="BI153" s="538">
        <f t="shared" si="236"/>
        <v>3.3094896607565615E-2</v>
      </c>
      <c r="BJ153" s="538">
        <f t="shared" si="237"/>
        <v>6.0955413716365939E-2</v>
      </c>
      <c r="BK153" s="538">
        <f t="shared" si="238"/>
        <v>1.7499999999999998E-2</v>
      </c>
      <c r="BL153" s="538">
        <f t="shared" si="239"/>
        <v>5.0806349999999993E-2</v>
      </c>
      <c r="BM153">
        <f t="shared" si="240"/>
        <v>2.6099999999999999E-3</v>
      </c>
      <c r="BN153">
        <f t="shared" si="297"/>
        <v>1.4E-5</v>
      </c>
      <c r="BO153" s="538">
        <f t="shared" si="298"/>
        <v>0.16599422244452908</v>
      </c>
      <c r="BP153" s="469">
        <f t="shared" si="243"/>
        <v>164.96666032393154</v>
      </c>
      <c r="BQ153" s="538">
        <f t="shared" si="299"/>
        <v>0.16253999999999999</v>
      </c>
      <c r="BT153" s="469">
        <f t="shared" si="245"/>
        <v>162.54</v>
      </c>
      <c r="BU153" s="538">
        <f t="shared" si="246"/>
        <v>1.4441409428755903E-2</v>
      </c>
      <c r="BV153" s="538">
        <f t="shared" si="247"/>
        <v>7.8235619522887115E-2</v>
      </c>
      <c r="BW153" s="538">
        <f t="shared" si="248"/>
        <v>0</v>
      </c>
      <c r="BX153" s="538"/>
      <c r="BY153" s="538">
        <f t="shared" si="249"/>
        <v>3.2909333333333325E-2</v>
      </c>
      <c r="BZ153" s="469">
        <f t="shared" si="250"/>
        <v>125.58636228497636</v>
      </c>
      <c r="CA153" s="177">
        <f t="shared" si="251"/>
        <v>0.45309302260890782</v>
      </c>
      <c r="CB153" s="5">
        <f t="shared" si="252"/>
        <v>2.7992999999999997</v>
      </c>
      <c r="CC153" s="177">
        <f t="shared" si="253"/>
        <v>0.86068933875480425</v>
      </c>
      <c r="CD153" s="5">
        <f t="shared" si="254"/>
        <v>86.068933875480425</v>
      </c>
      <c r="CG153" s="571">
        <f t="shared" si="300"/>
        <v>-50</v>
      </c>
      <c r="CH153">
        <f t="shared" si="301"/>
        <v>-50</v>
      </c>
    </row>
    <row r="154" spans="5:86" x14ac:dyDescent="0.2">
      <c r="E154" s="174">
        <v>44</v>
      </c>
      <c r="F154" s="221">
        <f t="shared" si="302"/>
        <v>0.18479999999999999</v>
      </c>
      <c r="G154" s="221"/>
      <c r="H154" s="221">
        <f t="shared" si="266"/>
        <v>2.8643999999999998</v>
      </c>
      <c r="I154" s="551">
        <f t="shared" si="267"/>
        <v>9</v>
      </c>
      <c r="J154" s="451">
        <f t="shared" si="268"/>
        <v>16.399999999999999</v>
      </c>
      <c r="K154" s="451">
        <f t="shared" si="269"/>
        <v>25.4</v>
      </c>
      <c r="L154" s="451"/>
      <c r="M154" s="221">
        <f t="shared" si="270"/>
        <v>0.64566929133858264</v>
      </c>
      <c r="N154" s="176">
        <f t="shared" si="271"/>
        <v>10.799787401574802</v>
      </c>
      <c r="O154" s="176">
        <f t="shared" si="262"/>
        <v>2.8643999999999998</v>
      </c>
      <c r="P154" s="221">
        <f t="shared" si="272"/>
        <v>0.69676047752095494</v>
      </c>
      <c r="Q154" s="221">
        <f t="shared" si="273"/>
        <v>15.5</v>
      </c>
      <c r="R154" s="221"/>
      <c r="S154" s="176">
        <f t="shared" si="274"/>
        <v>80.952854168123935</v>
      </c>
      <c r="T154" s="176">
        <f t="shared" si="275"/>
        <v>15.5</v>
      </c>
      <c r="U154" s="221">
        <f t="shared" si="276"/>
        <v>1.0953893405600723</v>
      </c>
      <c r="V154" s="221">
        <f t="shared" si="277"/>
        <v>1.0953893405600723</v>
      </c>
      <c r="W154" s="221">
        <f t="shared" si="278"/>
        <v>0.60112829664882028</v>
      </c>
      <c r="X154" s="201">
        <f t="shared" si="279"/>
        <v>350</v>
      </c>
      <c r="Y154" s="451">
        <f t="shared" si="215"/>
        <v>350</v>
      </c>
      <c r="AA154" s="221">
        <f t="shared" si="280"/>
        <v>1.8447694038245221</v>
      </c>
      <c r="AB154" s="177">
        <f t="shared" si="281"/>
        <v>1.0123734533183355</v>
      </c>
      <c r="AC154" s="177">
        <f t="shared" si="282"/>
        <v>0.32682922508702178</v>
      </c>
      <c r="AD154" s="177"/>
      <c r="AE154" s="177">
        <f t="shared" si="283"/>
        <v>0.45</v>
      </c>
      <c r="AF154" s="555">
        <f t="shared" si="284"/>
        <v>1001.6260162601626</v>
      </c>
      <c r="AG154" s="538">
        <f t="shared" si="285"/>
        <v>6.4574999999999994E-2</v>
      </c>
      <c r="AI154" s="177">
        <f t="shared" si="286"/>
        <v>1.3871793923882616</v>
      </c>
      <c r="AJ154" s="177">
        <f t="shared" si="287"/>
        <v>1.3871793923882616</v>
      </c>
      <c r="AK154" s="177">
        <f t="shared" si="288"/>
        <v>1.5781195949255078</v>
      </c>
      <c r="AM154" s="555">
        <f t="shared" si="289"/>
        <v>184.79999999999998</v>
      </c>
      <c r="AN154" s="469">
        <f t="shared" si="290"/>
        <v>350</v>
      </c>
      <c r="AP154" s="469">
        <f t="shared" si="291"/>
        <v>184.79999999999998</v>
      </c>
      <c r="AQ154" s="469">
        <f t="shared" si="292"/>
        <v>350</v>
      </c>
      <c r="AS154" s="5">
        <f t="shared" si="263"/>
        <v>2.8571428571428572</v>
      </c>
      <c r="AT154" s="5">
        <f t="shared" si="293"/>
        <v>1.3871793923882616</v>
      </c>
      <c r="AU154" s="5">
        <f t="shared" si="230"/>
        <v>1.4699634647545956</v>
      </c>
      <c r="AV154" s="5"/>
      <c r="AW154" s="177">
        <f t="shared" si="231"/>
        <v>0.48551278733589154</v>
      </c>
      <c r="AX154" s="177">
        <f t="shared" si="259"/>
        <v>3.0307200000000001</v>
      </c>
      <c r="AY154" s="177">
        <f t="shared" si="260"/>
        <v>0.35684302952746416</v>
      </c>
      <c r="AZ154" s="177">
        <f t="shared" si="264"/>
        <v>8.4931461433149362</v>
      </c>
      <c r="BA154" s="469">
        <f t="shared" si="294"/>
        <v>21.317779700075526</v>
      </c>
      <c r="BB154" s="469">
        <f t="shared" si="295"/>
        <v>10.091017909677417</v>
      </c>
      <c r="BC154" s="5">
        <f t="shared" si="258"/>
        <v>0.86637105935042447</v>
      </c>
      <c r="BD154" s="469">
        <f t="shared" si="296"/>
        <v>53.043152449914352</v>
      </c>
      <c r="BF154" s="177">
        <f t="shared" si="265"/>
        <v>0.55804900409398883</v>
      </c>
      <c r="BG154" s="177">
        <f t="shared" si="261"/>
        <v>0.57445933820587292</v>
      </c>
      <c r="BI154" s="538">
        <f t="shared" si="236"/>
        <v>3.4256056006732205E-2</v>
      </c>
      <c r="BJ154" s="538">
        <f t="shared" si="237"/>
        <v>6.1660123991658232E-2</v>
      </c>
      <c r="BK154" s="538">
        <f t="shared" si="238"/>
        <v>1.7499999999999998E-2</v>
      </c>
      <c r="BL154" s="538">
        <f t="shared" si="239"/>
        <v>5.0806349999999993E-2</v>
      </c>
      <c r="BM154">
        <f t="shared" si="240"/>
        <v>2.6099999999999999E-3</v>
      </c>
      <c r="BN154">
        <f t="shared" si="297"/>
        <v>1.4E-5</v>
      </c>
      <c r="BO154" s="538">
        <f t="shared" si="298"/>
        <v>0.16790774765318744</v>
      </c>
      <c r="BP154" s="469">
        <f t="shared" si="243"/>
        <v>166.83252999839044</v>
      </c>
      <c r="BQ154" s="538">
        <f t="shared" si="299"/>
        <v>0.16632</v>
      </c>
      <c r="BT154" s="469">
        <f t="shared" si="245"/>
        <v>166.32</v>
      </c>
      <c r="BU154" s="538">
        <f t="shared" si="246"/>
        <v>1.4948097166574054E-2</v>
      </c>
      <c r="BV154" s="538">
        <f t="shared" si="247"/>
        <v>7.9200847500463079E-2</v>
      </c>
      <c r="BW154" s="538">
        <f t="shared" si="248"/>
        <v>0</v>
      </c>
      <c r="BX154" s="538"/>
      <c r="BY154" s="538">
        <f t="shared" si="249"/>
        <v>3.3674666666666665E-2</v>
      </c>
      <c r="BZ154" s="469">
        <f t="shared" si="250"/>
        <v>127.82361133370379</v>
      </c>
      <c r="CA154" s="177">
        <f t="shared" si="251"/>
        <v>0.46097614133209425</v>
      </c>
      <c r="CB154" s="5">
        <f t="shared" si="252"/>
        <v>2.8643999999999998</v>
      </c>
      <c r="CC154" s="177">
        <f t="shared" si="253"/>
        <v>0.86137624084010112</v>
      </c>
      <c r="CD154" s="5">
        <f t="shared" si="254"/>
        <v>86.137624084010113</v>
      </c>
      <c r="CG154" s="571">
        <f t="shared" si="300"/>
        <v>-50</v>
      </c>
      <c r="CH154">
        <f t="shared" si="301"/>
        <v>-50</v>
      </c>
    </row>
    <row r="155" spans="5:86" x14ac:dyDescent="0.2">
      <c r="E155" s="174">
        <v>45</v>
      </c>
      <c r="F155" s="221">
        <f t="shared" si="302"/>
        <v>0.189</v>
      </c>
      <c r="G155" s="221"/>
      <c r="H155" s="221">
        <f t="shared" si="266"/>
        <v>2.9295</v>
      </c>
      <c r="I155" s="551">
        <f t="shared" si="267"/>
        <v>9</v>
      </c>
      <c r="J155" s="451">
        <f t="shared" si="268"/>
        <v>16.399999999999999</v>
      </c>
      <c r="K155" s="451">
        <f t="shared" si="269"/>
        <v>25.4</v>
      </c>
      <c r="L155" s="451"/>
      <c r="M155" s="221">
        <f t="shared" si="270"/>
        <v>0.64566929133858264</v>
      </c>
      <c r="N155" s="176">
        <f t="shared" si="271"/>
        <v>10.799787401574802</v>
      </c>
      <c r="O155" s="176">
        <f t="shared" si="262"/>
        <v>2.9295</v>
      </c>
      <c r="P155" s="221">
        <f t="shared" si="272"/>
        <v>0.69676047752095494</v>
      </c>
      <c r="Q155" s="221">
        <f t="shared" si="273"/>
        <v>15.5</v>
      </c>
      <c r="R155" s="221"/>
      <c r="S155" s="176">
        <f t="shared" si="274"/>
        <v>78.958572168737433</v>
      </c>
      <c r="T155" s="176">
        <f t="shared" si="275"/>
        <v>15.5</v>
      </c>
      <c r="U155" s="221">
        <f t="shared" si="276"/>
        <v>1.1202845528455285</v>
      </c>
      <c r="V155" s="221">
        <f t="shared" si="277"/>
        <v>1.1202845528455285</v>
      </c>
      <c r="W155" s="221">
        <f t="shared" si="278"/>
        <v>0.61479030339083884</v>
      </c>
      <c r="X155" s="201">
        <f t="shared" si="279"/>
        <v>350</v>
      </c>
      <c r="Y155" s="451">
        <f t="shared" si="215"/>
        <v>350</v>
      </c>
      <c r="AA155" s="221">
        <f t="shared" si="280"/>
        <v>1.8447694038245221</v>
      </c>
      <c r="AB155" s="177">
        <f t="shared" si="281"/>
        <v>1.0123734533183355</v>
      </c>
      <c r="AC155" s="177">
        <f t="shared" si="282"/>
        <v>0.32682922508702178</v>
      </c>
      <c r="AD155" s="177"/>
      <c r="AE155" s="177">
        <f t="shared" si="283"/>
        <v>0.45</v>
      </c>
      <c r="AF155" s="555">
        <f t="shared" si="284"/>
        <v>1024.3902439024391</v>
      </c>
      <c r="AG155" s="538">
        <f t="shared" si="285"/>
        <v>6.4574999999999994E-2</v>
      </c>
      <c r="AI155" s="177">
        <f t="shared" si="286"/>
        <v>1.4028542333400145</v>
      </c>
      <c r="AJ155" s="177">
        <f t="shared" si="287"/>
        <v>1.4028542333400145</v>
      </c>
      <c r="AK155" s="177">
        <f t="shared" si="288"/>
        <v>1.588569488893343</v>
      </c>
      <c r="AM155" s="555">
        <f t="shared" si="289"/>
        <v>189</v>
      </c>
      <c r="AN155" s="469">
        <f t="shared" si="290"/>
        <v>350</v>
      </c>
      <c r="AP155" s="469">
        <f t="shared" si="291"/>
        <v>189</v>
      </c>
      <c r="AQ155" s="469">
        <f t="shared" si="292"/>
        <v>350</v>
      </c>
      <c r="AS155" s="5">
        <f t="shared" si="263"/>
        <v>2.8571428571428572</v>
      </c>
      <c r="AT155" s="5">
        <f t="shared" si="293"/>
        <v>1.4028542333400142</v>
      </c>
      <c r="AU155" s="5">
        <f t="shared" si="230"/>
        <v>1.454288623802843</v>
      </c>
      <c r="AV155" s="5"/>
      <c r="AW155" s="177">
        <f t="shared" si="231"/>
        <v>0.49099898166900496</v>
      </c>
      <c r="AX155" s="177">
        <f t="shared" si="259"/>
        <v>3.0995999999999997</v>
      </c>
      <c r="AY155" s="177">
        <f t="shared" si="260"/>
        <v>0.35702711667000731</v>
      </c>
      <c r="AZ155" s="177">
        <f t="shared" si="264"/>
        <v>8.6816935052720243</v>
      </c>
      <c r="BA155" s="469">
        <f t="shared" si="294"/>
        <v>21.317779700075526</v>
      </c>
      <c r="BB155" s="469">
        <f t="shared" si="295"/>
        <v>10.546321935483869</v>
      </c>
      <c r="BC155" s="5">
        <f t="shared" si="258"/>
        <v>0.8766128649033802</v>
      </c>
      <c r="BD155" s="469">
        <f t="shared" si="296"/>
        <v>53.681771894202825</v>
      </c>
      <c r="BF155" s="177">
        <f t="shared" si="265"/>
        <v>0.56753443241345913</v>
      </c>
      <c r="BG155" s="177">
        <f t="shared" si="261"/>
        <v>0.57784484771012079</v>
      </c>
      <c r="BI155" s="538">
        <f t="shared" si="236"/>
        <v>3.5430486517235397E-2</v>
      </c>
      <c r="BJ155" s="538">
        <f t="shared" si="237"/>
        <v>6.2356870671963646E-2</v>
      </c>
      <c r="BK155" s="538">
        <f t="shared" si="238"/>
        <v>1.7499999999999998E-2</v>
      </c>
      <c r="BL155" s="538">
        <f t="shared" si="239"/>
        <v>5.0806349999999993E-2</v>
      </c>
      <c r="BM155">
        <f t="shared" si="240"/>
        <v>2.6099999999999999E-3</v>
      </c>
      <c r="BN155">
        <f t="shared" si="297"/>
        <v>1.4E-5</v>
      </c>
      <c r="BO155" s="538">
        <f t="shared" si="298"/>
        <v>0.16982785912687598</v>
      </c>
      <c r="BP155" s="469">
        <f t="shared" si="243"/>
        <v>168.70370718919904</v>
      </c>
      <c r="BQ155" s="538">
        <f t="shared" si="299"/>
        <v>0.1701</v>
      </c>
      <c r="BT155" s="469">
        <f t="shared" si="245"/>
        <v>170.1</v>
      </c>
      <c r="BU155" s="538">
        <f t="shared" si="246"/>
        <v>1.5460575934793627E-2</v>
      </c>
      <c r="BV155" s="538">
        <f t="shared" si="247"/>
        <v>8.0137120326031847E-2</v>
      </c>
      <c r="BW155" s="538">
        <f t="shared" si="248"/>
        <v>0</v>
      </c>
      <c r="BX155" s="538"/>
      <c r="BY155" s="538">
        <f t="shared" si="249"/>
        <v>3.4439999999999998E-2</v>
      </c>
      <c r="BZ155" s="469">
        <f t="shared" si="250"/>
        <v>130.03769626082544</v>
      </c>
      <c r="CA155" s="177">
        <f t="shared" si="251"/>
        <v>0.46884140345002456</v>
      </c>
      <c r="CB155" s="5">
        <f t="shared" si="252"/>
        <v>2.9295</v>
      </c>
      <c r="CC155" s="177">
        <f t="shared" si="253"/>
        <v>0.86203816868603811</v>
      </c>
      <c r="CD155" s="5">
        <f t="shared" si="254"/>
        <v>86.203816868603809</v>
      </c>
      <c r="CG155" s="571">
        <f t="shared" si="300"/>
        <v>-50</v>
      </c>
      <c r="CH155">
        <f t="shared" si="301"/>
        <v>-50</v>
      </c>
    </row>
    <row r="156" spans="5:86" s="77" customFormat="1" x14ac:dyDescent="0.2">
      <c r="E156" s="193">
        <v>46</v>
      </c>
      <c r="F156" s="333">
        <f t="shared" si="302"/>
        <v>0.19320000000000001</v>
      </c>
      <c r="G156" s="333"/>
      <c r="H156" s="333">
        <f t="shared" si="266"/>
        <v>2.9946000000000002</v>
      </c>
      <c r="I156" s="551">
        <f t="shared" si="267"/>
        <v>9</v>
      </c>
      <c r="J156" s="451">
        <f t="shared" si="268"/>
        <v>16.399999999999999</v>
      </c>
      <c r="K156" s="545">
        <f t="shared" si="269"/>
        <v>25.4</v>
      </c>
      <c r="L156" s="545"/>
      <c r="M156" s="333">
        <f t="shared" si="270"/>
        <v>0.64566929133858264</v>
      </c>
      <c r="N156" s="176">
        <f t="shared" si="271"/>
        <v>10.799787401574802</v>
      </c>
      <c r="O156" s="176">
        <f t="shared" si="262"/>
        <v>2.9946000000000002</v>
      </c>
      <c r="P156" s="333">
        <f t="shared" si="272"/>
        <v>0.69676047752095494</v>
      </c>
      <c r="Q156" s="333">
        <f t="shared" si="273"/>
        <v>15.5</v>
      </c>
      <c r="R156" s="333"/>
      <c r="S156" s="176">
        <f t="shared" si="274"/>
        <v>77.051116245525265</v>
      </c>
      <c r="T156" s="176">
        <f t="shared" si="275"/>
        <v>15.5</v>
      </c>
      <c r="U156" s="221">
        <f t="shared" si="276"/>
        <v>1.1451797651309847</v>
      </c>
      <c r="V156" s="333">
        <f t="shared" si="277"/>
        <v>1.1451797651309847</v>
      </c>
      <c r="W156" s="333">
        <f t="shared" si="278"/>
        <v>0.62845231013285752</v>
      </c>
      <c r="X156" s="547">
        <f t="shared" si="279"/>
        <v>350</v>
      </c>
      <c r="Y156" s="545">
        <f t="shared" si="215"/>
        <v>350</v>
      </c>
      <c r="AA156" s="333">
        <f t="shared" si="280"/>
        <v>1.8447694038245221</v>
      </c>
      <c r="AB156" s="548">
        <f t="shared" si="281"/>
        <v>1.0123734533183355</v>
      </c>
      <c r="AC156" s="548">
        <f t="shared" si="282"/>
        <v>0.32682922508702178</v>
      </c>
      <c r="AD156" s="548"/>
      <c r="AE156" s="548">
        <f t="shared" si="283"/>
        <v>0.45</v>
      </c>
      <c r="AF156" s="555">
        <f t="shared" si="284"/>
        <v>1047.1544715447155</v>
      </c>
      <c r="AG156" s="590">
        <f t="shared" si="285"/>
        <v>6.4574999999999994E-2</v>
      </c>
      <c r="AI156" s="548">
        <f t="shared" si="286"/>
        <v>1.4183558556770346</v>
      </c>
      <c r="AJ156" s="548">
        <f t="shared" si="287"/>
        <v>1.4183558556770346</v>
      </c>
      <c r="AK156" s="177">
        <f t="shared" si="288"/>
        <v>1.5989039037846897</v>
      </c>
      <c r="AM156" s="573">
        <f t="shared" si="289"/>
        <v>193.20000000000002</v>
      </c>
      <c r="AN156" s="574">
        <f t="shared" si="290"/>
        <v>350</v>
      </c>
      <c r="AP156" s="77">
        <f t="shared" si="291"/>
        <v>193.20000000000002</v>
      </c>
      <c r="AQ156" s="77">
        <f t="shared" si="292"/>
        <v>350</v>
      </c>
      <c r="AS156" s="544">
        <f t="shared" si="263"/>
        <v>2.8571428571428572</v>
      </c>
      <c r="AT156" s="5">
        <f t="shared" si="293"/>
        <v>1.4183558556770346</v>
      </c>
      <c r="AU156" s="5">
        <f t="shared" si="230"/>
        <v>1.4387870014658226</v>
      </c>
      <c r="AV156" s="5"/>
      <c r="AW156" s="177">
        <f t="shared" si="231"/>
        <v>0.49642454948696207</v>
      </c>
      <c r="AX156" s="177">
        <f t="shared" si="259"/>
        <v>3.1684799999999997</v>
      </c>
      <c r="AY156" s="177">
        <f t="shared" si="260"/>
        <v>0.35712459450518402</v>
      </c>
      <c r="AZ156" s="177">
        <f t="shared" si="264"/>
        <v>8.8721976832486291</v>
      </c>
      <c r="BA156" s="469">
        <f t="shared" si="294"/>
        <v>21.317779700075526</v>
      </c>
      <c r="BB156" s="469">
        <f t="shared" si="295"/>
        <v>11.011668748387095</v>
      </c>
      <c r="BC156" s="5">
        <f t="shared" si="258"/>
        <v>0.88654147213776779</v>
      </c>
      <c r="BD156" s="469">
        <f t="shared" si="296"/>
        <v>54.301599439377185</v>
      </c>
      <c r="BF156" s="177">
        <f t="shared" si="265"/>
        <v>0.57696730516494732</v>
      </c>
      <c r="BG156" s="177">
        <f t="shared" si="261"/>
        <v>0.58110799904017518</v>
      </c>
      <c r="BI156" s="538">
        <f t="shared" si="236"/>
        <v>3.661803983522316E-2</v>
      </c>
      <c r="BJ156" s="538">
        <f t="shared" si="237"/>
        <v>6.3045917784844183E-2</v>
      </c>
      <c r="BK156" s="538">
        <f t="shared" si="238"/>
        <v>1.7499999999999998E-2</v>
      </c>
      <c r="BL156" s="538">
        <f t="shared" si="239"/>
        <v>5.0806349999999993E-2</v>
      </c>
      <c r="BM156">
        <f t="shared" si="240"/>
        <v>2.6099999999999999E-3</v>
      </c>
      <c r="BN156">
        <f t="shared" si="297"/>
        <v>1.4E-5</v>
      </c>
      <c r="BO156" s="538">
        <f t="shared" si="298"/>
        <v>0.17175468715566747</v>
      </c>
      <c r="BP156" s="469">
        <f t="shared" si="243"/>
        <v>170.58030762006734</v>
      </c>
      <c r="BQ156" s="538">
        <f t="shared" si="299"/>
        <v>0.17388000000000001</v>
      </c>
      <c r="BT156" s="469">
        <f t="shared" si="245"/>
        <v>173.88</v>
      </c>
      <c r="BU156" s="538">
        <f t="shared" si="246"/>
        <v>1.5978781019006471E-2</v>
      </c>
      <c r="BV156" s="538">
        <f t="shared" si="247"/>
        <v>8.1044761571634302E-2</v>
      </c>
      <c r="BW156" s="538">
        <f t="shared" si="248"/>
        <v>0</v>
      </c>
      <c r="BX156" s="538"/>
      <c r="BY156" s="538">
        <f t="shared" si="249"/>
        <v>3.5205333333333332E-2</v>
      </c>
      <c r="BZ156" s="469">
        <f t="shared" si="250"/>
        <v>132.2288759239741</v>
      </c>
      <c r="CA156" s="177">
        <f t="shared" si="251"/>
        <v>0.47668918354404144</v>
      </c>
      <c r="CB156" s="5">
        <f t="shared" si="252"/>
        <v>2.9946000000000002</v>
      </c>
      <c r="CC156" s="177">
        <f t="shared" si="253"/>
        <v>0.86267661426658726</v>
      </c>
      <c r="CD156" s="5">
        <f t="shared" si="254"/>
        <v>86.267661426658719</v>
      </c>
      <c r="CG156" s="571">
        <f t="shared" si="300"/>
        <v>-50</v>
      </c>
      <c r="CH156">
        <f t="shared" si="301"/>
        <v>-50</v>
      </c>
    </row>
    <row r="157" spans="5:86" x14ac:dyDescent="0.2">
      <c r="E157" s="174">
        <v>47</v>
      </c>
      <c r="F157" s="221">
        <f t="shared" si="302"/>
        <v>0.19739999999999999</v>
      </c>
      <c r="G157" s="221"/>
      <c r="H157" s="221">
        <f t="shared" si="266"/>
        <v>3.0596999999999999</v>
      </c>
      <c r="I157" s="551">
        <f t="shared" si="267"/>
        <v>9</v>
      </c>
      <c r="J157" s="451">
        <f t="shared" si="268"/>
        <v>16.399999999999999</v>
      </c>
      <c r="K157" s="451">
        <f t="shared" si="269"/>
        <v>25.4</v>
      </c>
      <c r="L157" s="451"/>
      <c r="M157" s="221">
        <f t="shared" si="270"/>
        <v>0.64566929133858264</v>
      </c>
      <c r="N157" s="176">
        <f t="shared" si="271"/>
        <v>10.799787401574802</v>
      </c>
      <c r="O157" s="176">
        <f t="shared" si="262"/>
        <v>3.0596999999999999</v>
      </c>
      <c r="P157" s="221">
        <f t="shared" si="272"/>
        <v>0.69676047752095494</v>
      </c>
      <c r="Q157" s="221">
        <f t="shared" si="273"/>
        <v>15.5</v>
      </c>
      <c r="R157" s="221"/>
      <c r="S157" s="176">
        <f t="shared" si="274"/>
        <v>75.224945051126355</v>
      </c>
      <c r="T157" s="176">
        <f t="shared" si="275"/>
        <v>15.5</v>
      </c>
      <c r="U157" s="221">
        <f t="shared" si="276"/>
        <v>1.170074977416441</v>
      </c>
      <c r="V157" s="221">
        <f t="shared" si="277"/>
        <v>1.170074977416441</v>
      </c>
      <c r="W157" s="221">
        <f t="shared" si="278"/>
        <v>0.64211431687487619</v>
      </c>
      <c r="X157" s="201">
        <f t="shared" si="279"/>
        <v>350</v>
      </c>
      <c r="Y157" s="451">
        <f t="shared" si="215"/>
        <v>350</v>
      </c>
      <c r="AA157" s="221">
        <f t="shared" si="280"/>
        <v>1.8447694038245221</v>
      </c>
      <c r="AB157" s="177">
        <f t="shared" si="281"/>
        <v>1.0123734533183355</v>
      </c>
      <c r="AC157" s="177">
        <f t="shared" si="282"/>
        <v>0.32682922508702178</v>
      </c>
      <c r="AD157" s="177"/>
      <c r="AE157" s="177">
        <f t="shared" si="283"/>
        <v>0.45</v>
      </c>
      <c r="AF157" s="555">
        <f t="shared" si="284"/>
        <v>1069.9186991869919</v>
      </c>
      <c r="AG157" s="538">
        <f t="shared" si="285"/>
        <v>6.4574999999999994E-2</v>
      </c>
      <c r="AI157" s="177">
        <f t="shared" si="286"/>
        <v>1.4336898781349705</v>
      </c>
      <c r="AJ157" s="177">
        <f t="shared" si="287"/>
        <v>1.4336898781349705</v>
      </c>
      <c r="AK157" s="177">
        <f t="shared" si="288"/>
        <v>1.6091265854233137</v>
      </c>
      <c r="AM157" s="555">
        <f t="shared" si="289"/>
        <v>197.4</v>
      </c>
      <c r="AN157" s="469">
        <f t="shared" si="290"/>
        <v>350</v>
      </c>
      <c r="AP157">
        <f t="shared" si="291"/>
        <v>197.4</v>
      </c>
      <c r="AQ157">
        <f t="shared" si="292"/>
        <v>350</v>
      </c>
      <c r="AS157" s="5">
        <f t="shared" si="263"/>
        <v>2.8571428571428572</v>
      </c>
      <c r="AT157" s="5">
        <f t="shared" si="293"/>
        <v>1.4336898781349705</v>
      </c>
      <c r="AU157" s="5">
        <f t="shared" si="230"/>
        <v>1.4234529790078867</v>
      </c>
      <c r="AV157" s="5"/>
      <c r="AW157" s="177">
        <f t="shared" si="231"/>
        <v>0.50179145734723962</v>
      </c>
      <c r="AX157" s="177">
        <f t="shared" si="259"/>
        <v>3.2373600000000002</v>
      </c>
      <c r="AY157" s="177">
        <f t="shared" si="260"/>
        <v>0.35713827240081863</v>
      </c>
      <c r="AZ157" s="177">
        <f t="shared" si="264"/>
        <v>9.064724366384036</v>
      </c>
      <c r="BA157" s="469">
        <f t="shared" si="294"/>
        <v>21.317779700075526</v>
      </c>
      <c r="BB157" s="469">
        <f t="shared" si="295"/>
        <v>11.487058348387093</v>
      </c>
      <c r="BC157" s="5">
        <f t="shared" si="258"/>
        <v>0.89616030450008843</v>
      </c>
      <c r="BD157" s="469">
        <f t="shared" si="296"/>
        <v>54.90284049222754</v>
      </c>
      <c r="BF157" s="177">
        <f t="shared" si="265"/>
        <v>0.58634904684136724</v>
      </c>
      <c r="BG157" s="177">
        <f t="shared" si="261"/>
        <v>0.58425195833970101</v>
      </c>
      <c r="BI157" s="538">
        <f t="shared" si="236"/>
        <v>3.7818572520495787E-2</v>
      </c>
      <c r="BJ157" s="538">
        <f t="shared" si="237"/>
        <v>6.3727515083099442E-2</v>
      </c>
      <c r="BK157" s="538">
        <f t="shared" si="238"/>
        <v>1.7499999999999998E-2</v>
      </c>
      <c r="BL157" s="538">
        <f t="shared" si="239"/>
        <v>5.0806349999999993E-2</v>
      </c>
      <c r="BM157">
        <f t="shared" si="240"/>
        <v>2.6099999999999999E-3</v>
      </c>
      <c r="BN157">
        <f t="shared" si="297"/>
        <v>1.4E-5</v>
      </c>
      <c r="BO157" s="538">
        <f t="shared" si="298"/>
        <v>0.17368835270995522</v>
      </c>
      <c r="BP157" s="469">
        <f t="shared" si="243"/>
        <v>172.46243760359522</v>
      </c>
      <c r="BQ157" s="538">
        <f t="shared" si="299"/>
        <v>0.17765999999999998</v>
      </c>
      <c r="BT157" s="469">
        <f t="shared" si="245"/>
        <v>177.66</v>
      </c>
      <c r="BU157" s="538">
        <f t="shared" si="246"/>
        <v>1.6502649827125435E-2</v>
      </c>
      <c r="BV157" s="538">
        <f t="shared" si="247"/>
        <v>8.1924084197706179E-2</v>
      </c>
      <c r="BW157" s="538">
        <f t="shared" si="248"/>
        <v>0</v>
      </c>
      <c r="BX157" s="538"/>
      <c r="BY157" s="538">
        <f t="shared" si="249"/>
        <v>3.5970666666666672E-2</v>
      </c>
      <c r="BZ157" s="469">
        <f t="shared" si="250"/>
        <v>134.39740069149826</v>
      </c>
      <c r="CA157" s="177">
        <f t="shared" si="251"/>
        <v>0.48451983829509349</v>
      </c>
      <c r="CB157" s="5">
        <f t="shared" si="252"/>
        <v>3.0596999999999999</v>
      </c>
      <c r="CC157" s="177">
        <f t="shared" si="253"/>
        <v>0.86329295009866935</v>
      </c>
      <c r="CD157" s="5">
        <f t="shared" si="254"/>
        <v>86.329295009866939</v>
      </c>
      <c r="CG157" s="571">
        <f t="shared" si="300"/>
        <v>-50</v>
      </c>
      <c r="CH157">
        <f t="shared" si="301"/>
        <v>-50</v>
      </c>
    </row>
    <row r="158" spans="5:86" x14ac:dyDescent="0.2">
      <c r="E158" s="174">
        <v>48</v>
      </c>
      <c r="F158" s="221">
        <f t="shared" si="302"/>
        <v>0.20159999999999997</v>
      </c>
      <c r="G158" s="221"/>
      <c r="H158" s="221">
        <f t="shared" si="266"/>
        <v>3.1247999999999996</v>
      </c>
      <c r="I158" s="551">
        <f t="shared" si="267"/>
        <v>9</v>
      </c>
      <c r="J158" s="451">
        <f t="shared" si="268"/>
        <v>16.399999999999999</v>
      </c>
      <c r="K158" s="451">
        <f t="shared" si="269"/>
        <v>25.4</v>
      </c>
      <c r="L158" s="451"/>
      <c r="M158" s="221">
        <f t="shared" si="270"/>
        <v>0.64566929133858264</v>
      </c>
      <c r="N158" s="176">
        <f t="shared" si="271"/>
        <v>10.799787401574802</v>
      </c>
      <c r="O158" s="176">
        <f t="shared" si="262"/>
        <v>3.1247999999999996</v>
      </c>
      <c r="P158" s="221">
        <f t="shared" si="272"/>
        <v>0.69676047752095494</v>
      </c>
      <c r="Q158" s="221">
        <f t="shared" si="273"/>
        <v>15.5</v>
      </c>
      <c r="R158" s="221"/>
      <c r="S158" s="176">
        <f t="shared" si="274"/>
        <v>73.474979022314344</v>
      </c>
      <c r="T158" s="176">
        <f t="shared" si="275"/>
        <v>15.5</v>
      </c>
      <c r="U158" s="221">
        <f t="shared" si="276"/>
        <v>1.1949701897018969</v>
      </c>
      <c r="V158" s="221">
        <f t="shared" si="277"/>
        <v>1.1949701897018969</v>
      </c>
      <c r="W158" s="221">
        <f t="shared" si="278"/>
        <v>0.65577632361689464</v>
      </c>
      <c r="X158" s="201">
        <f t="shared" si="279"/>
        <v>350</v>
      </c>
      <c r="Y158" s="451">
        <f t="shared" si="215"/>
        <v>350</v>
      </c>
      <c r="AA158" s="221">
        <f t="shared" si="280"/>
        <v>1.8447694038245221</v>
      </c>
      <c r="AB158" s="177">
        <f t="shared" si="281"/>
        <v>1.0123734533183355</v>
      </c>
      <c r="AC158" s="177">
        <f t="shared" si="282"/>
        <v>0.32682922508702178</v>
      </c>
      <c r="AD158" s="177"/>
      <c r="AE158" s="177">
        <f t="shared" si="283"/>
        <v>0.45</v>
      </c>
      <c r="AF158" s="555">
        <f t="shared" si="284"/>
        <v>1092.6829268292681</v>
      </c>
      <c r="AG158" s="538">
        <f t="shared" si="285"/>
        <v>6.4574999999999994E-2</v>
      </c>
      <c r="AI158" s="177">
        <f t="shared" si="286"/>
        <v>1.4488616221019863</v>
      </c>
      <c r="AJ158" s="177">
        <f t="shared" si="287"/>
        <v>1.4488616221019863</v>
      </c>
      <c r="AK158" s="177">
        <f t="shared" si="288"/>
        <v>1.6192410814013243</v>
      </c>
      <c r="AM158" s="555">
        <f t="shared" si="289"/>
        <v>201.59999999999997</v>
      </c>
      <c r="AN158" s="469">
        <f t="shared" si="290"/>
        <v>350</v>
      </c>
      <c r="AP158">
        <f t="shared" si="291"/>
        <v>201.59999999999997</v>
      </c>
      <c r="AQ158">
        <f t="shared" si="292"/>
        <v>350</v>
      </c>
      <c r="AS158" s="5">
        <f t="shared" si="263"/>
        <v>2.8571428571428572</v>
      </c>
      <c r="AT158" s="5">
        <f t="shared" si="293"/>
        <v>1.4488616221019863</v>
      </c>
      <c r="AU158" s="5">
        <f t="shared" si="230"/>
        <v>1.4082812350408709</v>
      </c>
      <c r="AV158" s="5"/>
      <c r="AW158" s="177">
        <f t="shared" si="231"/>
        <v>0.50710156773569515</v>
      </c>
      <c r="AX158" s="177">
        <f t="shared" si="259"/>
        <v>3.3062399999999981</v>
      </c>
      <c r="AY158" s="177">
        <f t="shared" si="260"/>
        <v>0.35707081105099336</v>
      </c>
      <c r="AZ158" s="177">
        <f t="shared" si="264"/>
        <v>9.259339877904031</v>
      </c>
      <c r="BA158" s="469">
        <f t="shared" si="294"/>
        <v>21.317779700075526</v>
      </c>
      <c r="BB158" s="469">
        <f t="shared" si="295"/>
        <v>11.972490735483863</v>
      </c>
      <c r="BC158" s="5">
        <f t="shared" si="258"/>
        <v>0.90547267556701894</v>
      </c>
      <c r="BD158" s="469">
        <f t="shared" si="296"/>
        <v>55.485693867354485</v>
      </c>
      <c r="BF158" s="177">
        <f t="shared" si="265"/>
        <v>0.59568101390782702</v>
      </c>
      <c r="BG158" s="177">
        <f t="shared" si="261"/>
        <v>0.58727971444881022</v>
      </c>
      <c r="BI158" s="538">
        <f t="shared" si="236"/>
        <v>3.9031945736328254E-2</v>
      </c>
      <c r="BJ158" s="538">
        <f t="shared" si="237"/>
        <v>6.4401899102433283E-2</v>
      </c>
      <c r="BK158" s="538">
        <f t="shared" si="238"/>
        <v>1.7499999999999998E-2</v>
      </c>
      <c r="BL158" s="538">
        <f t="shared" si="239"/>
        <v>5.0806349999999993E-2</v>
      </c>
      <c r="BM158">
        <f t="shared" si="240"/>
        <v>2.6099999999999999E-3</v>
      </c>
      <c r="BN158">
        <f t="shared" si="297"/>
        <v>1.4E-5</v>
      </c>
      <c r="BO158" s="538">
        <f t="shared" si="298"/>
        <v>0.1756289682347881</v>
      </c>
      <c r="BP158" s="469">
        <f t="shared" si="243"/>
        <v>174.35019483876152</v>
      </c>
      <c r="BQ158" s="538">
        <f t="shared" si="299"/>
        <v>0.18143999999999999</v>
      </c>
      <c r="BT158" s="469">
        <f t="shared" si="245"/>
        <v>181.44</v>
      </c>
      <c r="BU158" s="538">
        <f t="shared" si="246"/>
        <v>1.7032121775852328E-2</v>
      </c>
      <c r="BV158" s="538">
        <f t="shared" si="247"/>
        <v>8.2775391120738256E-2</v>
      </c>
      <c r="BW158" s="538">
        <f t="shared" si="248"/>
        <v>0</v>
      </c>
      <c r="BX158" s="538"/>
      <c r="BY158" s="538">
        <f t="shared" si="249"/>
        <v>3.6735999999999984E-2</v>
      </c>
      <c r="BZ158" s="469">
        <f t="shared" si="250"/>
        <v>136.54351289659056</v>
      </c>
      <c r="CA158" s="177">
        <f t="shared" si="251"/>
        <v>0.49233370773535212</v>
      </c>
      <c r="CB158" s="5">
        <f t="shared" si="252"/>
        <v>3.1247999999999996</v>
      </c>
      <c r="CC158" s="177">
        <f t="shared" si="253"/>
        <v>0.86388844109287932</v>
      </c>
      <c r="CD158" s="5">
        <f t="shared" si="254"/>
        <v>86.38884410928793</v>
      </c>
      <c r="CG158" s="571">
        <f t="shared" si="300"/>
        <v>-50</v>
      </c>
      <c r="CH158">
        <f t="shared" si="301"/>
        <v>-50</v>
      </c>
    </row>
    <row r="159" spans="5:86" x14ac:dyDescent="0.2">
      <c r="E159" s="174">
        <v>49</v>
      </c>
      <c r="F159" s="221">
        <f t="shared" si="302"/>
        <v>0.20579999999999998</v>
      </c>
      <c r="G159" s="221"/>
      <c r="H159" s="221">
        <f t="shared" si="266"/>
        <v>3.1898999999999997</v>
      </c>
      <c r="I159" s="551">
        <f t="shared" si="267"/>
        <v>9</v>
      </c>
      <c r="J159" s="451">
        <f t="shared" si="268"/>
        <v>16.399999999999999</v>
      </c>
      <c r="K159" s="451">
        <f t="shared" si="269"/>
        <v>25.4</v>
      </c>
      <c r="L159" s="451"/>
      <c r="M159" s="221">
        <f t="shared" si="270"/>
        <v>0.64566929133858264</v>
      </c>
      <c r="N159" s="176">
        <f t="shared" si="271"/>
        <v>10.799787401574802</v>
      </c>
      <c r="O159" s="176">
        <f t="shared" si="262"/>
        <v>3.1898999999999997</v>
      </c>
      <c r="P159" s="221">
        <f t="shared" si="272"/>
        <v>0.69676047752095494</v>
      </c>
      <c r="Q159" s="221">
        <f t="shared" si="273"/>
        <v>15.5</v>
      </c>
      <c r="R159" s="221"/>
      <c r="S159" s="176">
        <f t="shared" si="274"/>
        <v>71.796553259200124</v>
      </c>
      <c r="T159" s="176">
        <f t="shared" si="275"/>
        <v>15.5</v>
      </c>
      <c r="U159" s="221">
        <f t="shared" si="276"/>
        <v>1.2198654019873532</v>
      </c>
      <c r="V159" s="221">
        <f t="shared" si="277"/>
        <v>1.2198654019873532</v>
      </c>
      <c r="W159" s="221">
        <f t="shared" si="278"/>
        <v>0.66943833035891342</v>
      </c>
      <c r="X159" s="201">
        <f t="shared" si="279"/>
        <v>350</v>
      </c>
      <c r="Y159" s="451">
        <f t="shared" si="215"/>
        <v>350</v>
      </c>
      <c r="AA159" s="221">
        <f t="shared" si="280"/>
        <v>1.8447694038245221</v>
      </c>
      <c r="AB159" s="177">
        <f t="shared" si="281"/>
        <v>1.0123734533183355</v>
      </c>
      <c r="AC159" s="177">
        <f t="shared" si="282"/>
        <v>0.32682922508702178</v>
      </c>
      <c r="AD159" s="177"/>
      <c r="AE159" s="177">
        <f t="shared" si="283"/>
        <v>0.45</v>
      </c>
      <c r="AF159" s="555">
        <f t="shared" si="284"/>
        <v>1115.4471544715448</v>
      </c>
      <c r="AG159" s="538">
        <f t="shared" si="285"/>
        <v>6.4574999999999994E-2</v>
      </c>
      <c r="AI159" s="177">
        <f t="shared" si="286"/>
        <v>1.4638761331934245</v>
      </c>
      <c r="AJ159" s="177">
        <f t="shared" si="287"/>
        <v>1.4638761331934245</v>
      </c>
      <c r="AK159" s="177">
        <f t="shared" si="288"/>
        <v>1.629250755462283</v>
      </c>
      <c r="AM159" s="555">
        <f t="shared" si="289"/>
        <v>205.79999999999998</v>
      </c>
      <c r="AN159" s="469">
        <f t="shared" si="290"/>
        <v>350</v>
      </c>
      <c r="AP159">
        <f t="shared" si="291"/>
        <v>205.79999999999998</v>
      </c>
      <c r="AQ159">
        <f t="shared" si="292"/>
        <v>350</v>
      </c>
      <c r="AS159" s="5">
        <f t="shared" si="263"/>
        <v>2.8571428571428572</v>
      </c>
      <c r="AT159" s="5">
        <f t="shared" si="293"/>
        <v>1.4638761331934245</v>
      </c>
      <c r="AU159" s="5">
        <f t="shared" si="230"/>
        <v>1.3932667239494327</v>
      </c>
      <c r="AV159" s="5"/>
      <c r="AW159" s="177">
        <f t="shared" si="231"/>
        <v>0.51235664661769853</v>
      </c>
      <c r="AX159" s="177">
        <f t="shared" si="259"/>
        <v>3.3751199999999995</v>
      </c>
      <c r="AY159" s="177">
        <f t="shared" si="260"/>
        <v>0.35692473326337903</v>
      </c>
      <c r="AZ159" s="177">
        <f t="shared" si="264"/>
        <v>9.456111290302367</v>
      </c>
      <c r="BA159" s="469">
        <f t="shared" si="294"/>
        <v>21.317779700075526</v>
      </c>
      <c r="BB159" s="469">
        <f t="shared" si="295"/>
        <v>12.467965909677414</v>
      </c>
      <c r="BC159" s="5">
        <f t="shared" si="258"/>
        <v>0.91448179479964908</v>
      </c>
      <c r="BD159" s="469">
        <f t="shared" si="296"/>
        <v>56.050352132423399</v>
      </c>
      <c r="BF159" s="177">
        <f t="shared" si="265"/>
        <v>0.60496449939699026</v>
      </c>
      <c r="BG159" s="177">
        <f t="shared" si="261"/>
        <v>0.59019409144827928</v>
      </c>
      <c r="BI159" s="538">
        <f t="shared" si="236"/>
        <v>4.0258025008371619E-2</v>
      </c>
      <c r="BJ159" s="538">
        <f t="shared" si="237"/>
        <v>6.5069294120447707E-2</v>
      </c>
      <c r="BK159" s="538">
        <f t="shared" si="238"/>
        <v>1.7499999999999998E-2</v>
      </c>
      <c r="BL159" s="538">
        <f t="shared" si="239"/>
        <v>5.0806349999999993E-2</v>
      </c>
      <c r="BM159">
        <f t="shared" si="240"/>
        <v>2.6099999999999999E-3</v>
      </c>
      <c r="BN159">
        <f t="shared" si="297"/>
        <v>1.4E-5</v>
      </c>
      <c r="BO159" s="538">
        <f t="shared" si="298"/>
        <v>0.17757663836486129</v>
      </c>
      <c r="BP159" s="469">
        <f t="shared" si="243"/>
        <v>176.24366912881931</v>
      </c>
      <c r="BQ159" s="538">
        <f t="shared" si="299"/>
        <v>0.18522</v>
      </c>
      <c r="BT159" s="469">
        <f t="shared" si="245"/>
        <v>185.22</v>
      </c>
      <c r="BU159" s="538">
        <f t="shared" si="246"/>
        <v>1.7567138185471252E-2</v>
      </c>
      <c r="BV159" s="538">
        <f t="shared" si="247"/>
        <v>8.3598975739310355E-2</v>
      </c>
      <c r="BW159" s="538">
        <f t="shared" si="248"/>
        <v>0</v>
      </c>
      <c r="BX159" s="538"/>
      <c r="BY159" s="538">
        <f t="shared" si="249"/>
        <v>3.7501333333333324E-2</v>
      </c>
      <c r="BZ159" s="469">
        <f t="shared" si="250"/>
        <v>138.66744725811495</v>
      </c>
      <c r="CA159" s="177">
        <f t="shared" si="251"/>
        <v>0.50013111638693419</v>
      </c>
      <c r="CB159" s="5">
        <f t="shared" si="252"/>
        <v>3.1898999999999997</v>
      </c>
      <c r="CC159" s="177">
        <f t="shared" si="253"/>
        <v>0.86446425501239843</v>
      </c>
      <c r="CD159" s="5">
        <f t="shared" si="254"/>
        <v>86.446425501239844</v>
      </c>
      <c r="CG159" s="571">
        <f t="shared" si="300"/>
        <v>-50</v>
      </c>
      <c r="CH159">
        <f t="shared" si="301"/>
        <v>-50</v>
      </c>
    </row>
    <row r="160" spans="5:86" x14ac:dyDescent="0.2">
      <c r="E160" s="174">
        <v>50</v>
      </c>
      <c r="F160" s="221">
        <f t="shared" si="302"/>
        <v>0.21</v>
      </c>
      <c r="G160" s="221"/>
      <c r="H160" s="221">
        <f t="shared" si="266"/>
        <v>3.2549999999999999</v>
      </c>
      <c r="I160" s="551">
        <f t="shared" si="267"/>
        <v>9</v>
      </c>
      <c r="J160" s="451">
        <f t="shared" si="268"/>
        <v>16.399999999999999</v>
      </c>
      <c r="K160" s="451">
        <f t="shared" si="269"/>
        <v>25.4</v>
      </c>
      <c r="L160" s="451"/>
      <c r="M160" s="221">
        <f t="shared" si="270"/>
        <v>0.64566929133858264</v>
      </c>
      <c r="N160" s="176">
        <f t="shared" si="271"/>
        <v>10.799787401574802</v>
      </c>
      <c r="O160" s="176">
        <f t="shared" si="262"/>
        <v>3.2549999999999999</v>
      </c>
      <c r="P160" s="221">
        <f t="shared" si="272"/>
        <v>0.69676047752095494</v>
      </c>
      <c r="Q160" s="221">
        <f t="shared" si="273"/>
        <v>15.5</v>
      </c>
      <c r="R160" s="221"/>
      <c r="S160" s="176">
        <f t="shared" si="274"/>
        <v>70.185376058929876</v>
      </c>
      <c r="T160" s="176">
        <f t="shared" si="275"/>
        <v>15.5</v>
      </c>
      <c r="U160" s="221">
        <f t="shared" si="276"/>
        <v>1.2447606142728096</v>
      </c>
      <c r="V160" s="221">
        <f t="shared" si="277"/>
        <v>1.2447606142728096</v>
      </c>
      <c r="W160" s="221">
        <f t="shared" si="278"/>
        <v>0.68310033710093221</v>
      </c>
      <c r="X160" s="201">
        <f t="shared" si="279"/>
        <v>350</v>
      </c>
      <c r="Y160" s="451">
        <f t="shared" si="215"/>
        <v>350</v>
      </c>
      <c r="AA160" s="221">
        <f t="shared" si="280"/>
        <v>1.8447694038245221</v>
      </c>
      <c r="AB160" s="177">
        <f t="shared" si="281"/>
        <v>1.0123734533183355</v>
      </c>
      <c r="AC160" s="177">
        <f t="shared" si="282"/>
        <v>0.32682922508702178</v>
      </c>
      <c r="AD160" s="177"/>
      <c r="AE160" s="177">
        <f t="shared" si="283"/>
        <v>0.45</v>
      </c>
      <c r="AF160" s="555">
        <f t="shared" si="284"/>
        <v>1138.2113821138212</v>
      </c>
      <c r="AG160" s="538">
        <f t="shared" si="285"/>
        <v>6.4574999999999994E-2</v>
      </c>
      <c r="AI160" s="177">
        <f t="shared" si="286"/>
        <v>1.4787382008545888</v>
      </c>
      <c r="AJ160" s="177">
        <f t="shared" si="287"/>
        <v>1.4787382008545888</v>
      </c>
      <c r="AK160" s="177">
        <f t="shared" si="288"/>
        <v>1.639158800569726</v>
      </c>
      <c r="AM160" s="555">
        <f t="shared" si="289"/>
        <v>210</v>
      </c>
      <c r="AN160" s="469">
        <f t="shared" si="290"/>
        <v>350</v>
      </c>
      <c r="AP160">
        <f t="shared" si="291"/>
        <v>210</v>
      </c>
      <c r="AQ160">
        <f t="shared" si="292"/>
        <v>350</v>
      </c>
      <c r="AS160" s="5">
        <f t="shared" si="263"/>
        <v>2.8571428571428572</v>
      </c>
      <c r="AT160" s="5">
        <f t="shared" si="293"/>
        <v>1.4787382008545888</v>
      </c>
      <c r="AU160" s="5">
        <f t="shared" si="230"/>
        <v>1.3784046562882684</v>
      </c>
      <c r="AV160" s="5"/>
      <c r="AW160" s="177">
        <f t="shared" si="231"/>
        <v>0.51755837029910612</v>
      </c>
      <c r="AX160" s="177">
        <f t="shared" si="259"/>
        <v>3.4439999999999995</v>
      </c>
      <c r="AY160" s="177">
        <f t="shared" si="260"/>
        <v>0.35670243376062782</v>
      </c>
      <c r="AZ160" s="177">
        <f t="shared" si="264"/>
        <v>9.6551065370951843</v>
      </c>
      <c r="BA160" s="469">
        <f t="shared" si="294"/>
        <v>21.317779700075526</v>
      </c>
      <c r="BB160" s="469">
        <f t="shared" si="295"/>
        <v>12.973483870967739</v>
      </c>
      <c r="BC160" s="5">
        <f t="shared" si="258"/>
        <v>0.9231907728844263</v>
      </c>
      <c r="BD160" s="469">
        <f t="shared" si="296"/>
        <v>56.597001928621147</v>
      </c>
      <c r="BF160" s="177">
        <f t="shared" si="265"/>
        <v>0.61420073710673739</v>
      </c>
      <c r="BG160" s="177">
        <f t="shared" si="261"/>
        <v>0.59299776005178073</v>
      </c>
      <c r="BI160" s="538">
        <f t="shared" si="236"/>
        <v>4.1496680000870555E-2</v>
      </c>
      <c r="BJ160" s="538">
        <f t="shared" si="237"/>
        <v>6.5729913027986475E-2</v>
      </c>
      <c r="BK160" s="538">
        <f t="shared" si="238"/>
        <v>1.7499999999999998E-2</v>
      </c>
      <c r="BL160" s="538">
        <f t="shared" si="239"/>
        <v>5.0806349999999993E-2</v>
      </c>
      <c r="BM160">
        <f t="shared" si="240"/>
        <v>2.6099999999999999E-3</v>
      </c>
      <c r="BN160">
        <f t="shared" si="297"/>
        <v>1.4E-5</v>
      </c>
      <c r="BO160" s="538">
        <f t="shared" si="298"/>
        <v>0.17953146056939973</v>
      </c>
      <c r="BP160" s="469">
        <f t="shared" si="243"/>
        <v>178.14294302885702</v>
      </c>
      <c r="BQ160" s="538">
        <f t="shared" si="299"/>
        <v>0.189</v>
      </c>
      <c r="BT160" s="469">
        <f t="shared" si="245"/>
        <v>189</v>
      </c>
      <c r="BU160" s="538">
        <f t="shared" si="246"/>
        <v>1.8107642182198059E-2</v>
      </c>
      <c r="BV160" s="538">
        <f t="shared" si="247"/>
        <v>8.4395122422343025E-2</v>
      </c>
      <c r="BW160" s="538">
        <f t="shared" si="248"/>
        <v>0</v>
      </c>
      <c r="BX160" s="538"/>
      <c r="BY160" s="538">
        <f t="shared" si="249"/>
        <v>3.8266666666666664E-2</v>
      </c>
      <c r="BZ160" s="469">
        <f t="shared" si="250"/>
        <v>140.76943127120776</v>
      </c>
      <c r="CA160" s="177">
        <f t="shared" si="251"/>
        <v>0.50791237430006475</v>
      </c>
      <c r="CB160" s="5">
        <f t="shared" si="252"/>
        <v>3.2549999999999999</v>
      </c>
      <c r="CC160" s="177">
        <f t="shared" si="253"/>
        <v>0.86502147172785515</v>
      </c>
      <c r="CD160" s="5">
        <f t="shared" si="254"/>
        <v>86.502147172785513</v>
      </c>
      <c r="CG160" s="571">
        <f t="shared" si="300"/>
        <v>-50</v>
      </c>
      <c r="CH160">
        <f t="shared" si="301"/>
        <v>-50</v>
      </c>
    </row>
    <row r="161" spans="5:86" x14ac:dyDescent="0.2">
      <c r="E161" s="174">
        <v>51</v>
      </c>
      <c r="F161" s="221">
        <f t="shared" si="302"/>
        <v>0.2142</v>
      </c>
      <c r="G161" s="221"/>
      <c r="H161" s="221">
        <f t="shared" si="266"/>
        <v>3.3201000000000001</v>
      </c>
      <c r="I161" s="551">
        <f t="shared" si="267"/>
        <v>9</v>
      </c>
      <c r="J161" s="451">
        <f t="shared" si="268"/>
        <v>16.399999999999999</v>
      </c>
      <c r="K161" s="451">
        <f t="shared" si="269"/>
        <v>25.4</v>
      </c>
      <c r="L161" s="451"/>
      <c r="M161" s="221">
        <f t="shared" si="270"/>
        <v>0.64566929133858264</v>
      </c>
      <c r="N161" s="176">
        <f t="shared" si="271"/>
        <v>10.799787401574802</v>
      </c>
      <c r="O161" s="176">
        <f t="shared" si="262"/>
        <v>3.3201000000000001</v>
      </c>
      <c r="P161" s="221">
        <f t="shared" si="272"/>
        <v>0.69676047752095494</v>
      </c>
      <c r="Q161" s="221">
        <f t="shared" si="273"/>
        <v>15.5</v>
      </c>
      <c r="R161" s="221"/>
      <c r="S161" s="176">
        <f t="shared" si="274"/>
        <v>68.637492327771795</v>
      </c>
      <c r="T161" s="176">
        <f t="shared" si="275"/>
        <v>15.5</v>
      </c>
      <c r="U161" s="221">
        <f t="shared" si="276"/>
        <v>1.2696558265582658</v>
      </c>
      <c r="V161" s="221">
        <f t="shared" si="277"/>
        <v>1.2696558265582658</v>
      </c>
      <c r="W161" s="221">
        <f t="shared" si="278"/>
        <v>0.69676234384295077</v>
      </c>
      <c r="X161" s="201">
        <f t="shared" si="279"/>
        <v>350</v>
      </c>
      <c r="Y161" s="451">
        <f t="shared" si="215"/>
        <v>350</v>
      </c>
      <c r="AA161" s="221">
        <f t="shared" si="280"/>
        <v>1.8447694038245221</v>
      </c>
      <c r="AB161" s="177">
        <f t="shared" si="281"/>
        <v>1.0123734533183355</v>
      </c>
      <c r="AC161" s="177">
        <f t="shared" si="282"/>
        <v>0.32682922508702178</v>
      </c>
      <c r="AD161" s="177"/>
      <c r="AE161" s="177">
        <f t="shared" si="283"/>
        <v>0.45</v>
      </c>
      <c r="AF161" s="555">
        <f t="shared" si="284"/>
        <v>1160.9756097560976</v>
      </c>
      <c r="AG161" s="538">
        <f t="shared" si="285"/>
        <v>6.4574999999999994E-2</v>
      </c>
      <c r="AI161" s="177">
        <f t="shared" si="286"/>
        <v>1.4934523762075573</v>
      </c>
      <c r="AJ161" s="177">
        <f t="shared" si="287"/>
        <v>1.4934523762075573</v>
      </c>
      <c r="AK161" s="177">
        <f t="shared" si="288"/>
        <v>1.6489682508050383</v>
      </c>
      <c r="AM161" s="555">
        <f t="shared" si="289"/>
        <v>214.2</v>
      </c>
      <c r="AN161" s="469">
        <f t="shared" si="290"/>
        <v>350</v>
      </c>
      <c r="AP161">
        <f t="shared" si="291"/>
        <v>214.2</v>
      </c>
      <c r="AQ161">
        <f t="shared" si="292"/>
        <v>350</v>
      </c>
      <c r="AS161" s="5">
        <f t="shared" si="263"/>
        <v>2.8571428571428572</v>
      </c>
      <c r="AT161" s="5">
        <f t="shared" si="293"/>
        <v>1.4934523762075573</v>
      </c>
      <c r="AU161" s="5">
        <f t="shared" si="230"/>
        <v>1.3636904809352999</v>
      </c>
      <c r="AV161" s="5"/>
      <c r="AW161" s="177">
        <f t="shared" si="231"/>
        <v>0.52270833167264508</v>
      </c>
      <c r="AX161" s="177">
        <f t="shared" si="259"/>
        <v>3.5128799999999996</v>
      </c>
      <c r="AY161" s="177">
        <f t="shared" si="260"/>
        <v>0.35640618810377878</v>
      </c>
      <c r="AZ161" s="177">
        <f t="shared" si="264"/>
        <v>9.8563945219074451</v>
      </c>
      <c r="BA161" s="469">
        <f t="shared" si="294"/>
        <v>21.317779700075526</v>
      </c>
      <c r="BB161" s="469">
        <f t="shared" si="295"/>
        <v>13.489044619354836</v>
      </c>
      <c r="BC161" s="5">
        <f t="shared" si="258"/>
        <v>0.93160262669820748</v>
      </c>
      <c r="BD161" s="469">
        <f t="shared" si="296"/>
        <v>57.125824268559114</v>
      </c>
      <c r="BF161" s="177">
        <f t="shared" si="265"/>
        <v>0.62339090544180686</v>
      </c>
      <c r="BG161" s="177">
        <f t="shared" si="261"/>
        <v>0.5956932479717314</v>
      </c>
      <c r="BI161" s="538">
        <f t="shared" si="236"/>
        <v>4.2747784308631138E-2</v>
      </c>
      <c r="BJ161" s="538">
        <f t="shared" si="237"/>
        <v>6.6383958122425923E-2</v>
      </c>
      <c r="BK161" s="538">
        <f t="shared" si="238"/>
        <v>1.7499999999999998E-2</v>
      </c>
      <c r="BL161" s="538">
        <f t="shared" si="239"/>
        <v>5.0806349999999993E-2</v>
      </c>
      <c r="BM161">
        <f t="shared" si="240"/>
        <v>2.6099999999999999E-3</v>
      </c>
      <c r="BN161">
        <f t="shared" si="297"/>
        <v>1.4E-5</v>
      </c>
      <c r="BO161" s="538">
        <f t="shared" si="298"/>
        <v>0.1814935257349444</v>
      </c>
      <c r="BP161" s="469">
        <f t="shared" si="243"/>
        <v>180.04809243105706</v>
      </c>
      <c r="BQ161" s="538">
        <f t="shared" si="299"/>
        <v>0.19278000000000001</v>
      </c>
      <c r="BT161" s="469">
        <f t="shared" si="245"/>
        <v>192.78</v>
      </c>
      <c r="BU161" s="538">
        <f t="shared" si="246"/>
        <v>1.8653578607402677E-2</v>
      </c>
      <c r="BV161" s="538">
        <f t="shared" si="247"/>
        <v>8.5164106962986555E-2</v>
      </c>
      <c r="BW161" s="538">
        <f t="shared" si="248"/>
        <v>0</v>
      </c>
      <c r="BX161" s="538"/>
      <c r="BY161" s="538">
        <f t="shared" si="249"/>
        <v>3.9031999999999997E-2</v>
      </c>
      <c r="BZ161" s="469">
        <f t="shared" si="250"/>
        <v>142.84968557038923</v>
      </c>
      <c r="CA161" s="177">
        <f t="shared" si="251"/>
        <v>0.51567777800144632</v>
      </c>
      <c r="CB161" s="5">
        <f t="shared" si="252"/>
        <v>3.3201000000000001</v>
      </c>
      <c r="CC161" s="177">
        <f t="shared" si="253"/>
        <v>0.86556109142742621</v>
      </c>
      <c r="CD161" s="5">
        <f t="shared" si="254"/>
        <v>86.556109142742628</v>
      </c>
      <c r="CG161" s="571">
        <f t="shared" si="300"/>
        <v>-50</v>
      </c>
      <c r="CH161">
        <f t="shared" si="301"/>
        <v>-50</v>
      </c>
    </row>
    <row r="162" spans="5:86" x14ac:dyDescent="0.2">
      <c r="E162" s="174">
        <v>52</v>
      </c>
      <c r="F162" s="221">
        <f t="shared" si="302"/>
        <v>0.21840000000000001</v>
      </c>
      <c r="G162" s="221"/>
      <c r="H162" s="221">
        <f t="shared" si="266"/>
        <v>3.3852000000000002</v>
      </c>
      <c r="I162" s="551">
        <f t="shared" si="267"/>
        <v>9</v>
      </c>
      <c r="J162" s="451">
        <f t="shared" si="268"/>
        <v>16.399999999999999</v>
      </c>
      <c r="K162" s="451">
        <f t="shared" si="269"/>
        <v>25.4</v>
      </c>
      <c r="L162" s="451"/>
      <c r="M162" s="221">
        <f t="shared" si="270"/>
        <v>0.64566929133858264</v>
      </c>
      <c r="N162" s="176">
        <f t="shared" si="271"/>
        <v>10.799787401574802</v>
      </c>
      <c r="O162" s="176">
        <f t="shared" si="262"/>
        <v>3.3852000000000002</v>
      </c>
      <c r="P162" s="221">
        <f t="shared" si="272"/>
        <v>0.69676047752095494</v>
      </c>
      <c r="Q162" s="221">
        <f t="shared" si="273"/>
        <v>15.5</v>
      </c>
      <c r="R162" s="221"/>
      <c r="S162" s="176">
        <f t="shared" si="274"/>
        <v>67.14925121488497</v>
      </c>
      <c r="T162" s="176">
        <f t="shared" si="275"/>
        <v>15.5</v>
      </c>
      <c r="U162" s="221">
        <f t="shared" si="276"/>
        <v>1.294551038843722</v>
      </c>
      <c r="V162" s="221">
        <f t="shared" si="277"/>
        <v>1.294551038843722</v>
      </c>
      <c r="W162" s="221">
        <f t="shared" si="278"/>
        <v>0.71042435058496944</v>
      </c>
      <c r="X162" s="201">
        <f t="shared" si="279"/>
        <v>350</v>
      </c>
      <c r="Y162" s="451">
        <f t="shared" si="215"/>
        <v>350</v>
      </c>
      <c r="AA162" s="221">
        <f t="shared" si="280"/>
        <v>1.8447694038245221</v>
      </c>
      <c r="AB162" s="177">
        <f t="shared" si="281"/>
        <v>1.0123734533183355</v>
      </c>
      <c r="AC162" s="177">
        <f t="shared" si="282"/>
        <v>0.32682922508702178</v>
      </c>
      <c r="AD162" s="177"/>
      <c r="AE162" s="177">
        <f t="shared" si="283"/>
        <v>0.45</v>
      </c>
      <c r="AF162" s="555">
        <f t="shared" si="284"/>
        <v>1183.739837398374</v>
      </c>
      <c r="AG162" s="538">
        <f t="shared" si="285"/>
        <v>6.4574999999999994E-2</v>
      </c>
      <c r="AI162" s="177">
        <f t="shared" si="286"/>
        <v>1.5080229883305269</v>
      </c>
      <c r="AJ162" s="177">
        <f t="shared" si="287"/>
        <v>1.5080229883305269</v>
      </c>
      <c r="AK162" s="177">
        <f t="shared" si="288"/>
        <v>1.6586819922203513</v>
      </c>
      <c r="AM162" s="555">
        <f t="shared" si="289"/>
        <v>218.4</v>
      </c>
      <c r="AN162" s="469">
        <f t="shared" si="290"/>
        <v>350</v>
      </c>
      <c r="AP162">
        <f t="shared" si="291"/>
        <v>218.4</v>
      </c>
      <c r="AQ162">
        <f t="shared" si="292"/>
        <v>350</v>
      </c>
      <c r="AS162" s="5">
        <f t="shared" si="263"/>
        <v>2.8571428571428572</v>
      </c>
      <c r="AT162" s="5">
        <f t="shared" si="293"/>
        <v>1.5080229883305269</v>
      </c>
      <c r="AU162" s="5">
        <f t="shared" si="230"/>
        <v>1.3491198688123303</v>
      </c>
      <c r="AV162" s="5"/>
      <c r="AW162" s="177">
        <f t="shared" si="231"/>
        <v>0.52780804591568442</v>
      </c>
      <c r="AX162" s="177">
        <f t="shared" si="259"/>
        <v>3.5817599999999987</v>
      </c>
      <c r="AY162" s="177">
        <f t="shared" si="260"/>
        <v>0.35603816083193029</v>
      </c>
      <c r="AZ162" s="177">
        <f t="shared" si="264"/>
        <v>10.060045225575658</v>
      </c>
      <c r="BA162" s="469">
        <f t="shared" si="294"/>
        <v>21.317779700075526</v>
      </c>
      <c r="BB162" s="469">
        <f t="shared" si="295"/>
        <v>14.014648154838708</v>
      </c>
      <c r="BC162" s="5">
        <f t="shared" si="258"/>
        <v>0.93972028393076112</v>
      </c>
      <c r="BD162" s="469">
        <f t="shared" si="296"/>
        <v>57.636994813623467</v>
      </c>
      <c r="BF162" s="177">
        <f t="shared" si="265"/>
        <v>0.63253613093598271</v>
      </c>
      <c r="BG162" s="177">
        <f t="shared" si="261"/>
        <v>0.59828294936842519</v>
      </c>
      <c r="BI162" s="538">
        <f t="shared" si="236"/>
        <v>4.401121526334089E-2</v>
      </c>
      <c r="BJ162" s="538">
        <f t="shared" si="237"/>
        <v>6.703162183129191E-2</v>
      </c>
      <c r="BK162" s="538">
        <f t="shared" si="238"/>
        <v>1.7499999999999998E-2</v>
      </c>
      <c r="BL162" s="538">
        <f t="shared" si="239"/>
        <v>5.0806349999999993E-2</v>
      </c>
      <c r="BM162">
        <f t="shared" si="240"/>
        <v>2.6099999999999999E-3</v>
      </c>
      <c r="BN162">
        <f t="shared" si="297"/>
        <v>1.4E-5</v>
      </c>
      <c r="BO162" s="538">
        <f t="shared" si="298"/>
        <v>0.18346291869300521</v>
      </c>
      <c r="BP162" s="469">
        <f t="shared" si="243"/>
        <v>181.9591870946328</v>
      </c>
      <c r="BQ162" s="538">
        <f t="shared" si="299"/>
        <v>0.19656000000000001</v>
      </c>
      <c r="BT162" s="469">
        <f t="shared" si="245"/>
        <v>196.56</v>
      </c>
      <c r="BU162" s="538">
        <f t="shared" si="246"/>
        <v>1.9204893933094207E-2</v>
      </c>
      <c r="BV162" s="538">
        <f t="shared" si="247"/>
        <v>8.5906197001195589E-2</v>
      </c>
      <c r="BW162" s="538">
        <f t="shared" si="248"/>
        <v>0</v>
      </c>
      <c r="BX162" s="538"/>
      <c r="BY162" s="538">
        <f t="shared" si="249"/>
        <v>3.9797333333333317E-2</v>
      </c>
      <c r="BZ162" s="469">
        <f t="shared" si="250"/>
        <v>144.90842426762313</v>
      </c>
      <c r="CA162" s="177">
        <f t="shared" si="251"/>
        <v>0.52342761136225602</v>
      </c>
      <c r="CB162" s="5">
        <f t="shared" si="252"/>
        <v>3.3852000000000002</v>
      </c>
      <c r="CC162" s="177">
        <f t="shared" si="253"/>
        <v>0.86608404191776456</v>
      </c>
      <c r="CD162" s="5">
        <f t="shared" si="254"/>
        <v>86.608404191776458</v>
      </c>
      <c r="CG162" s="571">
        <f t="shared" si="300"/>
        <v>-50</v>
      </c>
      <c r="CH162">
        <f t="shared" si="301"/>
        <v>-50</v>
      </c>
    </row>
    <row r="163" spans="5:86" x14ac:dyDescent="0.2">
      <c r="E163" s="174">
        <v>53</v>
      </c>
      <c r="F163" s="221">
        <f t="shared" si="302"/>
        <v>0.22259999999999999</v>
      </c>
      <c r="G163" s="221"/>
      <c r="H163" s="221">
        <f t="shared" si="266"/>
        <v>3.4502999999999999</v>
      </c>
      <c r="I163" s="551">
        <f t="shared" si="267"/>
        <v>9</v>
      </c>
      <c r="J163" s="451">
        <f t="shared" si="268"/>
        <v>16.399999999999999</v>
      </c>
      <c r="K163" s="451">
        <f t="shared" si="269"/>
        <v>25.4</v>
      </c>
      <c r="L163" s="451"/>
      <c r="M163" s="221">
        <f t="shared" si="270"/>
        <v>0.64566929133858264</v>
      </c>
      <c r="N163" s="176">
        <f t="shared" si="271"/>
        <v>10.799787401574802</v>
      </c>
      <c r="O163" s="176">
        <f t="shared" si="262"/>
        <v>3.4502999999999999</v>
      </c>
      <c r="P163" s="221">
        <f t="shared" si="272"/>
        <v>0.69676047752095494</v>
      </c>
      <c r="Q163" s="221">
        <f t="shared" si="273"/>
        <v>15.5</v>
      </c>
      <c r="R163" s="221"/>
      <c r="S163" s="176">
        <f t="shared" si="274"/>
        <v>65.717277410190079</v>
      </c>
      <c r="T163" s="176">
        <f t="shared" si="275"/>
        <v>15.5</v>
      </c>
      <c r="U163" s="221">
        <f t="shared" si="276"/>
        <v>1.319446251129178</v>
      </c>
      <c r="V163" s="221">
        <f t="shared" si="277"/>
        <v>1.3194462511291782</v>
      </c>
      <c r="W163" s="221">
        <f t="shared" si="278"/>
        <v>0.72408635732698812</v>
      </c>
      <c r="X163" s="201">
        <f t="shared" si="279"/>
        <v>350</v>
      </c>
      <c r="Y163" s="451">
        <f t="shared" si="215"/>
        <v>350</v>
      </c>
      <c r="AA163" s="221">
        <f t="shared" si="280"/>
        <v>1.8447694038245221</v>
      </c>
      <c r="AB163" s="177">
        <f t="shared" si="281"/>
        <v>1.0123734533183355</v>
      </c>
      <c r="AC163" s="177">
        <f t="shared" si="282"/>
        <v>0.32682922508702178</v>
      </c>
      <c r="AD163" s="177"/>
      <c r="AE163" s="177">
        <f t="shared" si="283"/>
        <v>0.45</v>
      </c>
      <c r="AF163" s="555">
        <f t="shared" si="284"/>
        <v>1206.5040650406504</v>
      </c>
      <c r="AG163" s="538">
        <f t="shared" si="285"/>
        <v>6.4574999999999994E-2</v>
      </c>
      <c r="AI163" s="177">
        <f t="shared" si="286"/>
        <v>1.5224541591347394</v>
      </c>
      <c r="AJ163" s="177">
        <f t="shared" si="287"/>
        <v>1.5224541591347394</v>
      </c>
      <c r="AK163" s="177">
        <f t="shared" si="288"/>
        <v>1.668302772756493</v>
      </c>
      <c r="AM163" s="555">
        <f t="shared" si="289"/>
        <v>222.6</v>
      </c>
      <c r="AN163" s="469">
        <f t="shared" si="290"/>
        <v>350</v>
      </c>
      <c r="AP163">
        <f t="shared" si="291"/>
        <v>222.6</v>
      </c>
      <c r="AQ163">
        <f t="shared" si="292"/>
        <v>350</v>
      </c>
      <c r="AS163" s="5">
        <f t="shared" si="263"/>
        <v>2.8571428571428572</v>
      </c>
      <c r="AT163" s="5">
        <f t="shared" si="293"/>
        <v>1.5224541591347394</v>
      </c>
      <c r="AU163" s="5">
        <f t="shared" si="230"/>
        <v>1.3346886980081178</v>
      </c>
      <c r="AV163" s="5"/>
      <c r="AW163" s="177">
        <f t="shared" si="231"/>
        <v>0.5328589556971588</v>
      </c>
      <c r="AX163" s="177">
        <f t="shared" si="259"/>
        <v>3.6506399999999997</v>
      </c>
      <c r="AY163" s="177">
        <f t="shared" si="260"/>
        <v>0.35560041290070304</v>
      </c>
      <c r="AZ163" s="177">
        <f t="shared" si="264"/>
        <v>10.266129811889153</v>
      </c>
      <c r="BA163" s="469">
        <f t="shared" si="294"/>
        <v>21.317779700075526</v>
      </c>
      <c r="BB163" s="469">
        <f t="shared" si="295"/>
        <v>14.550294477419353</v>
      </c>
      <c r="BC163" s="5">
        <f t="shared" si="258"/>
        <v>0.94754658739452846</v>
      </c>
      <c r="BD163" s="469">
        <f t="shared" si="296"/>
        <v>58.13068413256061</v>
      </c>
      <c r="BF163" s="177">
        <f t="shared" si="265"/>
        <v>0.64163749148701665</v>
      </c>
      <c r="BG163" s="177">
        <f t="shared" si="261"/>
        <v>0.60076913347846916</v>
      </c>
      <c r="BI163" s="538">
        <f t="shared" si="236"/>
        <v>4.5286853752992649E-2</v>
      </c>
      <c r="BJ163" s="538">
        <f t="shared" si="237"/>
        <v>6.7673087373539165E-2</v>
      </c>
      <c r="BK163" s="538">
        <f t="shared" si="238"/>
        <v>1.7499999999999998E-2</v>
      </c>
      <c r="BL163" s="538">
        <f t="shared" si="239"/>
        <v>5.0806349999999993E-2</v>
      </c>
      <c r="BM163">
        <f t="shared" si="240"/>
        <v>2.6099999999999999E-3</v>
      </c>
      <c r="BN163">
        <f t="shared" si="297"/>
        <v>1.4E-5</v>
      </c>
      <c r="BO163" s="538">
        <f t="shared" si="298"/>
        <v>0.18543971869865128</v>
      </c>
      <c r="BP163" s="469">
        <f t="shared" si="243"/>
        <v>183.87629112653181</v>
      </c>
      <c r="BQ163" s="538">
        <f t="shared" si="299"/>
        <v>0.20033999999999999</v>
      </c>
      <c r="BT163" s="469">
        <f t="shared" si="245"/>
        <v>200.34</v>
      </c>
      <c r="BU163" s="538">
        <f t="shared" si="246"/>
        <v>1.9761536183124064E-2</v>
      </c>
      <c r="BV163" s="538">
        <f t="shared" si="247"/>
        <v>8.6621652417712969E-2</v>
      </c>
      <c r="BW163" s="538">
        <f t="shared" si="248"/>
        <v>0</v>
      </c>
      <c r="BX163" s="538"/>
      <c r="BY163" s="538">
        <f t="shared" si="249"/>
        <v>4.0562666666666664E-2</v>
      </c>
      <c r="BZ163" s="469">
        <f t="shared" si="250"/>
        <v>146.9458552675037</v>
      </c>
      <c r="CA163" s="177">
        <f t="shared" si="251"/>
        <v>0.53116214639403547</v>
      </c>
      <c r="CB163" s="5">
        <f t="shared" si="252"/>
        <v>3.4502999999999999</v>
      </c>
      <c r="CC163" s="177">
        <f t="shared" si="253"/>
        <v>0.86659118513154698</v>
      </c>
      <c r="CD163" s="5">
        <f t="shared" si="254"/>
        <v>86.659118513154695</v>
      </c>
      <c r="CG163" s="571">
        <f t="shared" si="300"/>
        <v>-50</v>
      </c>
      <c r="CH163">
        <f t="shared" si="301"/>
        <v>-50</v>
      </c>
    </row>
    <row r="164" spans="5:86" x14ac:dyDescent="0.2">
      <c r="E164" s="174">
        <v>54</v>
      </c>
      <c r="F164" s="221">
        <f t="shared" si="302"/>
        <v>0.2268</v>
      </c>
      <c r="G164" s="221"/>
      <c r="H164" s="221">
        <f t="shared" si="266"/>
        <v>3.5154000000000001</v>
      </c>
      <c r="I164" s="551">
        <f t="shared" si="267"/>
        <v>9</v>
      </c>
      <c r="J164" s="451">
        <f t="shared" si="268"/>
        <v>16.399999999999999</v>
      </c>
      <c r="K164" s="451">
        <f t="shared" si="269"/>
        <v>25.4</v>
      </c>
      <c r="L164" s="451"/>
      <c r="M164" s="221">
        <f t="shared" si="270"/>
        <v>0.64566929133858264</v>
      </c>
      <c r="N164" s="176">
        <f t="shared" si="271"/>
        <v>10.799787401574802</v>
      </c>
      <c r="O164" s="176">
        <f t="shared" si="262"/>
        <v>3.5154000000000001</v>
      </c>
      <c r="P164" s="221">
        <f t="shared" si="272"/>
        <v>0.69676047752095494</v>
      </c>
      <c r="Q164" s="221">
        <f t="shared" si="273"/>
        <v>15.5</v>
      </c>
      <c r="R164" s="221"/>
      <c r="S164" s="176">
        <f t="shared" si="274"/>
        <v>64.338445631365417</v>
      </c>
      <c r="T164" s="176">
        <f t="shared" si="275"/>
        <v>15.5</v>
      </c>
      <c r="U164" s="221">
        <f t="shared" si="276"/>
        <v>1.3443414634146342</v>
      </c>
      <c r="V164" s="221">
        <f t="shared" si="277"/>
        <v>1.3443414634146342</v>
      </c>
      <c r="W164" s="221">
        <f t="shared" si="278"/>
        <v>0.73774836406900668</v>
      </c>
      <c r="X164" s="201">
        <f t="shared" si="279"/>
        <v>350</v>
      </c>
      <c r="Y164" s="451">
        <f t="shared" si="215"/>
        <v>350</v>
      </c>
      <c r="AA164" s="221">
        <f t="shared" si="280"/>
        <v>1.8447694038245221</v>
      </c>
      <c r="AB164" s="177">
        <f t="shared" si="281"/>
        <v>1.0123734533183355</v>
      </c>
      <c r="AC164" s="177">
        <f t="shared" si="282"/>
        <v>0.32682922508702178</v>
      </c>
      <c r="AD164" s="177"/>
      <c r="AE164" s="177">
        <f t="shared" si="283"/>
        <v>0.45</v>
      </c>
      <c r="AF164" s="555">
        <f t="shared" si="284"/>
        <v>1229.2682926829268</v>
      </c>
      <c r="AG164" s="538">
        <f t="shared" si="285"/>
        <v>6.4574999999999994E-2</v>
      </c>
      <c r="AI164" s="177">
        <f t="shared" si="286"/>
        <v>1.5367498169838836</v>
      </c>
      <c r="AJ164" s="177">
        <f t="shared" si="287"/>
        <v>1.5367498169838836</v>
      </c>
      <c r="AK164" s="177">
        <f t="shared" si="288"/>
        <v>1.6778332113225891</v>
      </c>
      <c r="AM164" s="555">
        <f t="shared" si="289"/>
        <v>226.8</v>
      </c>
      <c r="AN164" s="469">
        <f t="shared" si="290"/>
        <v>350</v>
      </c>
      <c r="AP164">
        <f t="shared" si="291"/>
        <v>226.8</v>
      </c>
      <c r="AQ164">
        <f t="shared" si="292"/>
        <v>350</v>
      </c>
      <c r="AS164" s="5">
        <f t="shared" si="263"/>
        <v>2.8571428571428572</v>
      </c>
      <c r="AT164" s="5">
        <f t="shared" si="293"/>
        <v>1.5367498169838838</v>
      </c>
      <c r="AU164" s="5">
        <f t="shared" si="230"/>
        <v>1.3203930401589734</v>
      </c>
      <c r="AV164" s="5"/>
      <c r="AW164" s="177">
        <f t="shared" si="231"/>
        <v>0.53786243594435934</v>
      </c>
      <c r="AX164" s="177">
        <f t="shared" si="259"/>
        <v>3.7195199999999997</v>
      </c>
      <c r="AY164" s="177">
        <f t="shared" si="260"/>
        <v>0.35509490849194175</v>
      </c>
      <c r="AZ164" s="177">
        <f t="shared" si="264"/>
        <v>10.474720732540179</v>
      </c>
      <c r="BA164" s="469">
        <f t="shared" si="294"/>
        <v>21.317779700075526</v>
      </c>
      <c r="BB164" s="469">
        <f t="shared" si="295"/>
        <v>15.09598358709677</v>
      </c>
      <c r="BC164" s="5">
        <f t="shared" si="258"/>
        <v>0.95508429904832381</v>
      </c>
      <c r="BD164" s="469">
        <f t="shared" si="296"/>
        <v>58.607057942899438</v>
      </c>
      <c r="BF164" s="177">
        <f t="shared" si="265"/>
        <v>0.65069601933268317</v>
      </c>
      <c r="BG164" s="177">
        <f t="shared" si="261"/>
        <v>0.60315395250682091</v>
      </c>
      <c r="BI164" s="538">
        <f t="shared" si="236"/>
        <v>4.6574584053293955E-2</v>
      </c>
      <c r="BJ164" s="538">
        <f t="shared" si="237"/>
        <v>6.8308529364933618E-2</v>
      </c>
      <c r="BK164" s="538">
        <f t="shared" si="238"/>
        <v>1.7499999999999998E-2</v>
      </c>
      <c r="BL164" s="538">
        <f t="shared" si="239"/>
        <v>5.0806349999999993E-2</v>
      </c>
      <c r="BM164">
        <f t="shared" si="240"/>
        <v>2.6099999999999999E-3</v>
      </c>
      <c r="BN164">
        <f t="shared" si="297"/>
        <v>1.4E-5</v>
      </c>
      <c r="BO164" s="538">
        <f t="shared" si="298"/>
        <v>0.1874239998653465</v>
      </c>
      <c r="BP164" s="469">
        <f t="shared" si="243"/>
        <v>185.79946341822756</v>
      </c>
      <c r="BQ164" s="538">
        <f t="shared" si="299"/>
        <v>0.20412</v>
      </c>
      <c r="BT164" s="469">
        <f t="shared" si="245"/>
        <v>204.12</v>
      </c>
      <c r="BU164" s="538">
        <f t="shared" si="246"/>
        <v>2.0323454859619179E-2</v>
      </c>
      <c r="BV164" s="538">
        <f t="shared" si="247"/>
        <v>8.7310725701904096E-2</v>
      </c>
      <c r="BW164" s="538">
        <f t="shared" si="248"/>
        <v>0</v>
      </c>
      <c r="BX164" s="538"/>
      <c r="BY164" s="538">
        <f t="shared" si="249"/>
        <v>4.1328000000000004E-2</v>
      </c>
      <c r="BZ164" s="469">
        <f t="shared" si="250"/>
        <v>148.96218056152327</v>
      </c>
      <c r="CA164" s="177">
        <f t="shared" si="251"/>
        <v>0.53888164397975091</v>
      </c>
      <c r="CB164" s="5">
        <f t="shared" si="252"/>
        <v>3.5154000000000001</v>
      </c>
      <c r="CC164" s="177">
        <f t="shared" si="253"/>
        <v>0.86708332294083656</v>
      </c>
      <c r="CD164" s="5">
        <f t="shared" si="254"/>
        <v>86.708332294083661</v>
      </c>
      <c r="CG164" s="571">
        <f t="shared" si="300"/>
        <v>-50</v>
      </c>
      <c r="CH164">
        <f t="shared" si="301"/>
        <v>-50</v>
      </c>
    </row>
    <row r="165" spans="5:86" x14ac:dyDescent="0.2">
      <c r="E165" s="174">
        <v>55</v>
      </c>
      <c r="F165" s="221">
        <f t="shared" si="302"/>
        <v>0.23100000000000001</v>
      </c>
      <c r="G165" s="221"/>
      <c r="H165" s="221">
        <f t="shared" si="266"/>
        <v>3.5805000000000002</v>
      </c>
      <c r="I165" s="551">
        <f t="shared" si="267"/>
        <v>9</v>
      </c>
      <c r="J165" s="451">
        <f t="shared" si="268"/>
        <v>16.399999999999999</v>
      </c>
      <c r="K165" s="451">
        <f t="shared" si="269"/>
        <v>25.4</v>
      </c>
      <c r="L165" s="451"/>
      <c r="M165" s="221">
        <f t="shared" si="270"/>
        <v>0.64566929133858264</v>
      </c>
      <c r="N165" s="176">
        <f t="shared" si="271"/>
        <v>10.799787401574802</v>
      </c>
      <c r="O165" s="176">
        <f t="shared" si="262"/>
        <v>3.5805000000000002</v>
      </c>
      <c r="P165" s="221">
        <f t="shared" si="272"/>
        <v>0.69676047752095494</v>
      </c>
      <c r="Q165" s="221">
        <f t="shared" si="273"/>
        <v>15.5</v>
      </c>
      <c r="R165" s="221"/>
      <c r="S165" s="176">
        <f t="shared" si="274"/>
        <v>63.009857894079921</v>
      </c>
      <c r="T165" s="176">
        <f t="shared" si="275"/>
        <v>15.5</v>
      </c>
      <c r="U165" s="221">
        <f t="shared" si="276"/>
        <v>1.3692366757000907</v>
      </c>
      <c r="V165" s="221">
        <f t="shared" si="277"/>
        <v>1.3692366757000909</v>
      </c>
      <c r="W165" s="221">
        <f t="shared" si="278"/>
        <v>0.75141037081102557</v>
      </c>
      <c r="X165" s="201">
        <f t="shared" si="279"/>
        <v>350</v>
      </c>
      <c r="Y165" s="451">
        <f t="shared" si="215"/>
        <v>350</v>
      </c>
      <c r="AA165" s="221">
        <f t="shared" si="280"/>
        <v>1.8447694038245221</v>
      </c>
      <c r="AB165" s="177">
        <f t="shared" si="281"/>
        <v>1.0123734533183355</v>
      </c>
      <c r="AC165" s="177">
        <f t="shared" si="282"/>
        <v>0.32682922508702178</v>
      </c>
      <c r="AD165" s="177"/>
      <c r="AE165" s="177">
        <f t="shared" si="283"/>
        <v>0.45</v>
      </c>
      <c r="AF165" s="555">
        <f t="shared" si="284"/>
        <v>1252.0325203252034</v>
      </c>
      <c r="AG165" s="538">
        <f t="shared" si="285"/>
        <v>6.4574999999999994E-2</v>
      </c>
      <c r="AI165" s="177">
        <f t="shared" si="286"/>
        <v>1.5509137091835037</v>
      </c>
      <c r="AJ165" s="177">
        <f t="shared" si="287"/>
        <v>1.5509137091835037</v>
      </c>
      <c r="AK165" s="177">
        <f t="shared" si="288"/>
        <v>1.6872758061223359</v>
      </c>
      <c r="AM165" s="555">
        <f t="shared" si="289"/>
        <v>231</v>
      </c>
      <c r="AN165" s="469">
        <f t="shared" si="290"/>
        <v>350</v>
      </c>
      <c r="AP165">
        <f t="shared" si="291"/>
        <v>231</v>
      </c>
      <c r="AQ165">
        <f t="shared" si="292"/>
        <v>350</v>
      </c>
      <c r="AS165" s="5">
        <f t="shared" si="263"/>
        <v>2.8571428571428572</v>
      </c>
      <c r="AT165" s="5">
        <f t="shared" si="293"/>
        <v>1.5509137091835039</v>
      </c>
      <c r="AU165" s="5">
        <f t="shared" si="230"/>
        <v>1.3062291479593533</v>
      </c>
      <c r="AV165" s="5"/>
      <c r="AW165" s="177">
        <f t="shared" si="231"/>
        <v>0.54281979821422632</v>
      </c>
      <c r="AX165" s="177">
        <f t="shared" si="259"/>
        <v>3.7884000000000007</v>
      </c>
      <c r="AY165" s="177">
        <f t="shared" si="260"/>
        <v>0.35452352125841846</v>
      </c>
      <c r="AZ165" s="177">
        <f t="shared" si="264"/>
        <v>10.685891831810418</v>
      </c>
      <c r="BA165" s="469">
        <f t="shared" si="294"/>
        <v>21.317779700075526</v>
      </c>
      <c r="BB165" s="469">
        <f t="shared" si="295"/>
        <v>15.651715483870966</v>
      </c>
      <c r="BC165" s="5">
        <f t="shared" si="258"/>
        <v>0.9623361037589433</v>
      </c>
      <c r="BD165" s="469">
        <f t="shared" si="296"/>
        <v>59.066277336647715</v>
      </c>
      <c r="BF165" s="177">
        <f t="shared" si="265"/>
        <v>0.65971270379308611</v>
      </c>
      <c r="BG165" s="177">
        <f t="shared" si="261"/>
        <v>0.60543944885660828</v>
      </c>
      <c r="BI165" s="538">
        <f t="shared" si="236"/>
        <v>4.7874293670058257E-2</v>
      </c>
      <c r="BJ165" s="538">
        <f t="shared" si="237"/>
        <v>6.8938114373206738E-2</v>
      </c>
      <c r="BK165" s="538">
        <f t="shared" si="238"/>
        <v>1.7499999999999998E-2</v>
      </c>
      <c r="BL165" s="538">
        <f t="shared" si="239"/>
        <v>5.0806349999999993E-2</v>
      </c>
      <c r="BM165">
        <f t="shared" si="240"/>
        <v>2.6099999999999999E-3</v>
      </c>
      <c r="BN165">
        <f t="shared" si="297"/>
        <v>1.4E-5</v>
      </c>
      <c r="BO165" s="538">
        <f t="shared" si="298"/>
        <v>0.18941583156068248</v>
      </c>
      <c r="BP165" s="469">
        <f t="shared" si="243"/>
        <v>187.728758043265</v>
      </c>
      <c r="BQ165" s="538">
        <f t="shared" si="299"/>
        <v>0.2079</v>
      </c>
      <c r="BT165" s="469">
        <f t="shared" si="245"/>
        <v>207.9</v>
      </c>
      <c r="BU165" s="538">
        <f t="shared" si="246"/>
        <v>2.089060087420724E-2</v>
      </c>
      <c r="BV165" s="538">
        <f t="shared" si="247"/>
        <v>8.7973662295630459E-2</v>
      </c>
      <c r="BW165" s="538">
        <f t="shared" si="248"/>
        <v>0</v>
      </c>
      <c r="BX165" s="538"/>
      <c r="BY165" s="538">
        <f t="shared" si="249"/>
        <v>4.2093333333333337E-2</v>
      </c>
      <c r="BZ165" s="469">
        <f t="shared" si="250"/>
        <v>150.95759650317103</v>
      </c>
      <c r="CA165" s="177">
        <f t="shared" si="251"/>
        <v>0.546586354546436</v>
      </c>
      <c r="CB165" s="5">
        <f t="shared" si="252"/>
        <v>3.5805000000000002</v>
      </c>
      <c r="CC165" s="177">
        <f t="shared" si="253"/>
        <v>0.86756120236148893</v>
      </c>
      <c r="CD165" s="5">
        <f t="shared" si="254"/>
        <v>86.756120236148888</v>
      </c>
      <c r="CG165" s="571">
        <f t="shared" si="300"/>
        <v>-50</v>
      </c>
      <c r="CH165">
        <f t="shared" si="301"/>
        <v>-50</v>
      </c>
    </row>
    <row r="166" spans="5:86" x14ac:dyDescent="0.2">
      <c r="E166" s="174">
        <v>56</v>
      </c>
      <c r="F166" s="221">
        <f t="shared" si="302"/>
        <v>0.23520000000000002</v>
      </c>
      <c r="G166" s="221"/>
      <c r="H166" s="221">
        <f t="shared" si="266"/>
        <v>3.6456000000000004</v>
      </c>
      <c r="I166" s="551">
        <f t="shared" si="267"/>
        <v>9</v>
      </c>
      <c r="J166" s="451">
        <f t="shared" si="268"/>
        <v>16.399999999999999</v>
      </c>
      <c r="K166" s="451">
        <f t="shared" si="269"/>
        <v>25.4</v>
      </c>
      <c r="L166" s="451"/>
      <c r="M166" s="221">
        <f t="shared" si="270"/>
        <v>0.64566929133858264</v>
      </c>
      <c r="N166" s="176">
        <f t="shared" si="271"/>
        <v>10.799787401574802</v>
      </c>
      <c r="O166" s="176">
        <f t="shared" si="262"/>
        <v>3.6456000000000004</v>
      </c>
      <c r="P166" s="221">
        <f t="shared" si="272"/>
        <v>0.69676047752095494</v>
      </c>
      <c r="Q166" s="221">
        <f t="shared" si="273"/>
        <v>15.5</v>
      </c>
      <c r="R166" s="221"/>
      <c r="S166" s="176">
        <f t="shared" si="274"/>
        <v>61.728823217558144</v>
      </c>
      <c r="T166" s="176">
        <f t="shared" si="275"/>
        <v>15.5</v>
      </c>
      <c r="U166" s="221">
        <f t="shared" si="276"/>
        <v>1.3941318879855469</v>
      </c>
      <c r="V166" s="221">
        <f t="shared" si="277"/>
        <v>1.3941318879855469</v>
      </c>
      <c r="W166" s="221">
        <f t="shared" si="278"/>
        <v>0.76507237755304403</v>
      </c>
      <c r="X166" s="201">
        <f t="shared" si="279"/>
        <v>350</v>
      </c>
      <c r="Y166" s="451">
        <f t="shared" si="215"/>
        <v>350</v>
      </c>
      <c r="AA166" s="221">
        <f t="shared" si="280"/>
        <v>1.8447694038245221</v>
      </c>
      <c r="AB166" s="177">
        <f t="shared" si="281"/>
        <v>1.0123734533183355</v>
      </c>
      <c r="AC166" s="177">
        <f t="shared" si="282"/>
        <v>0.32682922508702178</v>
      </c>
      <c r="AD166" s="177"/>
      <c r="AE166" s="177">
        <f t="shared" si="283"/>
        <v>0.45</v>
      </c>
      <c r="AF166" s="555">
        <f t="shared" si="284"/>
        <v>1274.7967479674799</v>
      </c>
      <c r="AG166" s="538">
        <f t="shared" si="285"/>
        <v>6.4574999999999994E-2</v>
      </c>
      <c r="AI166" s="177">
        <f t="shared" si="286"/>
        <v>1.5649494134529289</v>
      </c>
      <c r="AJ166" s="177">
        <f t="shared" si="287"/>
        <v>1.5649494134529289</v>
      </c>
      <c r="AK166" s="177">
        <f t="shared" si="288"/>
        <v>1.6966329423019526</v>
      </c>
      <c r="AM166" s="555">
        <f t="shared" si="289"/>
        <v>235.20000000000002</v>
      </c>
      <c r="AN166" s="469">
        <f t="shared" si="290"/>
        <v>350</v>
      </c>
      <c r="AP166">
        <f t="shared" si="291"/>
        <v>235.20000000000002</v>
      </c>
      <c r="AQ166">
        <f t="shared" si="292"/>
        <v>350</v>
      </c>
      <c r="AS166" s="5">
        <f t="shared" si="263"/>
        <v>2.8571428571428572</v>
      </c>
      <c r="AT166" s="5">
        <f t="shared" si="293"/>
        <v>1.5649494134529289</v>
      </c>
      <c r="AU166" s="5">
        <f t="shared" si="230"/>
        <v>1.2921934436899283</v>
      </c>
      <c r="AV166" s="5"/>
      <c r="AW166" s="177">
        <f t="shared" si="231"/>
        <v>0.54773229470852514</v>
      </c>
      <c r="AX166" s="177">
        <f t="shared" si="259"/>
        <v>3.8572799999999998</v>
      </c>
      <c r="AY166" s="177">
        <f t="shared" si="260"/>
        <v>0.35388804005979785</v>
      </c>
      <c r="AZ166" s="177">
        <f t="shared" si="264"/>
        <v>10.899718451486013</v>
      </c>
      <c r="BA166" s="469">
        <f t="shared" si="294"/>
        <v>21.317779700075526</v>
      </c>
      <c r="BB166" s="469">
        <f t="shared" si="295"/>
        <v>16.217490167741936</v>
      </c>
      <c r="BC166" s="5">
        <f t="shared" si="258"/>
        <v>0.96930461282222269</v>
      </c>
      <c r="BD166" s="469">
        <f t="shared" si="296"/>
        <v>59.508498991555591</v>
      </c>
      <c r="BF166" s="177">
        <f t="shared" si="265"/>
        <v>0.66868849380148399</v>
      </c>
      <c r="BG166" s="177">
        <f t="shared" si="261"/>
        <v>0.60762756176218513</v>
      </c>
      <c r="BI166" s="538">
        <f t="shared" si="236"/>
        <v>4.9185873191674702E-2</v>
      </c>
      <c r="BJ166" s="538">
        <f t="shared" si="237"/>
        <v>6.9562001427982675E-2</v>
      </c>
      <c r="BK166" s="538">
        <f t="shared" si="238"/>
        <v>1.7499999999999998E-2</v>
      </c>
      <c r="BL166" s="538">
        <f t="shared" si="239"/>
        <v>5.0806349999999993E-2</v>
      </c>
      <c r="BM166">
        <f t="shared" si="240"/>
        <v>2.6099999999999999E-3</v>
      </c>
      <c r="BN166">
        <f t="shared" si="297"/>
        <v>1.4E-5</v>
      </c>
      <c r="BO166" s="538">
        <f t="shared" si="298"/>
        <v>0.19141527876709483</v>
      </c>
      <c r="BP166" s="469">
        <f t="shared" si="243"/>
        <v>189.66422461965738</v>
      </c>
      <c r="BQ166" s="538">
        <f t="shared" si="299"/>
        <v>0.21168000000000003</v>
      </c>
      <c r="BT166" s="469">
        <f t="shared" si="245"/>
        <v>211.68000000000004</v>
      </c>
      <c r="BU166" s="538">
        <f t="shared" si="246"/>
        <v>2.1462926483639871E-2</v>
      </c>
      <c r="BV166" s="538">
        <f t="shared" si="247"/>
        <v>8.8610700915133941E-2</v>
      </c>
      <c r="BW166" s="538">
        <f t="shared" si="248"/>
        <v>0</v>
      </c>
      <c r="BX166" s="538"/>
      <c r="BY166" s="538">
        <f t="shared" si="249"/>
        <v>4.285866666666667E-2</v>
      </c>
      <c r="BZ166" s="469">
        <f t="shared" si="250"/>
        <v>152.93229406544049</v>
      </c>
      <c r="CA166" s="177">
        <f t="shared" si="251"/>
        <v>0.55427651868509786</v>
      </c>
      <c r="CB166" s="5">
        <f t="shared" si="252"/>
        <v>3.6456000000000004</v>
      </c>
      <c r="CC166" s="177">
        <f t="shared" si="253"/>
        <v>0.86802552022204904</v>
      </c>
      <c r="CD166" s="5">
        <f t="shared" si="254"/>
        <v>86.802552022204907</v>
      </c>
      <c r="CG166" s="571">
        <f t="shared" si="300"/>
        <v>-50</v>
      </c>
      <c r="CH166">
        <f t="shared" si="301"/>
        <v>-50</v>
      </c>
    </row>
    <row r="167" spans="5:86" x14ac:dyDescent="0.2">
      <c r="E167" s="174">
        <v>57</v>
      </c>
      <c r="F167" s="221">
        <f t="shared" si="302"/>
        <v>0.23939999999999997</v>
      </c>
      <c r="G167" s="221"/>
      <c r="H167" s="221">
        <f t="shared" si="266"/>
        <v>3.7106999999999997</v>
      </c>
      <c r="I167" s="551">
        <f t="shared" si="267"/>
        <v>9</v>
      </c>
      <c r="J167" s="451">
        <f t="shared" si="268"/>
        <v>16.399999999999999</v>
      </c>
      <c r="K167" s="451">
        <f t="shared" si="269"/>
        <v>25.4</v>
      </c>
      <c r="L167" s="451"/>
      <c r="M167" s="221">
        <f t="shared" si="270"/>
        <v>0.64566929133858264</v>
      </c>
      <c r="N167" s="176">
        <f t="shared" si="271"/>
        <v>10.799787401574802</v>
      </c>
      <c r="O167" s="176">
        <f t="shared" si="262"/>
        <v>3.7106999999999997</v>
      </c>
      <c r="P167" s="221">
        <f t="shared" si="272"/>
        <v>0.69676047752095494</v>
      </c>
      <c r="Q167" s="221">
        <f t="shared" si="273"/>
        <v>15.5</v>
      </c>
      <c r="R167" s="221"/>
      <c r="S167" s="176">
        <f t="shared" si="274"/>
        <v>60.492839466401819</v>
      </c>
      <c r="T167" s="176">
        <f t="shared" si="275"/>
        <v>15.5</v>
      </c>
      <c r="U167" s="221">
        <f t="shared" si="276"/>
        <v>1.4190271002710027</v>
      </c>
      <c r="V167" s="221">
        <f t="shared" si="277"/>
        <v>1.4190271002710027</v>
      </c>
      <c r="W167" s="221">
        <f t="shared" si="278"/>
        <v>0.77873438429506248</v>
      </c>
      <c r="X167" s="201">
        <f t="shared" si="279"/>
        <v>350</v>
      </c>
      <c r="Y167" s="451">
        <f t="shared" si="215"/>
        <v>350</v>
      </c>
      <c r="AA167" s="221">
        <f t="shared" si="280"/>
        <v>1.8447694038245221</v>
      </c>
      <c r="AB167" s="177">
        <f t="shared" si="281"/>
        <v>1.0123734533183355</v>
      </c>
      <c r="AC167" s="177">
        <f t="shared" si="282"/>
        <v>0.32682922508702178</v>
      </c>
      <c r="AD167" s="177"/>
      <c r="AE167" s="177">
        <f t="shared" si="283"/>
        <v>0.45</v>
      </c>
      <c r="AF167" s="555">
        <f t="shared" si="284"/>
        <v>1297.560975609756</v>
      </c>
      <c r="AG167" s="538">
        <f t="shared" si="285"/>
        <v>6.4574999999999994E-2</v>
      </c>
      <c r="AI167" s="177">
        <f t="shared" si="286"/>
        <v>1.5788603484792438</v>
      </c>
      <c r="AJ167" s="177">
        <f t="shared" si="287"/>
        <v>1.5788603484792438</v>
      </c>
      <c r="AK167" s="177">
        <f t="shared" si="288"/>
        <v>1.7059068989861625</v>
      </c>
      <c r="AM167" s="555">
        <f t="shared" si="289"/>
        <v>239.39999999999998</v>
      </c>
      <c r="AN167" s="469">
        <f t="shared" si="290"/>
        <v>350</v>
      </c>
      <c r="AP167">
        <f t="shared" si="291"/>
        <v>239.39999999999998</v>
      </c>
      <c r="AQ167">
        <f t="shared" si="292"/>
        <v>350</v>
      </c>
      <c r="AS167" s="5">
        <f t="shared" si="263"/>
        <v>2.8571428571428572</v>
      </c>
      <c r="AT167" s="5">
        <f t="shared" si="293"/>
        <v>1.5788603484792438</v>
      </c>
      <c r="AU167" s="5">
        <f t="shared" si="230"/>
        <v>1.2782825086636134</v>
      </c>
      <c r="AV167" s="5"/>
      <c r="AW167" s="177">
        <f t="shared" si="231"/>
        <v>0.55260112196773536</v>
      </c>
      <c r="AX167" s="177">
        <f t="shared" si="259"/>
        <v>3.926159999999999</v>
      </c>
      <c r="AY167" s="177">
        <f t="shared" si="260"/>
        <v>0.35319017423962201</v>
      </c>
      <c r="AZ167" s="177">
        <f t="shared" si="264"/>
        <v>11.1162775364648</v>
      </c>
      <c r="BA167" s="469">
        <f t="shared" si="294"/>
        <v>21.317779700075526</v>
      </c>
      <c r="BB167" s="469">
        <f t="shared" si="295"/>
        <v>16.79330763870967</v>
      </c>
      <c r="BC167" s="5">
        <f t="shared" si="258"/>
        <v>0.97599236726297711</v>
      </c>
      <c r="BD167" s="469">
        <f t="shared" si="296"/>
        <v>59.933875369111966</v>
      </c>
      <c r="BF167" s="177">
        <f t="shared" si="265"/>
        <v>0.67762430024342402</v>
      </c>
      <c r="BG167" s="177">
        <f t="shared" si="261"/>
        <v>0.60972013338329489</v>
      </c>
      <c r="BI167" s="538">
        <f t="shared" si="236"/>
        <v>5.0509216150842903E-2</v>
      </c>
      <c r="BJ167" s="538">
        <f t="shared" si="237"/>
        <v>7.0180342489902389E-2</v>
      </c>
      <c r="BK167" s="538">
        <f t="shared" si="238"/>
        <v>1.7499999999999998E-2</v>
      </c>
      <c r="BL167" s="538">
        <f t="shared" si="239"/>
        <v>5.0806349999999993E-2</v>
      </c>
      <c r="BM167">
        <f t="shared" si="240"/>
        <v>2.6099999999999999E-3</v>
      </c>
      <c r="BN167">
        <f t="shared" si="297"/>
        <v>1.4E-5</v>
      </c>
      <c r="BO167" s="538">
        <f t="shared" si="298"/>
        <v>0.19342240241116254</v>
      </c>
      <c r="BP167" s="469">
        <f t="shared" si="243"/>
        <v>191.60590864074527</v>
      </c>
      <c r="BQ167" s="538">
        <f t="shared" si="299"/>
        <v>0.21545999999999998</v>
      </c>
      <c r="BT167" s="469">
        <f t="shared" si="245"/>
        <v>215.45999999999998</v>
      </c>
      <c r="BU167" s="538">
        <f t="shared" si="246"/>
        <v>2.2040385229458722E-2</v>
      </c>
      <c r="BV167" s="538">
        <f t="shared" si="247"/>
        <v>8.9222073852706293E-2</v>
      </c>
      <c r="BW167" s="538">
        <f t="shared" si="248"/>
        <v>0</v>
      </c>
      <c r="BX167" s="538"/>
      <c r="BY167" s="538">
        <f t="shared" si="249"/>
        <v>4.3623999999999996E-2</v>
      </c>
      <c r="BZ167" s="469">
        <f t="shared" si="250"/>
        <v>154.88645908216503</v>
      </c>
      <c r="CA167" s="177">
        <f t="shared" si="251"/>
        <v>0.56195236772291024</v>
      </c>
      <c r="CB167" s="5">
        <f t="shared" si="252"/>
        <v>3.7106999999999997</v>
      </c>
      <c r="CC167" s="177">
        <f t="shared" si="253"/>
        <v>0.86847692736060345</v>
      </c>
      <c r="CD167" s="5">
        <f t="shared" si="254"/>
        <v>86.847692736060338</v>
      </c>
      <c r="CG167" s="571">
        <f t="shared" si="300"/>
        <v>-50</v>
      </c>
      <c r="CH167">
        <f t="shared" si="301"/>
        <v>-50</v>
      </c>
    </row>
    <row r="168" spans="5:86" x14ac:dyDescent="0.2">
      <c r="E168" s="174">
        <v>58</v>
      </c>
      <c r="F168" s="221">
        <f t="shared" si="302"/>
        <v>0.24359999999999998</v>
      </c>
      <c r="G168" s="221"/>
      <c r="H168" s="221">
        <f t="shared" si="266"/>
        <v>3.7757999999999998</v>
      </c>
      <c r="I168" s="551">
        <f t="shared" si="267"/>
        <v>9</v>
      </c>
      <c r="J168" s="451">
        <f t="shared" si="268"/>
        <v>16.399999999999999</v>
      </c>
      <c r="K168" s="451">
        <f t="shared" si="269"/>
        <v>25.4</v>
      </c>
      <c r="L168" s="451"/>
      <c r="M168" s="221">
        <f t="shared" si="270"/>
        <v>0.64566929133858264</v>
      </c>
      <c r="N168" s="176">
        <f t="shared" si="271"/>
        <v>10.799787401574802</v>
      </c>
      <c r="O168" s="176">
        <f t="shared" si="262"/>
        <v>3.7757999999999998</v>
      </c>
      <c r="P168" s="221">
        <f t="shared" si="272"/>
        <v>0.69676047752095494</v>
      </c>
      <c r="Q168" s="221">
        <f t="shared" si="273"/>
        <v>15.5</v>
      </c>
      <c r="R168" s="221"/>
      <c r="S168" s="176">
        <f t="shared" si="274"/>
        <v>59.299577070843377</v>
      </c>
      <c r="T168" s="176">
        <f t="shared" si="275"/>
        <v>15.5</v>
      </c>
      <c r="U168" s="221">
        <f t="shared" si="276"/>
        <v>1.4439223125564591</v>
      </c>
      <c r="V168" s="221">
        <f t="shared" si="277"/>
        <v>1.4439223125564593</v>
      </c>
      <c r="W168" s="221">
        <f t="shared" si="278"/>
        <v>0.79239639103708137</v>
      </c>
      <c r="X168" s="201">
        <f t="shared" si="279"/>
        <v>350</v>
      </c>
      <c r="Y168" s="451">
        <f t="shared" si="215"/>
        <v>350</v>
      </c>
      <c r="AA168" s="221">
        <f t="shared" si="280"/>
        <v>1.8447694038245221</v>
      </c>
      <c r="AB168" s="177">
        <f t="shared" si="281"/>
        <v>1.0123734533183355</v>
      </c>
      <c r="AC168" s="177">
        <f t="shared" si="282"/>
        <v>0.32682922508702178</v>
      </c>
      <c r="AD168" s="177"/>
      <c r="AE168" s="177">
        <f t="shared" si="283"/>
        <v>0.45</v>
      </c>
      <c r="AF168" s="555">
        <f t="shared" si="284"/>
        <v>1320.3252032520325</v>
      </c>
      <c r="AG168" s="538">
        <f t="shared" si="285"/>
        <v>6.4574999999999994E-2</v>
      </c>
      <c r="AI168" s="177">
        <f t="shared" si="286"/>
        <v>1.592649783641505</v>
      </c>
      <c r="AJ168" s="177">
        <f t="shared" si="287"/>
        <v>1.592649783641505</v>
      </c>
      <c r="AK168" s="177">
        <f t="shared" si="288"/>
        <v>1.7150998557610033</v>
      </c>
      <c r="AM168" s="555">
        <f t="shared" si="289"/>
        <v>243.6</v>
      </c>
      <c r="AN168" s="469">
        <f t="shared" si="290"/>
        <v>350</v>
      </c>
      <c r="AP168">
        <f t="shared" si="291"/>
        <v>243.6</v>
      </c>
      <c r="AQ168">
        <f t="shared" si="292"/>
        <v>350</v>
      </c>
      <c r="AS168" s="5">
        <f t="shared" si="263"/>
        <v>2.8571428571428572</v>
      </c>
      <c r="AT168" s="5">
        <f t="shared" si="293"/>
        <v>1.5926497836415052</v>
      </c>
      <c r="AU168" s="5">
        <f t="shared" si="230"/>
        <v>1.264493073501352</v>
      </c>
      <c r="AV168" s="5"/>
      <c r="AW168" s="177">
        <f t="shared" si="231"/>
        <v>0.55742742427452685</v>
      </c>
      <c r="AX168" s="177">
        <f t="shared" si="259"/>
        <v>3.995039999999999</v>
      </c>
      <c r="AY168" s="177">
        <f t="shared" si="260"/>
        <v>0.35243155848741919</v>
      </c>
      <c r="AZ168" s="177">
        <f t="shared" si="264"/>
        <v>11.335647741496484</v>
      </c>
      <c r="BA168" s="469">
        <f t="shared" si="294"/>
        <v>21.317779700075526</v>
      </c>
      <c r="BB168" s="469">
        <f t="shared" si="295"/>
        <v>17.379167896774188</v>
      </c>
      <c r="BC168" s="5">
        <f t="shared" si="258"/>
        <v>0.98240184093135885</v>
      </c>
      <c r="BD168" s="469">
        <f t="shared" si="296"/>
        <v>60.342554900325979</v>
      </c>
      <c r="BF168" s="177">
        <f t="shared" si="265"/>
        <v>0.68652099812180534</v>
      </c>
      <c r="BG168" s="177">
        <f t="shared" si="261"/>
        <v>0.61171891441163651</v>
      </c>
      <c r="BI168" s="538">
        <f t="shared" si="236"/>
        <v>5.1844218894837583E-2</v>
      </c>
      <c r="BJ168" s="538">
        <f t="shared" si="237"/>
        <v>7.0793282882864891E-2</v>
      </c>
      <c r="BK168" s="538">
        <f t="shared" si="238"/>
        <v>1.7499999999999998E-2</v>
      </c>
      <c r="BL168" s="538">
        <f t="shared" si="239"/>
        <v>5.0806349999999993E-2</v>
      </c>
      <c r="BM168">
        <f t="shared" si="240"/>
        <v>2.6099999999999999E-3</v>
      </c>
      <c r="BN168">
        <f t="shared" si="297"/>
        <v>1.4E-5</v>
      </c>
      <c r="BO168" s="538">
        <f t="shared" si="298"/>
        <v>0.19543725966466585</v>
      </c>
      <c r="BP168" s="469">
        <f t="shared" si="243"/>
        <v>193.55385177770245</v>
      </c>
      <c r="BQ168" s="538">
        <f t="shared" si="299"/>
        <v>0.21923999999999999</v>
      </c>
      <c r="BT168" s="469">
        <f t="shared" si="245"/>
        <v>219.23999999999998</v>
      </c>
      <c r="BU168" s="538">
        <f t="shared" si="246"/>
        <v>2.2622931881383673E-2</v>
      </c>
      <c r="BV168" s="538">
        <f t="shared" si="247"/>
        <v>8.9808007259748246E-2</v>
      </c>
      <c r="BW168" s="538">
        <f t="shared" si="248"/>
        <v>0</v>
      </c>
      <c r="BX168" s="538"/>
      <c r="BY168" s="538">
        <f t="shared" si="249"/>
        <v>4.4389333333333329E-2</v>
      </c>
      <c r="BZ168" s="469">
        <f t="shared" si="250"/>
        <v>156.82027247446524</v>
      </c>
      <c r="CA168" s="177">
        <f t="shared" si="251"/>
        <v>0.56961412425216762</v>
      </c>
      <c r="CB168" s="5">
        <f t="shared" si="252"/>
        <v>3.7757999999999998</v>
      </c>
      <c r="CC168" s="177">
        <f t="shared" si="253"/>
        <v>0.86891603240457627</v>
      </c>
      <c r="CD168" s="5">
        <f t="shared" si="254"/>
        <v>86.891603240457627</v>
      </c>
      <c r="CG168" s="571">
        <f t="shared" si="300"/>
        <v>-50</v>
      </c>
      <c r="CH168">
        <f t="shared" si="301"/>
        <v>-50</v>
      </c>
    </row>
    <row r="169" spans="5:86" x14ac:dyDescent="0.2">
      <c r="E169" s="174">
        <v>59</v>
      </c>
      <c r="F169" s="221">
        <f t="shared" si="302"/>
        <v>0.24779999999999996</v>
      </c>
      <c r="G169" s="221"/>
      <c r="H169" s="221">
        <f t="shared" si="266"/>
        <v>3.8408999999999995</v>
      </c>
      <c r="I169" s="551">
        <f t="shared" si="267"/>
        <v>9</v>
      </c>
      <c r="J169" s="451">
        <f t="shared" si="268"/>
        <v>16.399999999999999</v>
      </c>
      <c r="K169" s="451">
        <f t="shared" si="269"/>
        <v>25.4</v>
      </c>
      <c r="L169" s="451"/>
      <c r="M169" s="221">
        <f t="shared" si="270"/>
        <v>0.64566929133858264</v>
      </c>
      <c r="N169" s="176">
        <f t="shared" si="271"/>
        <v>10.799787401574802</v>
      </c>
      <c r="O169" s="176">
        <f t="shared" si="262"/>
        <v>3.8408999999999995</v>
      </c>
      <c r="P169" s="221">
        <f t="shared" si="272"/>
        <v>0.69676047752095494</v>
      </c>
      <c r="Q169" s="221">
        <f t="shared" si="273"/>
        <v>15.5</v>
      </c>
      <c r="R169" s="221"/>
      <c r="S169" s="176">
        <f t="shared" si="274"/>
        <v>58.146864402567182</v>
      </c>
      <c r="T169" s="176">
        <f t="shared" si="275"/>
        <v>15.5</v>
      </c>
      <c r="U169" s="221">
        <f t="shared" si="276"/>
        <v>1.4688175248419151</v>
      </c>
      <c r="V169" s="221">
        <f t="shared" si="277"/>
        <v>1.4688175248419151</v>
      </c>
      <c r="W169" s="221">
        <f t="shared" si="278"/>
        <v>0.80605839777909982</v>
      </c>
      <c r="X169" s="201">
        <f t="shared" si="279"/>
        <v>350</v>
      </c>
      <c r="Y169" s="451">
        <f t="shared" si="215"/>
        <v>350</v>
      </c>
      <c r="AA169" s="221">
        <f t="shared" si="280"/>
        <v>1.8447694038245221</v>
      </c>
      <c r="AB169" s="177">
        <f t="shared" si="281"/>
        <v>1.0123734533183355</v>
      </c>
      <c r="AC169" s="177">
        <f t="shared" si="282"/>
        <v>0.32682922508702178</v>
      </c>
      <c r="AD169" s="177"/>
      <c r="AE169" s="177">
        <f t="shared" si="283"/>
        <v>0.45</v>
      </c>
      <c r="AF169" s="555">
        <f t="shared" si="284"/>
        <v>1343.0894308943086</v>
      </c>
      <c r="AG169" s="538">
        <f t="shared" si="285"/>
        <v>6.4574999999999994E-2</v>
      </c>
      <c r="AI169" s="177">
        <f t="shared" si="286"/>
        <v>1.6063208479835733</v>
      </c>
      <c r="AJ169" s="177">
        <f t="shared" si="287"/>
        <v>1.6063208479835733</v>
      </c>
      <c r="AK169" s="177">
        <f t="shared" si="288"/>
        <v>1.7242138986557154</v>
      </c>
      <c r="AM169" s="555">
        <f t="shared" si="289"/>
        <v>247.79999999999995</v>
      </c>
      <c r="AN169" s="469">
        <f t="shared" si="290"/>
        <v>350</v>
      </c>
      <c r="AP169">
        <f t="shared" si="291"/>
        <v>247.79999999999995</v>
      </c>
      <c r="AQ169">
        <f t="shared" si="292"/>
        <v>350</v>
      </c>
      <c r="AS169" s="5">
        <f t="shared" si="263"/>
        <v>2.8571428571428572</v>
      </c>
      <c r="AT169" s="5">
        <f t="shared" si="293"/>
        <v>1.6063208479835733</v>
      </c>
      <c r="AU169" s="5">
        <f t="shared" si="230"/>
        <v>1.2508220091592839</v>
      </c>
      <c r="AV169" s="5"/>
      <c r="AW169" s="177">
        <f t="shared" si="231"/>
        <v>0.56221229679425067</v>
      </c>
      <c r="AX169" s="177">
        <f t="shared" si="259"/>
        <v>4.0639199999999995</v>
      </c>
      <c r="AY169" s="177">
        <f t="shared" si="260"/>
        <v>0.35161375732512012</v>
      </c>
      <c r="AZ169" s="177">
        <f t="shared" si="264"/>
        <v>11.557909539478828</v>
      </c>
      <c r="BA169" s="469">
        <f t="shared" si="294"/>
        <v>21.317779700075526</v>
      </c>
      <c r="BB169" s="469">
        <f t="shared" si="295"/>
        <v>17.975070941935474</v>
      </c>
      <c r="BC169" s="5">
        <f t="shared" si="258"/>
        <v>0.98853544341150035</v>
      </c>
      <c r="BD169" s="469">
        <f t="shared" si="296"/>
        <v>60.734682160245598</v>
      </c>
      <c r="BF169" s="177">
        <f t="shared" si="265"/>
        <v>0.69537942856359869</v>
      </c>
      <c r="BG169" s="177">
        <f t="shared" si="261"/>
        <v>0.61362556923538603</v>
      </c>
      <c r="BI169" s="538">
        <f t="shared" si="236"/>
        <v>5.3190780463638079E-2</v>
      </c>
      <c r="BJ169" s="538">
        <f t="shared" si="237"/>
        <v>7.140096169286983E-2</v>
      </c>
      <c r="BK169" s="538">
        <f t="shared" si="238"/>
        <v>1.7499999999999998E-2</v>
      </c>
      <c r="BL169" s="538">
        <f t="shared" si="239"/>
        <v>5.0806349999999993E-2</v>
      </c>
      <c r="BM169">
        <f t="shared" si="240"/>
        <v>2.6099999999999999E-3</v>
      </c>
      <c r="BN169">
        <f t="shared" si="297"/>
        <v>1.4E-5</v>
      </c>
      <c r="BO169" s="538">
        <f t="shared" si="298"/>
        <v>0.19745990422021348</v>
      </c>
      <c r="BP169" s="469">
        <f t="shared" si="243"/>
        <v>195.5080921565079</v>
      </c>
      <c r="BQ169" s="538">
        <f t="shared" si="299"/>
        <v>0.22301999999999997</v>
      </c>
      <c r="BT169" s="469">
        <f t="shared" si="245"/>
        <v>223.01999999999998</v>
      </c>
      <c r="BU169" s="538">
        <f t="shared" si="246"/>
        <v>2.321052238413298E-2</v>
      </c>
      <c r="BV169" s="538">
        <f t="shared" si="247"/>
        <v>9.0368721412668357E-2</v>
      </c>
      <c r="BW169" s="538">
        <f t="shared" si="248"/>
        <v>0</v>
      </c>
      <c r="BX169" s="538"/>
      <c r="BY169" s="538">
        <f t="shared" si="249"/>
        <v>4.5154666666666669E-2</v>
      </c>
      <c r="BZ169" s="469">
        <f t="shared" si="250"/>
        <v>158.73391046346802</v>
      </c>
      <c r="CA169" s="177">
        <f t="shared" si="251"/>
        <v>0.57726200261997584</v>
      </c>
      <c r="CB169" s="5">
        <f t="shared" si="252"/>
        <v>3.8408999999999995</v>
      </c>
      <c r="CC169" s="177">
        <f t="shared" si="253"/>
        <v>0.86934340518123632</v>
      </c>
      <c r="CD169" s="5">
        <f t="shared" si="254"/>
        <v>86.934340518123634</v>
      </c>
      <c r="CG169" s="571">
        <f t="shared" si="300"/>
        <v>-50</v>
      </c>
      <c r="CH169">
        <f t="shared" si="301"/>
        <v>-50</v>
      </c>
    </row>
    <row r="170" spans="5:86" x14ac:dyDescent="0.2">
      <c r="E170" s="174">
        <v>60</v>
      </c>
      <c r="F170" s="221">
        <f t="shared" si="302"/>
        <v>0.252</v>
      </c>
      <c r="G170" s="221"/>
      <c r="H170" s="221">
        <f t="shared" si="266"/>
        <v>3.9060000000000001</v>
      </c>
      <c r="I170" s="551">
        <f t="shared" si="267"/>
        <v>9</v>
      </c>
      <c r="J170" s="451">
        <f t="shared" si="268"/>
        <v>16.399999999999999</v>
      </c>
      <c r="K170" s="451">
        <f t="shared" si="269"/>
        <v>25.4</v>
      </c>
      <c r="L170" s="451"/>
      <c r="M170" s="221">
        <f t="shared" si="270"/>
        <v>0.64566929133858264</v>
      </c>
      <c r="N170" s="176">
        <f t="shared" si="271"/>
        <v>10.799787401574802</v>
      </c>
      <c r="O170" s="176">
        <f t="shared" si="262"/>
        <v>3.9060000000000001</v>
      </c>
      <c r="P170" s="221">
        <f t="shared" si="272"/>
        <v>0.69676047752095494</v>
      </c>
      <c r="Q170" s="221">
        <f t="shared" si="273"/>
        <v>15.5</v>
      </c>
      <c r="R170" s="221"/>
      <c r="S170" s="176">
        <f t="shared" si="274"/>
        <v>57.032674612948362</v>
      </c>
      <c r="T170" s="176">
        <f t="shared" si="275"/>
        <v>15.5</v>
      </c>
      <c r="U170" s="221">
        <f t="shared" si="276"/>
        <v>1.4937127371273715</v>
      </c>
      <c r="V170" s="221">
        <f t="shared" si="277"/>
        <v>1.4937127371273717</v>
      </c>
      <c r="W170" s="221">
        <f t="shared" si="278"/>
        <v>0.81972040452111872</v>
      </c>
      <c r="X170" s="201">
        <f t="shared" si="279"/>
        <v>350</v>
      </c>
      <c r="Y170" s="451">
        <f t="shared" ref="Y170:Y210" si="303">MIN(1/(V170+W170)*1000, 350)</f>
        <v>350</v>
      </c>
      <c r="AA170" s="221">
        <f t="shared" si="280"/>
        <v>1.8447694038245221</v>
      </c>
      <c r="AB170" s="177">
        <f t="shared" si="281"/>
        <v>1.0123734533183355</v>
      </c>
      <c r="AC170" s="177">
        <f t="shared" si="282"/>
        <v>0.32682922508702178</v>
      </c>
      <c r="AD170" s="177"/>
      <c r="AE170" s="177">
        <f t="shared" si="283"/>
        <v>0.45</v>
      </c>
      <c r="AF170" s="555">
        <f t="shared" si="284"/>
        <v>1365.8536585365855</v>
      </c>
      <c r="AG170" s="538">
        <f t="shared" si="285"/>
        <v>6.4574999999999994E-2</v>
      </c>
      <c r="AI170" s="177">
        <f t="shared" si="286"/>
        <v>1.6198765385053269</v>
      </c>
      <c r="AJ170" s="177">
        <f t="shared" si="287"/>
        <v>1.6198765385053269</v>
      </c>
      <c r="AK170" s="177">
        <f t="shared" si="288"/>
        <v>1.733251025670218</v>
      </c>
      <c r="AM170" s="555">
        <f t="shared" si="289"/>
        <v>252</v>
      </c>
      <c r="AN170" s="469">
        <f t="shared" si="290"/>
        <v>350</v>
      </c>
      <c r="AP170">
        <f t="shared" si="291"/>
        <v>252</v>
      </c>
      <c r="AQ170">
        <f t="shared" si="292"/>
        <v>350</v>
      </c>
      <c r="AS170" s="5">
        <f t="shared" si="263"/>
        <v>2.8571428571428572</v>
      </c>
      <c r="AT170" s="5">
        <f t="shared" si="293"/>
        <v>1.6198765385053269</v>
      </c>
      <c r="AU170" s="5">
        <f t="shared" ref="AU170:AU233" si="304">AS170-AT170</f>
        <v>1.2372663186375303</v>
      </c>
      <c r="AV170" s="5"/>
      <c r="AW170" s="177">
        <f t="shared" ref="AW170:AW233" si="305">AT170/AS170</f>
        <v>0.56695678847686437</v>
      </c>
      <c r="AX170" s="177">
        <f t="shared" si="259"/>
        <v>4.1327999999999996</v>
      </c>
      <c r="AY170" s="177">
        <f t="shared" si="260"/>
        <v>0.35073826925266349</v>
      </c>
      <c r="AZ170" s="177">
        <f t="shared" si="264"/>
        <v>11.783145331719787</v>
      </c>
      <c r="BA170" s="469">
        <f t="shared" si="294"/>
        <v>21.317779700075526</v>
      </c>
      <c r="BB170" s="469">
        <f t="shared" si="295"/>
        <v>18.58101677419355</v>
      </c>
      <c r="BC170" s="5">
        <f t="shared" si="258"/>
        <v>0.99439552275682985</v>
      </c>
      <c r="BD170" s="469">
        <f t="shared" si="296"/>
        <v>61.110398032076461</v>
      </c>
      <c r="BF170" s="177">
        <f t="shared" si="265"/>
        <v>0.70420040068228962</v>
      </c>
      <c r="BG170" s="177">
        <f t="shared" si="261"/>
        <v>0.61544168070221672</v>
      </c>
      <c r="BI170" s="538">
        <f t="shared" ref="BI170:BI210" si="306">Rdson*BF170^2</f>
        <v>5.45488024753207E-2</v>
      </c>
      <c r="BJ170" s="538">
        <f t="shared" ref="BJ170:BJ210" si="307">0.5*K170*AJ170*AN170*1000*Trise</f>
        <v>7.2003512136561768E-2</v>
      </c>
      <c r="BK170" s="538">
        <f t="shared" ref="BK170:BK210" si="308">Qg*Vdd*AN170*1000</f>
        <v>1.7499999999999998E-2</v>
      </c>
      <c r="BL170" s="538">
        <f t="shared" ref="BL170:BL210" si="309">0.5*(Coss+Csw)*K170^2*AN170*1000</f>
        <v>5.0806349999999993E-2</v>
      </c>
      <c r="BM170">
        <f t="shared" ref="BM170:BM210" si="310">I170*IQ</f>
        <v>2.6099999999999999E-3</v>
      </c>
      <c r="BN170">
        <f t="shared" si="297"/>
        <v>1.4E-5</v>
      </c>
      <c r="BO170" s="538">
        <f t="shared" si="298"/>
        <v>0.19949038654392917</v>
      </c>
      <c r="BP170" s="469">
        <f t="shared" ref="BP170:BP210" si="311">SUM(BI170:BM170)*1000</f>
        <v>197.46866461188245</v>
      </c>
      <c r="BQ170" s="538">
        <f t="shared" si="299"/>
        <v>0.2268</v>
      </c>
      <c r="BT170" s="469">
        <f t="shared" ref="BT170:BT210" si="312">SUM(BQ170:BS170)*1000</f>
        <v>226.8</v>
      </c>
      <c r="BU170" s="538">
        <f t="shared" ref="BU170:BU210" si="313">Rdcr_pri*BF170^2</f>
        <v>2.3803113807412669E-2</v>
      </c>
      <c r="BV170" s="538">
        <f t="shared" ref="BV170:BV210" si="314">Rdcr_sec*BG170^2</f>
        <v>9.0904430962936628E-2</v>
      </c>
      <c r="BW170" s="538">
        <f t="shared" ref="BW170:BW210" si="315">AJ170^2.5*AN170^2.5*k_core</f>
        <v>0</v>
      </c>
      <c r="BX170" s="538"/>
      <c r="BY170" s="538">
        <f t="shared" ref="BY170:BY210" si="316">0.5*Lleak*0.000000001*AJ170^2*AN170*1000</f>
        <v>4.5919999999999996E-2</v>
      </c>
      <c r="BZ170" s="469">
        <f t="shared" ref="BZ170:BZ210" si="317">SUM(BU170:BY170)*1000</f>
        <v>160.62754477034929</v>
      </c>
      <c r="CA170" s="177">
        <f t="shared" ref="CA170:CA210" si="318">SUM(BI170:BM170,BQ170:BS170,BU170:BY170)</f>
        <v>0.58489620938223175</v>
      </c>
      <c r="CB170" s="5">
        <f t="shared" ref="CB170:CB212" si="319">MIN(H170,O170)</f>
        <v>3.9060000000000001</v>
      </c>
      <c r="CC170" s="177">
        <f t="shared" ref="CC170:CC210" si="320">CB170/(CB170+CA170)</f>
        <v>0.86975957980051155</v>
      </c>
      <c r="CD170" s="5">
        <f t="shared" ref="CD170:CD210" si="321">CC170*100</f>
        <v>86.975957980051149</v>
      </c>
      <c r="CG170" s="571">
        <f t="shared" si="300"/>
        <v>-50</v>
      </c>
      <c r="CH170">
        <f t="shared" si="301"/>
        <v>-50</v>
      </c>
    </row>
    <row r="171" spans="5:86" x14ac:dyDescent="0.2">
      <c r="E171" s="174">
        <v>61</v>
      </c>
      <c r="F171" s="221">
        <f t="shared" si="302"/>
        <v>0.25619999999999998</v>
      </c>
      <c r="G171" s="221"/>
      <c r="H171" s="221">
        <f t="shared" si="266"/>
        <v>3.9710999999999999</v>
      </c>
      <c r="I171" s="551">
        <f t="shared" si="267"/>
        <v>9</v>
      </c>
      <c r="J171" s="451">
        <f t="shared" si="268"/>
        <v>16.399999999999999</v>
      </c>
      <c r="K171" s="451">
        <f t="shared" si="269"/>
        <v>25.4</v>
      </c>
      <c r="L171" s="451"/>
      <c r="M171" s="221">
        <f t="shared" si="270"/>
        <v>0.64566929133858264</v>
      </c>
      <c r="N171" s="176">
        <f t="shared" si="271"/>
        <v>10.799787401574802</v>
      </c>
      <c r="O171" s="176">
        <f t="shared" si="262"/>
        <v>3.9710999999999999</v>
      </c>
      <c r="P171" s="221">
        <f t="shared" si="272"/>
        <v>0.69676047752095494</v>
      </c>
      <c r="Q171" s="221">
        <f t="shared" si="273"/>
        <v>15.5</v>
      </c>
      <c r="R171" s="221"/>
      <c r="S171" s="176">
        <f t="shared" si="274"/>
        <v>55.955113765891333</v>
      </c>
      <c r="T171" s="176">
        <f t="shared" si="275"/>
        <v>15.5</v>
      </c>
      <c r="U171" s="221">
        <f t="shared" si="276"/>
        <v>1.5186079494128275</v>
      </c>
      <c r="V171" s="221">
        <f t="shared" si="277"/>
        <v>1.5186079494128277</v>
      </c>
      <c r="W171" s="221">
        <f t="shared" si="278"/>
        <v>0.83338241126313706</v>
      </c>
      <c r="X171" s="201">
        <f t="shared" si="279"/>
        <v>350</v>
      </c>
      <c r="Y171" s="451">
        <f t="shared" si="303"/>
        <v>350</v>
      </c>
      <c r="AA171" s="221">
        <f t="shared" si="280"/>
        <v>1.8447694038245221</v>
      </c>
      <c r="AB171" s="177">
        <f t="shared" si="281"/>
        <v>1.0123734533183355</v>
      </c>
      <c r="AC171" s="177">
        <f t="shared" si="282"/>
        <v>0.32682922508702178</v>
      </c>
      <c r="AD171" s="177"/>
      <c r="AE171" s="177">
        <f t="shared" si="283"/>
        <v>0.45</v>
      </c>
      <c r="AF171" s="555">
        <f t="shared" si="284"/>
        <v>1388.6178861788619</v>
      </c>
      <c r="AG171" s="538">
        <f t="shared" si="285"/>
        <v>6.4574999999999994E-2</v>
      </c>
      <c r="AI171" s="177">
        <f t="shared" si="286"/>
        <v>1.63331972783449</v>
      </c>
      <c r="AJ171" s="177">
        <f t="shared" si="287"/>
        <v>1.63331972783449</v>
      </c>
      <c r="AK171" s="177">
        <f t="shared" si="288"/>
        <v>1.74221315188966</v>
      </c>
      <c r="AM171" s="555">
        <f t="shared" si="289"/>
        <v>256.2</v>
      </c>
      <c r="AN171" s="469">
        <f t="shared" si="290"/>
        <v>350</v>
      </c>
      <c r="AP171">
        <f t="shared" si="291"/>
        <v>256.2</v>
      </c>
      <c r="AQ171">
        <f t="shared" si="292"/>
        <v>350</v>
      </c>
      <c r="AS171" s="5">
        <f t="shared" si="263"/>
        <v>2.8571428571428572</v>
      </c>
      <c r="AT171" s="5">
        <f t="shared" si="293"/>
        <v>1.63331972783449</v>
      </c>
      <c r="AU171" s="5">
        <f t="shared" si="304"/>
        <v>1.2238231293083672</v>
      </c>
      <c r="AV171" s="5"/>
      <c r="AW171" s="177">
        <f t="shared" si="305"/>
        <v>0.57166190474207146</v>
      </c>
      <c r="AX171" s="177">
        <f t="shared" si="259"/>
        <v>4.2016799999999996</v>
      </c>
      <c r="AY171" s="177">
        <f t="shared" si="260"/>
        <v>0.34980653058391187</v>
      </c>
      <c r="AZ171" s="177">
        <f t="shared" si="264"/>
        <v>12.011439560566172</v>
      </c>
      <c r="BA171" s="469">
        <f t="shared" si="294"/>
        <v>21.317779700075526</v>
      </c>
      <c r="BB171" s="469">
        <f t="shared" si="295"/>
        <v>19.197005393548384</v>
      </c>
      <c r="BC171" s="5">
        <f t="shared" si="258"/>
        <v>0.99998436806511426</v>
      </c>
      <c r="BD171" s="469">
        <f t="shared" si="296"/>
        <v>61.469839861684655</v>
      </c>
      <c r="BF171" s="177">
        <f t="shared" si="265"/>
        <v>0.71298469330864045</v>
      </c>
      <c r="BG171" s="177">
        <f t="shared" si="261"/>
        <v>0.61716875451697006</v>
      </c>
      <c r="BI171" s="538">
        <f t="shared" si="306"/>
        <v>5.5918189018165768E-2</v>
      </c>
      <c r="BJ171" s="538">
        <f t="shared" si="307"/>
        <v>7.260106190224308E-2</v>
      </c>
      <c r="BK171" s="538">
        <f t="shared" si="308"/>
        <v>1.7499999999999998E-2</v>
      </c>
      <c r="BL171" s="538">
        <f t="shared" si="309"/>
        <v>5.0806349999999993E-2</v>
      </c>
      <c r="BM171">
        <f t="shared" si="310"/>
        <v>2.6099999999999999E-3</v>
      </c>
      <c r="BN171">
        <f t="shared" si="297"/>
        <v>1.4E-5</v>
      </c>
      <c r="BO171" s="538">
        <f t="shared" si="298"/>
        <v>0.20152875410740953</v>
      </c>
      <c r="BP171" s="469">
        <f t="shared" si="311"/>
        <v>199.43560092040883</v>
      </c>
      <c r="BQ171" s="538">
        <f t="shared" si="299"/>
        <v>0.23057999999999998</v>
      </c>
      <c r="BT171" s="469">
        <f t="shared" si="312"/>
        <v>230.57999999999998</v>
      </c>
      <c r="BU171" s="538">
        <f t="shared" si="313"/>
        <v>2.4400664298835972E-2</v>
      </c>
      <c r="BV171" s="538">
        <f t="shared" si="314"/>
        <v>9.1415345172486728E-2</v>
      </c>
      <c r="BW171" s="538">
        <f t="shared" si="315"/>
        <v>0</v>
      </c>
      <c r="BX171" s="538"/>
      <c r="BY171" s="538">
        <f t="shared" si="316"/>
        <v>4.6685333333333315E-2</v>
      </c>
      <c r="BZ171" s="469">
        <f t="shared" si="317"/>
        <v>162.50134280465599</v>
      </c>
      <c r="CA171" s="177">
        <f t="shared" si="318"/>
        <v>0.59251694372506492</v>
      </c>
      <c r="CB171" s="5">
        <f t="shared" si="319"/>
        <v>3.9710999999999999</v>
      </c>
      <c r="CC171" s="177">
        <f t="shared" si="320"/>
        <v>0.87016505744642503</v>
      </c>
      <c r="CD171" s="5">
        <f t="shared" si="321"/>
        <v>87.016505744642501</v>
      </c>
      <c r="CG171" s="571">
        <f t="shared" si="300"/>
        <v>-50</v>
      </c>
      <c r="CH171">
        <f t="shared" si="301"/>
        <v>-50</v>
      </c>
    </row>
    <row r="172" spans="5:86" x14ac:dyDescent="0.2">
      <c r="E172" s="174">
        <v>62</v>
      </c>
      <c r="F172" s="221">
        <f t="shared" si="302"/>
        <v>0.26039999999999996</v>
      </c>
      <c r="G172" s="221"/>
      <c r="H172" s="221">
        <f t="shared" si="266"/>
        <v>4.0361999999999991</v>
      </c>
      <c r="I172" s="551">
        <f t="shared" si="267"/>
        <v>9</v>
      </c>
      <c r="J172" s="451">
        <f t="shared" si="268"/>
        <v>16.399999999999999</v>
      </c>
      <c r="K172" s="451">
        <f t="shared" si="269"/>
        <v>25.4</v>
      </c>
      <c r="L172" s="451"/>
      <c r="M172" s="221">
        <f t="shared" si="270"/>
        <v>0.64566929133858264</v>
      </c>
      <c r="N172" s="176">
        <f t="shared" si="271"/>
        <v>10.799787401574802</v>
      </c>
      <c r="O172" s="176">
        <f t="shared" si="262"/>
        <v>4.0361999999999991</v>
      </c>
      <c r="P172" s="221">
        <f t="shared" si="272"/>
        <v>0.69676047752095494</v>
      </c>
      <c r="Q172" s="221">
        <f t="shared" si="273"/>
        <v>15.5</v>
      </c>
      <c r="R172" s="221"/>
      <c r="S172" s="176">
        <f t="shared" si="274"/>
        <v>54.912410119103015</v>
      </c>
      <c r="T172" s="176">
        <f t="shared" si="275"/>
        <v>15.5</v>
      </c>
      <c r="U172" s="221">
        <f t="shared" si="276"/>
        <v>1.5435031616982835</v>
      </c>
      <c r="V172" s="221">
        <f t="shared" si="277"/>
        <v>1.5435031616982835</v>
      </c>
      <c r="W172" s="221">
        <f t="shared" si="278"/>
        <v>0.84704441800515562</v>
      </c>
      <c r="X172" s="201">
        <f t="shared" si="279"/>
        <v>350</v>
      </c>
      <c r="Y172" s="451">
        <f t="shared" si="303"/>
        <v>350</v>
      </c>
      <c r="AA172" s="221">
        <f t="shared" si="280"/>
        <v>1.8447694038245221</v>
      </c>
      <c r="AB172" s="177">
        <f t="shared" si="281"/>
        <v>1.0123734533183355</v>
      </c>
      <c r="AC172" s="177">
        <f t="shared" si="282"/>
        <v>0.32682922508702178</v>
      </c>
      <c r="AD172" s="177"/>
      <c r="AE172" s="177">
        <f t="shared" si="283"/>
        <v>0.45</v>
      </c>
      <c r="AF172" s="555">
        <f t="shared" si="284"/>
        <v>1411.3821138211381</v>
      </c>
      <c r="AG172" s="538">
        <f t="shared" si="285"/>
        <v>6.4574999999999994E-2</v>
      </c>
      <c r="AI172" s="177">
        <f t="shared" si="286"/>
        <v>1.6466531713347126</v>
      </c>
      <c r="AJ172" s="177">
        <f t="shared" si="287"/>
        <v>1.6466531713347126</v>
      </c>
      <c r="AK172" s="177">
        <f t="shared" si="288"/>
        <v>1.7511021142231415</v>
      </c>
      <c r="AM172" s="555">
        <f t="shared" si="289"/>
        <v>260.39999999999998</v>
      </c>
      <c r="AN172" s="469">
        <f t="shared" si="290"/>
        <v>350</v>
      </c>
      <c r="AP172">
        <f t="shared" si="291"/>
        <v>260.39999999999998</v>
      </c>
      <c r="AQ172">
        <f t="shared" si="292"/>
        <v>350</v>
      </c>
      <c r="AS172" s="5">
        <f t="shared" si="263"/>
        <v>2.8571428571428572</v>
      </c>
      <c r="AT172" s="5">
        <f t="shared" si="293"/>
        <v>1.6466531713347126</v>
      </c>
      <c r="AU172" s="5">
        <f t="shared" si="304"/>
        <v>1.2104896858081446</v>
      </c>
      <c r="AV172" s="5"/>
      <c r="AW172" s="177">
        <f t="shared" si="305"/>
        <v>0.57632860996714941</v>
      </c>
      <c r="AX172" s="177">
        <f t="shared" si="259"/>
        <v>4.2705599999999988</v>
      </c>
      <c r="AY172" s="177">
        <f t="shared" si="260"/>
        <v>0.3488199190006897</v>
      </c>
      <c r="AZ172" s="177">
        <f t="shared" si="264"/>
        <v>12.242878824794277</v>
      </c>
      <c r="BA172" s="469">
        <f t="shared" si="294"/>
        <v>21.317779700075526</v>
      </c>
      <c r="BB172" s="469">
        <f t="shared" si="295"/>
        <v>19.82303679999999</v>
      </c>
      <c r="BC172" s="5">
        <f t="shared" si="258"/>
        <v>1.0053042119051094</v>
      </c>
      <c r="BD172" s="469">
        <f t="shared" si="296"/>
        <v>61.813141603195461</v>
      </c>
      <c r="BF172" s="177">
        <f t="shared" si="265"/>
        <v>0.72173305660109077</v>
      </c>
      <c r="BG172" s="177">
        <f t="shared" si="261"/>
        <v>0.61880822330627505</v>
      </c>
      <c r="BI172" s="538">
        <f t="shared" si="306"/>
        <v>5.729884654898286E-2</v>
      </c>
      <c r="BJ172" s="538">
        <f t="shared" si="307"/>
        <v>7.319373346582797E-2</v>
      </c>
      <c r="BK172" s="538">
        <f t="shared" si="308"/>
        <v>1.7499999999999998E-2</v>
      </c>
      <c r="BL172" s="538">
        <f t="shared" si="309"/>
        <v>5.0806349999999993E-2</v>
      </c>
      <c r="BM172">
        <f t="shared" si="310"/>
        <v>2.6099999999999999E-3</v>
      </c>
      <c r="BN172">
        <f t="shared" si="297"/>
        <v>1.4E-5</v>
      </c>
      <c r="BO172" s="538">
        <f t="shared" si="298"/>
        <v>0.20357505160092265</v>
      </c>
      <c r="BP172" s="469">
        <f t="shared" si="311"/>
        <v>201.40893001481084</v>
      </c>
      <c r="BQ172" s="538">
        <f t="shared" si="299"/>
        <v>0.23435999999999998</v>
      </c>
      <c r="BT172" s="469">
        <f t="shared" si="312"/>
        <v>234.35999999999999</v>
      </c>
      <c r="BU172" s="538">
        <f t="shared" si="313"/>
        <v>2.5003133039556157E-2</v>
      </c>
      <c r="BV172" s="538">
        <f t="shared" si="314"/>
        <v>9.1901668135552506E-2</v>
      </c>
      <c r="BW172" s="538">
        <f t="shared" si="315"/>
        <v>0</v>
      </c>
      <c r="BX172" s="538"/>
      <c r="BY172" s="538">
        <f t="shared" si="316"/>
        <v>4.7450666666666655E-2</v>
      </c>
      <c r="BZ172" s="469">
        <f t="shared" si="317"/>
        <v>164.35546784177532</v>
      </c>
      <c r="CA172" s="177">
        <f t="shared" si="318"/>
        <v>0.60012439785658611</v>
      </c>
      <c r="CB172" s="5">
        <f t="shared" si="319"/>
        <v>4.0361999999999991</v>
      </c>
      <c r="CC172" s="177">
        <f t="shared" si="320"/>
        <v>0.87056030890892167</v>
      </c>
      <c r="CD172" s="5">
        <f t="shared" si="321"/>
        <v>87.05603089089216</v>
      </c>
      <c r="CG172" s="571">
        <f t="shared" si="300"/>
        <v>-50</v>
      </c>
      <c r="CH172">
        <f t="shared" si="301"/>
        <v>-50</v>
      </c>
    </row>
    <row r="173" spans="5:86" x14ac:dyDescent="0.2">
      <c r="E173" s="174">
        <v>63</v>
      </c>
      <c r="F173" s="221">
        <f t="shared" si="302"/>
        <v>0.2646</v>
      </c>
      <c r="G173" s="221"/>
      <c r="H173" s="221">
        <f t="shared" si="266"/>
        <v>4.1013000000000002</v>
      </c>
      <c r="I173" s="551">
        <f t="shared" si="267"/>
        <v>9</v>
      </c>
      <c r="J173" s="451">
        <f t="shared" si="268"/>
        <v>16.399999999999999</v>
      </c>
      <c r="K173" s="451">
        <f t="shared" si="269"/>
        <v>25.4</v>
      </c>
      <c r="L173" s="451"/>
      <c r="M173" s="221">
        <f t="shared" si="270"/>
        <v>0.64566929133858264</v>
      </c>
      <c r="N173" s="176">
        <f t="shared" si="271"/>
        <v>10.799787401574802</v>
      </c>
      <c r="O173" s="176">
        <f t="shared" si="262"/>
        <v>4.1013000000000002</v>
      </c>
      <c r="P173" s="221">
        <f t="shared" si="272"/>
        <v>0.69676047752095494</v>
      </c>
      <c r="Q173" s="221">
        <f t="shared" si="273"/>
        <v>15.5</v>
      </c>
      <c r="R173" s="221"/>
      <c r="S173" s="176">
        <f t="shared" si="274"/>
        <v>53.902904426197345</v>
      </c>
      <c r="T173" s="176">
        <f t="shared" si="275"/>
        <v>15.5</v>
      </c>
      <c r="U173" s="221">
        <f t="shared" si="276"/>
        <v>1.5683983739837402</v>
      </c>
      <c r="V173" s="221">
        <f t="shared" si="277"/>
        <v>1.5683983739837404</v>
      </c>
      <c r="W173" s="221">
        <f t="shared" si="278"/>
        <v>0.86070642474717463</v>
      </c>
      <c r="X173" s="201">
        <f t="shared" si="279"/>
        <v>350</v>
      </c>
      <c r="Y173" s="451">
        <f t="shared" si="303"/>
        <v>350</v>
      </c>
      <c r="AA173" s="221">
        <f t="shared" si="280"/>
        <v>1.8447694038245221</v>
      </c>
      <c r="AB173" s="177">
        <f t="shared" si="281"/>
        <v>1.0123734533183355</v>
      </c>
      <c r="AC173" s="177">
        <f t="shared" si="282"/>
        <v>0.32682922508702178</v>
      </c>
      <c r="AD173" s="177"/>
      <c r="AE173" s="177">
        <f t="shared" si="283"/>
        <v>0.45</v>
      </c>
      <c r="AF173" s="555">
        <f t="shared" si="284"/>
        <v>1434.1463414634147</v>
      </c>
      <c r="AG173" s="538">
        <f t="shared" si="285"/>
        <v>6.4574999999999994E-2</v>
      </c>
      <c r="AI173" s="177">
        <f t="shared" si="286"/>
        <v>1.6598795136997142</v>
      </c>
      <c r="AJ173" s="177">
        <f t="shared" si="287"/>
        <v>1.6598795136997142</v>
      </c>
      <c r="AK173" s="177">
        <f t="shared" si="288"/>
        <v>1.7599196757998095</v>
      </c>
      <c r="AM173" s="555">
        <f t="shared" si="289"/>
        <v>264.60000000000002</v>
      </c>
      <c r="AN173" s="469">
        <f t="shared" si="290"/>
        <v>350</v>
      </c>
      <c r="AP173">
        <f t="shared" si="291"/>
        <v>264.60000000000002</v>
      </c>
      <c r="AQ173">
        <f t="shared" si="292"/>
        <v>350</v>
      </c>
      <c r="AS173" s="5">
        <f t="shared" si="263"/>
        <v>2.8571428571428572</v>
      </c>
      <c r="AT173" s="5">
        <f t="shared" si="293"/>
        <v>1.6598795136997144</v>
      </c>
      <c r="AU173" s="5">
        <f t="shared" si="304"/>
        <v>1.1972633434431428</v>
      </c>
      <c r="AV173" s="5"/>
      <c r="AW173" s="177">
        <f t="shared" si="305"/>
        <v>0.58095782979490007</v>
      </c>
      <c r="AX173" s="177">
        <f t="shared" si="259"/>
        <v>4.3394399999999997</v>
      </c>
      <c r="AY173" s="177">
        <f t="shared" si="260"/>
        <v>0.34777975684985707</v>
      </c>
      <c r="AZ173" s="177">
        <f t="shared" si="264"/>
        <v>12.477551998155592</v>
      </c>
      <c r="BA173" s="469">
        <f t="shared" si="294"/>
        <v>21.317779700075526</v>
      </c>
      <c r="BB173" s="469">
        <f t="shared" si="295"/>
        <v>20.459110993548382</v>
      </c>
      <c r="BC173" s="5">
        <f t="shared" si="258"/>
        <v>1.0103572326056298</v>
      </c>
      <c r="BD173" s="469">
        <f t="shared" si="296"/>
        <v>62.140433956337787</v>
      </c>
      <c r="BF173" s="177">
        <f t="shared" si="265"/>
        <v>0.73044621354596417</v>
      </c>
      <c r="BG173" s="177">
        <f t="shared" si="261"/>
        <v>0.62036145037902202</v>
      </c>
      <c r="BI173" s="538">
        <f t="shared" si="306"/>
        <v>5.8690683797199994E-2</v>
      </c>
      <c r="BJ173" s="538">
        <f t="shared" si="307"/>
        <v>7.3781644383952308E-2</v>
      </c>
      <c r="BK173" s="538">
        <f t="shared" si="308"/>
        <v>1.7499999999999998E-2</v>
      </c>
      <c r="BL173" s="538">
        <f t="shared" si="309"/>
        <v>5.0806349999999993E-2</v>
      </c>
      <c r="BM173">
        <f t="shared" si="310"/>
        <v>2.6099999999999999E-3</v>
      </c>
      <c r="BN173">
        <f t="shared" si="297"/>
        <v>1.4E-5</v>
      </c>
      <c r="BO173" s="538">
        <f t="shared" si="298"/>
        <v>0.20562932112960169</v>
      </c>
      <c r="BP173" s="469">
        <f t="shared" si="311"/>
        <v>203.38867818115227</v>
      </c>
      <c r="BQ173" s="538">
        <f t="shared" si="299"/>
        <v>0.23814000000000002</v>
      </c>
      <c r="BT173" s="469">
        <f t="shared" si="312"/>
        <v>238.14000000000001</v>
      </c>
      <c r="BU173" s="538">
        <f t="shared" si="313"/>
        <v>2.5610480202414545E-2</v>
      </c>
      <c r="BV173" s="538">
        <f t="shared" si="314"/>
        <v>9.2363598987927314E-2</v>
      </c>
      <c r="BW173" s="538">
        <f t="shared" si="315"/>
        <v>0</v>
      </c>
      <c r="BX173" s="538"/>
      <c r="BY173" s="538">
        <f t="shared" si="316"/>
        <v>4.8216000000000002E-2</v>
      </c>
      <c r="BZ173" s="469">
        <f t="shared" si="317"/>
        <v>166.19007919034186</v>
      </c>
      <c r="CA173" s="177">
        <f t="shared" si="318"/>
        <v>0.60771875737149417</v>
      </c>
      <c r="CB173" s="5">
        <f t="shared" si="319"/>
        <v>4.1013000000000002</v>
      </c>
      <c r="CC173" s="177">
        <f t="shared" si="320"/>
        <v>0.87094577688394825</v>
      </c>
      <c r="CD173" s="5">
        <f t="shared" si="321"/>
        <v>87.094577688394821</v>
      </c>
      <c r="CG173" s="571">
        <f t="shared" si="300"/>
        <v>-50</v>
      </c>
      <c r="CH173">
        <f t="shared" si="301"/>
        <v>-50</v>
      </c>
    </row>
    <row r="174" spans="5:86" x14ac:dyDescent="0.2">
      <c r="E174" s="174">
        <v>64</v>
      </c>
      <c r="F174" s="221">
        <f t="shared" si="302"/>
        <v>0.26879999999999998</v>
      </c>
      <c r="G174" s="221"/>
      <c r="H174" s="221">
        <f t="shared" ref="H174:H205" si="322">F174*Vout</f>
        <v>4.1663999999999994</v>
      </c>
      <c r="I174" s="551">
        <f t="shared" ref="I174:I212" si="323">VIN_min</f>
        <v>9</v>
      </c>
      <c r="J174" s="451">
        <f t="shared" ref="J174:J210" si="324">(T174+Vfwd1)*Nps</f>
        <v>16.399999999999999</v>
      </c>
      <c r="K174" s="451">
        <f t="shared" ref="K174:K210" si="325">(Vout+Vfwd1)*Nps+I174</f>
        <v>25.4</v>
      </c>
      <c r="L174" s="451"/>
      <c r="M174" s="221">
        <f t="shared" ref="M174:M210" si="326">(Vout+Vfwd1)*Nps/((Vout+Vfwd1)*Nps+I174)</f>
        <v>0.64566929133858264</v>
      </c>
      <c r="N174" s="176">
        <f t="shared" ref="N174:N205" si="327">M174*I174*(Isw_max+VIN_min/Lmag*ILIM_delay)*0.5*Efficiency</f>
        <v>10.799787401574802</v>
      </c>
      <c r="O174" s="176">
        <f t="shared" si="262"/>
        <v>4.1663999999999994</v>
      </c>
      <c r="P174" s="221">
        <f t="shared" ref="P174:P205" si="328">N174/Vout</f>
        <v>0.69676047752095494</v>
      </c>
      <c r="Q174" s="221">
        <f t="shared" ref="Q174:Q210" si="329">MIN(Vout,N174/F174)</f>
        <v>15.5</v>
      </c>
      <c r="R174" s="221"/>
      <c r="S174" s="176">
        <f t="shared" ref="S174:S210" si="330">(SQRT(Isw_max^2*Nps^2*I174^2+4*Isw_max*F174/Efficiency*(Nps^2*Vfwd1*I174-Nps*I174^2)+4*(F174/Efficiency)^2*Nps^2*Vfwd1^2+8*(F174/Efficiency)^2*Nps*Vfwd1*I174+4*(F174/Efficiency)^2*I174^2)-2*F174/Efficiency*I174-2*F174/Efficiency*Nps*Vfwd1+Isw_max*Nps*I174)/(4*F174/Efficiency*Nps)</f>
        <v>52.925041147977403</v>
      </c>
      <c r="T174" s="176">
        <f t="shared" ref="T174:T205" si="331">MIN(Vout, S174)</f>
        <v>15.5</v>
      </c>
      <c r="U174" s="221">
        <f t="shared" ref="U174:U210" si="332">MIN(2*Vout*F174/(Efficiency*I174*M174), Isw_max)</f>
        <v>1.5932935862691959</v>
      </c>
      <c r="V174" s="221">
        <f t="shared" ref="V174:V205" si="333">L*U174/I174*1000000</f>
        <v>1.5932935862691961</v>
      </c>
      <c r="W174" s="221">
        <f t="shared" ref="W174:W210" si="334">L*U174/J174*1000000</f>
        <v>0.87436843148919297</v>
      </c>
      <c r="X174" s="201">
        <f t="shared" ref="X174:X210" si="335">IF(1/((350000*L)*(1/I174+1/J174))&gt;Isw_min, 350, 0.001/((Isw_min*L)*(1/I174+1/J174)))</f>
        <v>350</v>
      </c>
      <c r="Y174" s="451">
        <f t="shared" si="303"/>
        <v>350</v>
      </c>
      <c r="AA174" s="221">
        <f t="shared" ref="AA174:AA210" si="336">1/((X174*1000*L)*(1/I174+1/J174))</f>
        <v>1.8447694038245221</v>
      </c>
      <c r="AB174" s="177">
        <f t="shared" ref="AB174:AB205" si="337">L*AA174/J174*1000000</f>
        <v>1.0123734533183355</v>
      </c>
      <c r="AC174" s="177">
        <f t="shared" ref="AC174:AC205" si="338">0.5*AB174*AA174*Nps*X174/1000</f>
        <v>0.32682922508702178</v>
      </c>
      <c r="AD174" s="177"/>
      <c r="AE174" s="177">
        <f t="shared" ref="AE174:AE210" si="339">L*Isw_min/J174*1000000</f>
        <v>0.45</v>
      </c>
      <c r="AF174" s="555">
        <f t="shared" ref="AF174:AF205" si="340">MAX(12000,F174/(0.5*AE174/1000000*Isw_min*Nps))/1000</f>
        <v>1456.9105691056911</v>
      </c>
      <c r="AG174" s="538">
        <f t="shared" ref="AG174:AG210" si="341">0.5*AE174/1000000*Isw_min*Nps*X174*1000</f>
        <v>6.4574999999999994E-2</v>
      </c>
      <c r="AI174" s="177">
        <f t="shared" ref="AI174:AI210" si="342">SQRT(F174/(0.5*L/J174*Fsw_DCM*Nps))</f>
        <v>1.6730012950781996</v>
      </c>
      <c r="AJ174" s="177">
        <f t="shared" ref="AJ174:AJ205" si="343">MAX(IF(F174&gt;AC174,U174,AI174),Isw_min)</f>
        <v>1.6730012950781996</v>
      </c>
      <c r="AK174" s="177">
        <f t="shared" ref="AK174:AK205" si="344">IF(F174&gt;AG174, (AJ174-Isw_min)/1.2*0.8+1.2, AF174*0.2/350+1)</f>
        <v>1.7686675300521331</v>
      </c>
      <c r="AM174" s="555">
        <f t="shared" ref="AM174:AM210" si="345">F174*1000</f>
        <v>268.8</v>
      </c>
      <c r="AN174" s="469">
        <f t="shared" ref="AN174:AN210" si="346">IF(F174&gt;AG174, Y174, AF174)</f>
        <v>350</v>
      </c>
      <c r="AP174">
        <f t="shared" ref="AP174:AP210" si="347">IF(H174&gt;N174, "",AM174)</f>
        <v>268.8</v>
      </c>
      <c r="AQ174">
        <f t="shared" ref="AQ174:AQ210" si="348">IF(H174&gt;N174, "",AN174)</f>
        <v>350</v>
      </c>
      <c r="AS174" s="5">
        <f t="shared" si="263"/>
        <v>2.8571428571428572</v>
      </c>
      <c r="AT174" s="5">
        <f t="shared" ref="AT174:AT210" si="349">L*AJ174/I174*1000000</f>
        <v>1.6730012950781996</v>
      </c>
      <c r="AU174" s="5">
        <f t="shared" si="304"/>
        <v>1.1841415620646576</v>
      </c>
      <c r="AV174" s="5"/>
      <c r="AW174" s="177">
        <f t="shared" si="305"/>
        <v>0.58555045327736988</v>
      </c>
      <c r="AX174" s="177">
        <f t="shared" si="259"/>
        <v>4.4083199999999998</v>
      </c>
      <c r="AY174" s="177">
        <f t="shared" si="260"/>
        <v>0.34668731420576648</v>
      </c>
      <c r="AZ174" s="177">
        <f t="shared" si="264"/>
        <v>12.715550351471949</v>
      </c>
      <c r="BA174" s="469">
        <f t="shared" ref="BA174:BA210" si="350">L*Isw_max^2/(2*Vout_ripple*Vout)*1000000000*((1+M174)/2)^2</f>
        <v>21.317779700075526</v>
      </c>
      <c r="BB174" s="469">
        <f t="shared" ref="BB174:BB210" si="351">L*F174^2/(2*Cout*Vout*Nps^2)*1000000000*((1+M174)/(1-M174))^2+F174*RCoutEsr</f>
        <v>21.105227974193539</v>
      </c>
      <c r="BC174" s="5">
        <f t="shared" si="258"/>
        <v>1.015145556416911</v>
      </c>
      <c r="BD174" s="469">
        <f t="shared" ref="BD174:BD210" si="352">((CB174/I174/Efficiency)*AU174/Cin+(CB174/I174/Efficiency)*RCinEsr)*1000</f>
        <v>62.45184449612578</v>
      </c>
      <c r="BF174" s="177">
        <f t="shared" si="265"/>
        <v>0.73912486135665267</v>
      </c>
      <c r="BG174" s="177">
        <f t="shared" si="261"/>
        <v>0.62182973320860646</v>
      </c>
      <c r="BI174" s="538">
        <f t="shared" si="306"/>
        <v>6.0093611674304021E-2</v>
      </c>
      <c r="BJ174" s="538">
        <f t="shared" si="307"/>
        <v>7.4364907566225963E-2</v>
      </c>
      <c r="BK174" s="538">
        <f t="shared" si="308"/>
        <v>1.7499999999999998E-2</v>
      </c>
      <c r="BL174" s="538">
        <f t="shared" si="309"/>
        <v>5.0806349999999993E-2</v>
      </c>
      <c r="BM174">
        <f t="shared" si="310"/>
        <v>2.6099999999999999E-3</v>
      </c>
      <c r="BN174">
        <f t="shared" ref="BN174:BN210" si="353">(I174-Vdd)*Qg*AN174</f>
        <v>1.4E-5</v>
      </c>
      <c r="BO174" s="538">
        <f t="shared" ref="BO174:BO205" si="354">(BJ174+BK174+BL174+BM174+BN174+BI174*(1+RdsonTC*(Ta-25)))/(1-BI174*RdsonTC*ThetaJA)</f>
        <v>0.20769160239420267</v>
      </c>
      <c r="BP174" s="469">
        <f t="shared" si="311"/>
        <v>205.37486924052996</v>
      </c>
      <c r="BQ174" s="538">
        <f t="shared" ref="BQ174:BQ210" si="355">(Vfwd2*F174+BG174^2*Rdiode)*(1+Diode_TC/1000*(Ta-25))</f>
        <v>0.24192</v>
      </c>
      <c r="BT174" s="469">
        <f t="shared" si="312"/>
        <v>241.92</v>
      </c>
      <c r="BU174" s="538">
        <f t="shared" si="313"/>
        <v>2.6222666912423573E-2</v>
      </c>
      <c r="BV174" s="538">
        <f t="shared" si="314"/>
        <v>9.28013321045488E-2</v>
      </c>
      <c r="BW174" s="538">
        <f t="shared" si="315"/>
        <v>0</v>
      </c>
      <c r="BX174" s="538"/>
      <c r="BY174" s="538">
        <f t="shared" si="316"/>
        <v>4.8981333333333335E-2</v>
      </c>
      <c r="BZ174" s="469">
        <f t="shared" si="317"/>
        <v>168.00533235030571</v>
      </c>
      <c r="CA174" s="177">
        <f t="shared" si="318"/>
        <v>0.61530020159083565</v>
      </c>
      <c r="CB174" s="5">
        <f t="shared" si="319"/>
        <v>4.1663999999999994</v>
      </c>
      <c r="CC174" s="177">
        <f t="shared" si="320"/>
        <v>0.87132187806627226</v>
      </c>
      <c r="CD174" s="5">
        <f t="shared" si="321"/>
        <v>87.132187806627229</v>
      </c>
      <c r="CG174" s="571">
        <f t="shared" ref="CG174:CG210" si="356">IF(ABS(F174-Ioutmax_Vinmin)&lt;Iout/200, AN174, -50)</f>
        <v>-50</v>
      </c>
      <c r="CH174">
        <f t="shared" ref="CH174:CH210" si="357">IF(ABS(F174-Ioutmax_Vinmin)&lt;Iout/200, N174*CC174, -50)</f>
        <v>-50</v>
      </c>
    </row>
    <row r="175" spans="5:86" x14ac:dyDescent="0.2">
      <c r="E175" s="174">
        <v>65</v>
      </c>
      <c r="F175" s="221">
        <f t="shared" ref="F175:F206" si="358">IF(PLOT_TYPE=1, E175/100*Iout_max, min_I*EXP(N175*rr/100))</f>
        <v>0.27300000000000002</v>
      </c>
      <c r="G175" s="221"/>
      <c r="H175" s="221">
        <f t="shared" si="322"/>
        <v>4.2315000000000005</v>
      </c>
      <c r="I175" s="551">
        <f t="shared" si="323"/>
        <v>9</v>
      </c>
      <c r="J175" s="451">
        <f t="shared" si="324"/>
        <v>16.399999999999999</v>
      </c>
      <c r="K175" s="451">
        <f t="shared" si="325"/>
        <v>25.4</v>
      </c>
      <c r="L175" s="451"/>
      <c r="M175" s="221">
        <f t="shared" si="326"/>
        <v>0.64566929133858264</v>
      </c>
      <c r="N175" s="176">
        <f t="shared" si="327"/>
        <v>10.799787401574802</v>
      </c>
      <c r="O175" s="176">
        <f t="shared" si="262"/>
        <v>4.2315000000000005</v>
      </c>
      <c r="P175" s="221">
        <f t="shared" si="328"/>
        <v>0.69676047752095494</v>
      </c>
      <c r="Q175" s="221">
        <f t="shared" si="329"/>
        <v>15.5</v>
      </c>
      <c r="R175" s="221"/>
      <c r="S175" s="176">
        <f t="shared" si="330"/>
        <v>51.977360474983648</v>
      </c>
      <c r="T175" s="176">
        <f t="shared" si="331"/>
        <v>15.5</v>
      </c>
      <c r="U175" s="221">
        <f t="shared" si="332"/>
        <v>1.6181887985546526</v>
      </c>
      <c r="V175" s="221">
        <f t="shared" si="333"/>
        <v>1.6181887985546526</v>
      </c>
      <c r="W175" s="221">
        <f t="shared" si="334"/>
        <v>0.88803043823121197</v>
      </c>
      <c r="X175" s="201">
        <f t="shared" si="335"/>
        <v>350</v>
      </c>
      <c r="Y175" s="451">
        <f t="shared" si="303"/>
        <v>350</v>
      </c>
      <c r="AA175" s="221">
        <f t="shared" si="336"/>
        <v>1.8447694038245221</v>
      </c>
      <c r="AB175" s="177">
        <f t="shared" si="337"/>
        <v>1.0123734533183355</v>
      </c>
      <c r="AC175" s="177">
        <f t="shared" si="338"/>
        <v>0.32682922508702178</v>
      </c>
      <c r="AD175" s="177"/>
      <c r="AE175" s="177">
        <f t="shared" si="339"/>
        <v>0.45</v>
      </c>
      <c r="AF175" s="555">
        <f t="shared" si="340"/>
        <v>1479.6747967479675</v>
      </c>
      <c r="AG175" s="538">
        <f t="shared" si="341"/>
        <v>6.4574999999999994E-2</v>
      </c>
      <c r="AI175" s="177">
        <f t="shared" si="342"/>
        <v>1.6860209567697153</v>
      </c>
      <c r="AJ175" s="177">
        <f t="shared" si="343"/>
        <v>1.6860209567697153</v>
      </c>
      <c r="AK175" s="177">
        <f t="shared" si="344"/>
        <v>1.7773473045131434</v>
      </c>
      <c r="AM175" s="555">
        <f t="shared" si="345"/>
        <v>273</v>
      </c>
      <c r="AN175" s="469">
        <f t="shared" si="346"/>
        <v>350</v>
      </c>
      <c r="AP175">
        <f t="shared" si="347"/>
        <v>273</v>
      </c>
      <c r="AQ175">
        <f t="shared" si="348"/>
        <v>350</v>
      </c>
      <c r="AS175" s="5">
        <f t="shared" si="263"/>
        <v>2.8571428571428572</v>
      </c>
      <c r="AT175" s="5">
        <f t="shared" si="349"/>
        <v>1.6860209567697153</v>
      </c>
      <c r="AU175" s="5">
        <f t="shared" si="304"/>
        <v>1.1711219003731419</v>
      </c>
      <c r="AV175" s="5"/>
      <c r="AW175" s="177">
        <f t="shared" si="305"/>
        <v>0.59010733486940037</v>
      </c>
      <c r="AX175" s="177">
        <f t="shared" si="259"/>
        <v>4.4771999999999998</v>
      </c>
      <c r="AY175" s="177">
        <f t="shared" si="260"/>
        <v>0.34554381171819104</v>
      </c>
      <c r="AZ175" s="177">
        <f t="shared" si="264"/>
        <v>12.956967678678586</v>
      </c>
      <c r="BA175" s="469">
        <f t="shared" si="350"/>
        <v>21.317779700075526</v>
      </c>
      <c r="BB175" s="469">
        <f t="shared" si="351"/>
        <v>21.761387741935479</v>
      </c>
      <c r="BC175" s="5">
        <f t="shared" si="258"/>
        <v>1.0196712595532818</v>
      </c>
      <c r="BD175" s="469">
        <f t="shared" si="352"/>
        <v>62.747497795419143</v>
      </c>
      <c r="BF175" s="177">
        <f t="shared" si="265"/>
        <v>0.74776967278004991</v>
      </c>
      <c r="BG175" s="177">
        <f t="shared" si="261"/>
        <v>0.62321430666021504</v>
      </c>
      <c r="BI175" s="538">
        <f t="shared" si="306"/>
        <v>6.1507543188254118E-2</v>
      </c>
      <c r="BJ175" s="538">
        <f t="shared" si="307"/>
        <v>7.4943631528413851E-2</v>
      </c>
      <c r="BK175" s="538">
        <f t="shared" si="308"/>
        <v>1.7499999999999998E-2</v>
      </c>
      <c r="BL175" s="538">
        <f t="shared" si="309"/>
        <v>5.0806349999999993E-2</v>
      </c>
      <c r="BM175">
        <f t="shared" si="310"/>
        <v>2.6099999999999999E-3</v>
      </c>
      <c r="BN175">
        <f t="shared" si="353"/>
        <v>1.4E-5</v>
      </c>
      <c r="BO175" s="538">
        <f t="shared" si="354"/>
        <v>0.20976193285782901</v>
      </c>
      <c r="BP175" s="469">
        <f t="shared" si="311"/>
        <v>207.36752471666796</v>
      </c>
      <c r="BQ175" s="538">
        <f t="shared" si="355"/>
        <v>0.24570000000000003</v>
      </c>
      <c r="BT175" s="469">
        <f t="shared" si="312"/>
        <v>245.70000000000002</v>
      </c>
      <c r="BU175" s="538">
        <f t="shared" si="313"/>
        <v>2.6839655209419978E-2</v>
      </c>
      <c r="BV175" s="538">
        <f t="shared" si="314"/>
        <v>9.3215057286233402E-2</v>
      </c>
      <c r="BW175" s="538">
        <f t="shared" si="315"/>
        <v>0</v>
      </c>
      <c r="BX175" s="538"/>
      <c r="BY175" s="538">
        <f t="shared" si="316"/>
        <v>4.9746666666666668E-2</v>
      </c>
      <c r="BZ175" s="469">
        <f t="shared" si="317"/>
        <v>169.80137916232005</v>
      </c>
      <c r="CA175" s="177">
        <f t="shared" si="318"/>
        <v>0.62286890387898808</v>
      </c>
      <c r="CB175" s="5">
        <f t="shared" si="319"/>
        <v>4.2315000000000005</v>
      </c>
      <c r="CC175" s="177">
        <f t="shared" si="320"/>
        <v>0.87168900505660551</v>
      </c>
      <c r="CD175" s="5">
        <f t="shared" si="321"/>
        <v>87.168900505660545</v>
      </c>
      <c r="CG175" s="571">
        <f t="shared" si="356"/>
        <v>-50</v>
      </c>
      <c r="CH175">
        <f t="shared" si="357"/>
        <v>-50</v>
      </c>
    </row>
    <row r="176" spans="5:86" x14ac:dyDescent="0.2">
      <c r="E176" s="174">
        <v>66</v>
      </c>
      <c r="F176" s="221">
        <f t="shared" si="358"/>
        <v>0.2772</v>
      </c>
      <c r="G176" s="221"/>
      <c r="H176" s="221">
        <f t="shared" si="322"/>
        <v>4.2965999999999998</v>
      </c>
      <c r="I176" s="551">
        <f t="shared" si="323"/>
        <v>9</v>
      </c>
      <c r="J176" s="451">
        <f t="shared" si="324"/>
        <v>16.399999999999999</v>
      </c>
      <c r="K176" s="451">
        <f t="shared" si="325"/>
        <v>25.4</v>
      </c>
      <c r="L176" s="451"/>
      <c r="M176" s="221">
        <f t="shared" si="326"/>
        <v>0.64566929133858264</v>
      </c>
      <c r="N176" s="176">
        <f t="shared" si="327"/>
        <v>10.799787401574802</v>
      </c>
      <c r="O176" s="176">
        <f t="shared" si="262"/>
        <v>4.2965999999999998</v>
      </c>
      <c r="P176" s="221">
        <f t="shared" si="328"/>
        <v>0.69676047752095494</v>
      </c>
      <c r="Q176" s="221">
        <f t="shared" si="329"/>
        <v>15.5</v>
      </c>
      <c r="R176" s="221"/>
      <c r="S176" s="176">
        <f t="shared" si="330"/>
        <v>51.058491075265188</v>
      </c>
      <c r="T176" s="546">
        <f t="shared" si="331"/>
        <v>15.5</v>
      </c>
      <c r="U176" s="221">
        <f t="shared" si="332"/>
        <v>1.6430840108401086</v>
      </c>
      <c r="V176" s="221">
        <f t="shared" si="333"/>
        <v>1.6430840108401086</v>
      </c>
      <c r="W176" s="221">
        <f t="shared" si="334"/>
        <v>0.90169244497323042</v>
      </c>
      <c r="X176" s="201">
        <f t="shared" si="335"/>
        <v>350</v>
      </c>
      <c r="Y176" s="451">
        <f t="shared" si="303"/>
        <v>350</v>
      </c>
      <c r="AA176" s="221">
        <f t="shared" si="336"/>
        <v>1.8447694038245221</v>
      </c>
      <c r="AB176" s="177">
        <f t="shared" si="337"/>
        <v>1.0123734533183355</v>
      </c>
      <c r="AC176" s="177">
        <f t="shared" si="338"/>
        <v>0.32682922508702178</v>
      </c>
      <c r="AD176" s="177"/>
      <c r="AE176" s="177">
        <f t="shared" si="339"/>
        <v>0.45</v>
      </c>
      <c r="AF176" s="555">
        <f t="shared" si="340"/>
        <v>1502.439024390244</v>
      </c>
      <c r="AG176" s="538">
        <f t="shared" si="341"/>
        <v>6.4574999999999994E-2</v>
      </c>
      <c r="AI176" s="177">
        <f t="shared" si="342"/>
        <v>1.6989408465276239</v>
      </c>
      <c r="AJ176" s="177">
        <f t="shared" si="343"/>
        <v>1.6989408465276239</v>
      </c>
      <c r="AK176" s="177">
        <f t="shared" si="344"/>
        <v>1.7859605643517491</v>
      </c>
      <c r="AM176" s="555">
        <f t="shared" si="345"/>
        <v>277.2</v>
      </c>
      <c r="AN176" s="469">
        <f t="shared" si="346"/>
        <v>350</v>
      </c>
      <c r="AP176">
        <f t="shared" si="347"/>
        <v>277.2</v>
      </c>
      <c r="AQ176">
        <f t="shared" si="348"/>
        <v>350</v>
      </c>
      <c r="AS176" s="5">
        <f t="shared" si="263"/>
        <v>2.8571428571428572</v>
      </c>
      <c r="AT176" s="5">
        <f t="shared" si="349"/>
        <v>1.6989408465276239</v>
      </c>
      <c r="AU176" s="5">
        <f t="shared" si="304"/>
        <v>1.1582020106152333</v>
      </c>
      <c r="AV176" s="5"/>
      <c r="AW176" s="177">
        <f t="shared" si="305"/>
        <v>0.59462929628466832</v>
      </c>
      <c r="AX176" s="177">
        <f t="shared" si="259"/>
        <v>4.546079999999999</v>
      </c>
      <c r="AY176" s="177">
        <f t="shared" si="260"/>
        <v>0.3443504232638121</v>
      </c>
      <c r="AZ176" s="177">
        <f t="shared" si="264"/>
        <v>13.201900427220261</v>
      </c>
      <c r="BA176" s="469">
        <f t="shared" si="350"/>
        <v>21.317779700075526</v>
      </c>
      <c r="BB176" s="469">
        <f t="shared" si="351"/>
        <v>22.427590296774198</v>
      </c>
      <c r="BC176" s="5">
        <f t="shared" si="258"/>
        <v>1.0239363701253932</v>
      </c>
      <c r="BD176" s="469">
        <f t="shared" si="352"/>
        <v>63.027515540856918</v>
      </c>
      <c r="BF176" s="177">
        <f t="shared" si="265"/>
        <v>0.75638129731771009</v>
      </c>
      <c r="BG176" s="177">
        <f t="shared" si="261"/>
        <v>0.62451634598408312</v>
      </c>
      <c r="BI176" s="538">
        <f t="shared" si="306"/>
        <v>6.2932393362522432E-2</v>
      </c>
      <c r="BJ176" s="538">
        <f t="shared" si="307"/>
        <v>7.5517920628152879E-2</v>
      </c>
      <c r="BK176" s="538">
        <f t="shared" si="308"/>
        <v>1.7499999999999998E-2</v>
      </c>
      <c r="BL176" s="538">
        <f t="shared" si="309"/>
        <v>5.0806349999999993E-2</v>
      </c>
      <c r="BM176">
        <f t="shared" si="310"/>
        <v>2.6099999999999999E-3</v>
      </c>
      <c r="BN176">
        <f t="shared" si="353"/>
        <v>1.4E-5</v>
      </c>
      <c r="BO176" s="538">
        <f t="shared" si="354"/>
        <v>0.21184034789987968</v>
      </c>
      <c r="BP176" s="469">
        <f t="shared" si="311"/>
        <v>209.36666399067531</v>
      </c>
      <c r="BQ176" s="538">
        <f t="shared" si="355"/>
        <v>0.24948000000000001</v>
      </c>
      <c r="BT176" s="469">
        <f t="shared" si="312"/>
        <v>249.48000000000002</v>
      </c>
      <c r="BU176" s="538">
        <f t="shared" si="313"/>
        <v>2.7461408012737061E-2</v>
      </c>
      <c r="BV176" s="538">
        <f t="shared" si="314"/>
        <v>9.3604959936314638E-2</v>
      </c>
      <c r="BW176" s="538">
        <f t="shared" si="315"/>
        <v>0</v>
      </c>
      <c r="BX176" s="538"/>
      <c r="BY176" s="538">
        <f t="shared" si="316"/>
        <v>5.0511999999999994E-2</v>
      </c>
      <c r="BZ176" s="469">
        <f t="shared" si="317"/>
        <v>171.57836794905171</v>
      </c>
      <c r="CA176" s="177">
        <f t="shared" si="318"/>
        <v>0.63042503193972699</v>
      </c>
      <c r="CB176" s="5">
        <f t="shared" si="319"/>
        <v>4.2965999999999998</v>
      </c>
      <c r="CC176" s="177">
        <f t="shared" si="320"/>
        <v>0.87204752810205755</v>
      </c>
      <c r="CD176" s="5">
        <f t="shared" si="321"/>
        <v>87.204752810205761</v>
      </c>
      <c r="CG176" s="571">
        <f t="shared" si="356"/>
        <v>-50</v>
      </c>
      <c r="CH176">
        <f t="shared" si="357"/>
        <v>-50</v>
      </c>
    </row>
    <row r="177" spans="5:86" x14ac:dyDescent="0.2">
      <c r="E177" s="174">
        <v>67</v>
      </c>
      <c r="F177" s="221">
        <f t="shared" si="358"/>
        <v>0.28139999999999998</v>
      </c>
      <c r="G177" s="221"/>
      <c r="H177" s="221">
        <f t="shared" si="322"/>
        <v>4.3616999999999999</v>
      </c>
      <c r="I177" s="551">
        <f t="shared" si="323"/>
        <v>9</v>
      </c>
      <c r="J177" s="451">
        <f t="shared" si="324"/>
        <v>16.399999999999999</v>
      </c>
      <c r="K177" s="451">
        <f t="shared" si="325"/>
        <v>25.4</v>
      </c>
      <c r="L177" s="451"/>
      <c r="M177" s="221">
        <f t="shared" si="326"/>
        <v>0.64566929133858264</v>
      </c>
      <c r="N177" s="176">
        <f t="shared" si="327"/>
        <v>10.799787401574802</v>
      </c>
      <c r="O177" s="176">
        <f t="shared" si="262"/>
        <v>4.3616999999999999</v>
      </c>
      <c r="P177" s="221">
        <f t="shared" si="328"/>
        <v>0.69676047752095494</v>
      </c>
      <c r="Q177" s="221">
        <f t="shared" si="329"/>
        <v>15.5</v>
      </c>
      <c r="R177" s="221"/>
      <c r="S177" s="176">
        <f t="shared" si="330"/>
        <v>50.167143491604165</v>
      </c>
      <c r="T177" s="546">
        <f t="shared" si="331"/>
        <v>15.5</v>
      </c>
      <c r="U177" s="221">
        <f t="shared" si="332"/>
        <v>1.6679792231255648</v>
      </c>
      <c r="V177" s="221">
        <f t="shared" si="333"/>
        <v>1.6679792231255646</v>
      </c>
      <c r="W177" s="221">
        <f t="shared" si="334"/>
        <v>0.91535445171524898</v>
      </c>
      <c r="X177" s="201">
        <f t="shared" si="335"/>
        <v>350</v>
      </c>
      <c r="Y177" s="451">
        <f t="shared" si="303"/>
        <v>350</v>
      </c>
      <c r="AA177" s="221">
        <f t="shared" si="336"/>
        <v>1.8447694038245221</v>
      </c>
      <c r="AB177" s="177">
        <f t="shared" si="337"/>
        <v>1.0123734533183355</v>
      </c>
      <c r="AC177" s="177">
        <f t="shared" si="338"/>
        <v>0.32682922508702178</v>
      </c>
      <c r="AD177" s="177"/>
      <c r="AE177" s="177">
        <f t="shared" si="339"/>
        <v>0.45</v>
      </c>
      <c r="AF177" s="555">
        <f t="shared" si="340"/>
        <v>1525.2032520325201</v>
      </c>
      <c r="AG177" s="538">
        <f t="shared" si="341"/>
        <v>6.4574999999999994E-2</v>
      </c>
      <c r="AI177" s="177">
        <f t="shared" si="342"/>
        <v>1.7117632235018174</v>
      </c>
      <c r="AJ177" s="177">
        <f t="shared" si="343"/>
        <v>1.7117632235018174</v>
      </c>
      <c r="AK177" s="177">
        <f t="shared" si="344"/>
        <v>1.7945088156678781</v>
      </c>
      <c r="AM177" s="555">
        <f t="shared" si="345"/>
        <v>281.39999999999998</v>
      </c>
      <c r="AN177" s="469">
        <f t="shared" si="346"/>
        <v>350</v>
      </c>
      <c r="AP177">
        <f t="shared" si="347"/>
        <v>281.39999999999998</v>
      </c>
      <c r="AQ177">
        <f t="shared" si="348"/>
        <v>350</v>
      </c>
      <c r="AS177" s="5">
        <f t="shared" si="263"/>
        <v>2.8571428571428572</v>
      </c>
      <c r="AT177" s="5">
        <f t="shared" si="349"/>
        <v>1.7117632235018174</v>
      </c>
      <c r="AU177" s="5">
        <f t="shared" si="304"/>
        <v>1.1453796336410398</v>
      </c>
      <c r="AV177" s="5"/>
      <c r="AW177" s="177">
        <f t="shared" si="305"/>
        <v>0.59911712822563612</v>
      </c>
      <c r="AX177" s="177">
        <f t="shared" si="259"/>
        <v>4.61496</v>
      </c>
      <c r="AY177" s="177">
        <f t="shared" si="260"/>
        <v>0.34310827841757541</v>
      </c>
      <c r="AZ177" s="177">
        <f t="shared" si="264"/>
        <v>13.450447833215565</v>
      </c>
      <c r="BA177" s="469">
        <f t="shared" si="350"/>
        <v>21.317779700075526</v>
      </c>
      <c r="BB177" s="469">
        <f t="shared" si="351"/>
        <v>23.103835638709668</v>
      </c>
      <c r="BC177" s="5">
        <f t="shared" si="258"/>
        <v>1.0279428699695725</v>
      </c>
      <c r="BD177" s="469">
        <f t="shared" si="352"/>
        <v>63.292016642618812</v>
      </c>
      <c r="BF177" s="177">
        <f t="shared" si="265"/>
        <v>0.76496036236850795</v>
      </c>
      <c r="BG177" s="177">
        <f t="shared" si="261"/>
        <v>0.62573696959357616</v>
      </c>
      <c r="BI177" s="538">
        <f t="shared" si="306"/>
        <v>6.4368079159445493E-2</v>
      </c>
      <c r="BJ177" s="538">
        <f t="shared" si="307"/>
        <v>7.6087875284655784E-2</v>
      </c>
      <c r="BK177" s="538">
        <f t="shared" si="308"/>
        <v>1.7499999999999998E-2</v>
      </c>
      <c r="BL177" s="538">
        <f t="shared" si="309"/>
        <v>5.0806349999999993E-2</v>
      </c>
      <c r="BM177">
        <f t="shared" si="310"/>
        <v>2.6099999999999999E-3</v>
      </c>
      <c r="BN177">
        <f t="shared" si="353"/>
        <v>1.4E-5</v>
      </c>
      <c r="BO177" s="538">
        <f t="shared" si="354"/>
        <v>0.21392688095835152</v>
      </c>
      <c r="BP177" s="469">
        <f t="shared" si="311"/>
        <v>211.37230444410127</v>
      </c>
      <c r="BQ177" s="538">
        <f t="shared" si="355"/>
        <v>0.25325999999999999</v>
      </c>
      <c r="BT177" s="469">
        <f t="shared" si="312"/>
        <v>253.26</v>
      </c>
      <c r="BU177" s="538">
        <f t="shared" si="313"/>
        <v>2.8087889087758031E-2</v>
      </c>
      <c r="BV177" s="538">
        <f t="shared" si="314"/>
        <v>9.3971221227876489E-2</v>
      </c>
      <c r="BW177" s="538">
        <f t="shared" si="315"/>
        <v>0</v>
      </c>
      <c r="BX177" s="538"/>
      <c r="BY177" s="538">
        <f t="shared" si="316"/>
        <v>5.1277333333333334E-2</v>
      </c>
      <c r="BZ177" s="469">
        <f t="shared" si="317"/>
        <v>173.33644364896787</v>
      </c>
      <c r="CA177" s="177">
        <f t="shared" si="318"/>
        <v>0.63796874809306903</v>
      </c>
      <c r="CB177" s="5">
        <f t="shared" si="319"/>
        <v>4.3616999999999999</v>
      </c>
      <c r="CC177" s="177">
        <f t="shared" si="320"/>
        <v>0.87239779668675099</v>
      </c>
      <c r="CD177" s="5">
        <f t="shared" si="321"/>
        <v>87.239779668675098</v>
      </c>
      <c r="CG177" s="571">
        <f t="shared" si="356"/>
        <v>-50</v>
      </c>
      <c r="CH177">
        <f t="shared" si="357"/>
        <v>-50</v>
      </c>
    </row>
    <row r="178" spans="5:86" x14ac:dyDescent="0.2">
      <c r="E178" s="174">
        <v>68</v>
      </c>
      <c r="F178" s="221">
        <f t="shared" si="358"/>
        <v>0.28560000000000002</v>
      </c>
      <c r="G178" s="221"/>
      <c r="H178" s="221">
        <f t="shared" si="322"/>
        <v>4.4268000000000001</v>
      </c>
      <c r="I178" s="551">
        <f t="shared" si="323"/>
        <v>9</v>
      </c>
      <c r="J178" s="451">
        <f t="shared" si="324"/>
        <v>16.399999999999999</v>
      </c>
      <c r="K178" s="451">
        <f t="shared" si="325"/>
        <v>25.4</v>
      </c>
      <c r="L178" s="451"/>
      <c r="M178" s="221">
        <f t="shared" si="326"/>
        <v>0.64566929133858264</v>
      </c>
      <c r="N178" s="176">
        <f t="shared" si="327"/>
        <v>10.799787401574802</v>
      </c>
      <c r="O178" s="176">
        <f t="shared" si="262"/>
        <v>4.4268000000000001</v>
      </c>
      <c r="P178" s="221">
        <f t="shared" si="328"/>
        <v>0.69676047752095494</v>
      </c>
      <c r="Q178" s="221">
        <f t="shared" si="329"/>
        <v>15.5</v>
      </c>
      <c r="R178" s="221"/>
      <c r="S178" s="176">
        <f t="shared" si="330"/>
        <v>49.302104121337962</v>
      </c>
      <c r="T178" s="546">
        <f t="shared" si="331"/>
        <v>15.5</v>
      </c>
      <c r="U178" s="221">
        <f t="shared" si="332"/>
        <v>1.692874435411021</v>
      </c>
      <c r="V178" s="221">
        <f t="shared" si="333"/>
        <v>1.692874435411021</v>
      </c>
      <c r="W178" s="221">
        <f t="shared" si="334"/>
        <v>0.92901645845726777</v>
      </c>
      <c r="X178" s="201">
        <f t="shared" si="335"/>
        <v>350</v>
      </c>
      <c r="Y178" s="451">
        <f t="shared" si="303"/>
        <v>350</v>
      </c>
      <c r="AA178" s="221">
        <f t="shared" si="336"/>
        <v>1.8447694038245221</v>
      </c>
      <c r="AB178" s="177">
        <f t="shared" si="337"/>
        <v>1.0123734533183355</v>
      </c>
      <c r="AC178" s="177">
        <f t="shared" si="338"/>
        <v>0.32682922508702178</v>
      </c>
      <c r="AD178" s="177"/>
      <c r="AE178" s="177">
        <f t="shared" si="339"/>
        <v>0.45</v>
      </c>
      <c r="AF178" s="555">
        <f t="shared" si="340"/>
        <v>1547.967479674797</v>
      </c>
      <c r="AG178" s="538">
        <f t="shared" si="341"/>
        <v>6.4574999999999994E-2</v>
      </c>
      <c r="AI178" s="177">
        <f t="shared" si="342"/>
        <v>1.7244902628506391</v>
      </c>
      <c r="AJ178" s="177">
        <f t="shared" si="343"/>
        <v>1.7244902628506391</v>
      </c>
      <c r="AK178" s="177">
        <f t="shared" si="344"/>
        <v>1.8029935085670927</v>
      </c>
      <c r="AM178" s="555">
        <f t="shared" si="345"/>
        <v>285.60000000000002</v>
      </c>
      <c r="AN178" s="469">
        <f t="shared" si="346"/>
        <v>350</v>
      </c>
      <c r="AP178">
        <f t="shared" si="347"/>
        <v>285.60000000000002</v>
      </c>
      <c r="AQ178">
        <f t="shared" si="348"/>
        <v>350</v>
      </c>
      <c r="AS178" s="5">
        <f t="shared" si="263"/>
        <v>2.8571428571428572</v>
      </c>
      <c r="AT178" s="5">
        <f t="shared" si="349"/>
        <v>1.7244902628506391</v>
      </c>
      <c r="AU178" s="5">
        <f t="shared" si="304"/>
        <v>1.1326525942922181</v>
      </c>
      <c r="AV178" s="5"/>
      <c r="AW178" s="177">
        <f t="shared" si="305"/>
        <v>0.6035715919977237</v>
      </c>
      <c r="AX178" s="177">
        <f t="shared" si="259"/>
        <v>4.68384</v>
      </c>
      <c r="AY178" s="177">
        <f t="shared" si="260"/>
        <v>0.34181846475865291</v>
      </c>
      <c r="AZ178" s="177">
        <f t="shared" si="264"/>
        <v>13.702712061816525</v>
      </c>
      <c r="BA178" s="469">
        <f t="shared" si="350"/>
        <v>21.317779700075526</v>
      </c>
      <c r="BB178" s="469">
        <f t="shared" si="351"/>
        <v>23.790123767741932</v>
      </c>
      <c r="BC178" s="5">
        <f t="shared" si="258"/>
        <v>1.0316926963812325</v>
      </c>
      <c r="BD178" s="469">
        <f t="shared" si="352"/>
        <v>63.541117338429515</v>
      </c>
      <c r="BF178" s="177">
        <f t="shared" si="265"/>
        <v>0.7735074742989374</v>
      </c>
      <c r="BG178" s="177">
        <f t="shared" si="261"/>
        <v>0.62687724164509873</v>
      </c>
      <c r="BI178" s="538">
        <f t="shared" si="306"/>
        <v>6.5814519407595348E-2</v>
      </c>
      <c r="BJ178" s="538">
        <f t="shared" si="307"/>
        <v>7.66535921837109E-2</v>
      </c>
      <c r="BK178" s="538">
        <f t="shared" si="308"/>
        <v>1.7499999999999998E-2</v>
      </c>
      <c r="BL178" s="538">
        <f t="shared" si="309"/>
        <v>5.0806349999999993E-2</v>
      </c>
      <c r="BM178">
        <f t="shared" si="310"/>
        <v>2.6099999999999999E-3</v>
      </c>
      <c r="BN178">
        <f t="shared" si="353"/>
        <v>1.4E-5</v>
      </c>
      <c r="BO178" s="538">
        <f t="shared" si="354"/>
        <v>0.21602156366151021</v>
      </c>
      <c r="BP178" s="469">
        <f t="shared" si="311"/>
        <v>213.38446159130623</v>
      </c>
      <c r="BQ178" s="538">
        <f t="shared" si="355"/>
        <v>0.25704000000000005</v>
      </c>
      <c r="BT178" s="469">
        <f t="shared" si="312"/>
        <v>257.04000000000002</v>
      </c>
      <c r="BU178" s="538">
        <f t="shared" si="313"/>
        <v>2.8719063014223424E-2</v>
      </c>
      <c r="BV178" s="538">
        <f t="shared" si="314"/>
        <v>9.4314018262216193E-2</v>
      </c>
      <c r="BW178" s="538">
        <f t="shared" si="315"/>
        <v>0</v>
      </c>
      <c r="BX178" s="538"/>
      <c r="BY178" s="538">
        <f t="shared" si="316"/>
        <v>5.2042666666666668E-2</v>
      </c>
      <c r="BZ178" s="469">
        <f t="shared" si="317"/>
        <v>175.07574794310625</v>
      </c>
      <c r="CA178" s="177">
        <f t="shared" si="318"/>
        <v>0.64550020953441256</v>
      </c>
      <c r="CB178" s="5">
        <f t="shared" si="319"/>
        <v>4.4268000000000001</v>
      </c>
      <c r="CC178" s="177">
        <f t="shared" si="320"/>
        <v>0.87274014098750219</v>
      </c>
      <c r="CD178" s="5">
        <f t="shared" si="321"/>
        <v>87.274014098750214</v>
      </c>
      <c r="CG178" s="571">
        <f t="shared" si="356"/>
        <v>-50</v>
      </c>
      <c r="CH178">
        <f t="shared" si="357"/>
        <v>-50</v>
      </c>
    </row>
    <row r="179" spans="5:86" x14ac:dyDescent="0.2">
      <c r="E179" s="174">
        <v>69</v>
      </c>
      <c r="F179" s="221">
        <f t="shared" si="358"/>
        <v>0.28979999999999995</v>
      </c>
      <c r="G179" s="221"/>
      <c r="H179" s="221">
        <f t="shared" si="322"/>
        <v>4.4918999999999993</v>
      </c>
      <c r="I179" s="551">
        <f t="shared" si="323"/>
        <v>9</v>
      </c>
      <c r="J179" s="451">
        <f t="shared" si="324"/>
        <v>16.399999999999999</v>
      </c>
      <c r="K179" s="451">
        <f t="shared" si="325"/>
        <v>25.4</v>
      </c>
      <c r="L179" s="451"/>
      <c r="M179" s="221">
        <f t="shared" si="326"/>
        <v>0.64566929133858264</v>
      </c>
      <c r="N179" s="176">
        <f t="shared" si="327"/>
        <v>10.799787401574802</v>
      </c>
      <c r="O179" s="176">
        <f t="shared" si="262"/>
        <v>4.4918999999999993</v>
      </c>
      <c r="P179" s="221">
        <f t="shared" si="328"/>
        <v>0.69676047752095494</v>
      </c>
      <c r="Q179" s="221">
        <f t="shared" si="329"/>
        <v>15.5</v>
      </c>
      <c r="R179" s="221"/>
      <c r="S179" s="176">
        <f t="shared" si="330"/>
        <v>48.462229719675157</v>
      </c>
      <c r="T179" s="546">
        <f t="shared" si="331"/>
        <v>15.5</v>
      </c>
      <c r="U179" s="221">
        <f t="shared" si="332"/>
        <v>1.717769647696477</v>
      </c>
      <c r="V179" s="221">
        <f t="shared" si="333"/>
        <v>1.717769647696477</v>
      </c>
      <c r="W179" s="221">
        <f t="shared" si="334"/>
        <v>0.94267846519928622</v>
      </c>
      <c r="X179" s="201">
        <f t="shared" si="335"/>
        <v>350</v>
      </c>
      <c r="Y179" s="451">
        <f t="shared" si="303"/>
        <v>350</v>
      </c>
      <c r="AA179" s="221">
        <f t="shared" si="336"/>
        <v>1.8447694038245221</v>
      </c>
      <c r="AB179" s="177">
        <f t="shared" si="337"/>
        <v>1.0123734533183355</v>
      </c>
      <c r="AC179" s="177">
        <f t="shared" si="338"/>
        <v>0.32682922508702178</v>
      </c>
      <c r="AD179" s="177"/>
      <c r="AE179" s="177">
        <f t="shared" si="339"/>
        <v>0.45</v>
      </c>
      <c r="AF179" s="555">
        <f t="shared" si="340"/>
        <v>1570.731707317073</v>
      </c>
      <c r="AG179" s="538">
        <f t="shared" si="341"/>
        <v>6.4574999999999994E-2</v>
      </c>
      <c r="AI179" s="177">
        <f t="shared" si="342"/>
        <v>1.7371240600486768</v>
      </c>
      <c r="AJ179" s="177">
        <f t="shared" si="343"/>
        <v>1.7371240600486768</v>
      </c>
      <c r="AK179" s="177">
        <f t="shared" si="344"/>
        <v>1.8114160400324513</v>
      </c>
      <c r="AM179" s="555">
        <f t="shared" si="345"/>
        <v>289.79999999999995</v>
      </c>
      <c r="AN179" s="469">
        <f t="shared" si="346"/>
        <v>350</v>
      </c>
      <c r="AP179">
        <f t="shared" si="347"/>
        <v>289.79999999999995</v>
      </c>
      <c r="AQ179">
        <f t="shared" si="348"/>
        <v>350</v>
      </c>
      <c r="AS179" s="5">
        <f t="shared" si="263"/>
        <v>2.8571428571428572</v>
      </c>
      <c r="AT179" s="5">
        <f t="shared" si="349"/>
        <v>1.737124060048677</v>
      </c>
      <c r="AU179" s="5">
        <f t="shared" si="304"/>
        <v>1.1200187970941802</v>
      </c>
      <c r="AV179" s="5"/>
      <c r="AW179" s="177">
        <f t="shared" si="305"/>
        <v>0.60799342101703691</v>
      </c>
      <c r="AX179" s="177">
        <f t="shared" si="259"/>
        <v>4.7527199999999983</v>
      </c>
      <c r="AY179" s="177">
        <f t="shared" si="260"/>
        <v>0.34048203002433858</v>
      </c>
      <c r="AZ179" s="177">
        <f t="shared" si="264"/>
        <v>13.958798353206074</v>
      </c>
      <c r="BA179" s="469">
        <f t="shared" si="350"/>
        <v>21.317779700075526</v>
      </c>
      <c r="BB179" s="469">
        <f t="shared" si="351"/>
        <v>24.486454683870949</v>
      </c>
      <c r="BC179" s="5">
        <f t="shared" si="258"/>
        <v>1.0351877437587131</v>
      </c>
      <c r="BD179" s="469">
        <f t="shared" si="352"/>
        <v>63.774931292189457</v>
      </c>
      <c r="BF179" s="177">
        <f t="shared" si="265"/>
        <v>0.78202321944662878</v>
      </c>
      <c r="BG179" s="177">
        <f t="shared" si="261"/>
        <v>0.62793817443518773</v>
      </c>
      <c r="BI179" s="538">
        <f t="shared" si="306"/>
        <v>6.7271634732903707E-2</v>
      </c>
      <c r="BJ179" s="538">
        <f t="shared" si="307"/>
        <v>7.7215164469163683E-2</v>
      </c>
      <c r="BK179" s="538">
        <f t="shared" si="308"/>
        <v>1.7499999999999998E-2</v>
      </c>
      <c r="BL179" s="538">
        <f t="shared" si="309"/>
        <v>5.0806349999999993E-2</v>
      </c>
      <c r="BM179">
        <f t="shared" si="310"/>
        <v>2.6099999999999999E-3</v>
      </c>
      <c r="BN179">
        <f t="shared" si="353"/>
        <v>1.4E-5</v>
      </c>
      <c r="BO179" s="538">
        <f t="shared" si="354"/>
        <v>0.21812442594984507</v>
      </c>
      <c r="BP179" s="469">
        <f t="shared" si="311"/>
        <v>215.40314920206737</v>
      </c>
      <c r="BQ179" s="538">
        <f t="shared" si="355"/>
        <v>0.26081999999999994</v>
      </c>
      <c r="BT179" s="469">
        <f t="shared" si="312"/>
        <v>260.81999999999994</v>
      </c>
      <c r="BU179" s="538">
        <f t="shared" si="313"/>
        <v>2.9354895156176165E-2</v>
      </c>
      <c r="BV179" s="538">
        <f t="shared" si="314"/>
        <v>9.4633524219119095E-2</v>
      </c>
      <c r="BW179" s="538">
        <f t="shared" si="315"/>
        <v>0</v>
      </c>
      <c r="BX179" s="538"/>
      <c r="BY179" s="538">
        <f t="shared" si="316"/>
        <v>5.2807999999999987E-2</v>
      </c>
      <c r="BZ179" s="469">
        <f t="shared" si="317"/>
        <v>176.79641937529524</v>
      </c>
      <c r="CA179" s="177">
        <f t="shared" si="318"/>
        <v>0.65301956857736254</v>
      </c>
      <c r="CB179" s="5">
        <f t="shared" si="319"/>
        <v>4.4918999999999993</v>
      </c>
      <c r="CC179" s="177">
        <f t="shared" si="320"/>
        <v>0.87307487320779809</v>
      </c>
      <c r="CD179" s="5">
        <f t="shared" si="321"/>
        <v>87.307487320779813</v>
      </c>
      <c r="CG179" s="571">
        <f t="shared" si="356"/>
        <v>-50</v>
      </c>
      <c r="CH179">
        <f t="shared" si="357"/>
        <v>-50</v>
      </c>
    </row>
    <row r="180" spans="5:86" x14ac:dyDescent="0.2">
      <c r="E180" s="174">
        <v>70</v>
      </c>
      <c r="F180" s="221">
        <f t="shared" si="358"/>
        <v>0.29399999999999998</v>
      </c>
      <c r="G180" s="221"/>
      <c r="H180" s="221">
        <f t="shared" si="322"/>
        <v>4.5569999999999995</v>
      </c>
      <c r="I180" s="551">
        <f t="shared" si="323"/>
        <v>9</v>
      </c>
      <c r="J180" s="451">
        <f t="shared" si="324"/>
        <v>16.399999999999999</v>
      </c>
      <c r="K180" s="451">
        <f t="shared" si="325"/>
        <v>25.4</v>
      </c>
      <c r="L180" s="451"/>
      <c r="M180" s="221">
        <f t="shared" si="326"/>
        <v>0.64566929133858264</v>
      </c>
      <c r="N180" s="176">
        <f t="shared" si="327"/>
        <v>10.799787401574802</v>
      </c>
      <c r="O180" s="176">
        <f t="shared" si="262"/>
        <v>4.5569999999999995</v>
      </c>
      <c r="P180" s="221">
        <f t="shared" si="328"/>
        <v>0.69676047752095494</v>
      </c>
      <c r="Q180" s="221">
        <f t="shared" si="329"/>
        <v>15.5</v>
      </c>
      <c r="R180" s="221"/>
      <c r="S180" s="176">
        <f t="shared" si="330"/>
        <v>47.646442374155576</v>
      </c>
      <c r="T180" s="546">
        <f t="shared" si="331"/>
        <v>15.5</v>
      </c>
      <c r="U180" s="221">
        <f t="shared" si="332"/>
        <v>1.7426648599819332</v>
      </c>
      <c r="V180" s="221">
        <f t="shared" si="333"/>
        <v>1.742664859981933</v>
      </c>
      <c r="W180" s="221">
        <f t="shared" si="334"/>
        <v>0.95634047194130478</v>
      </c>
      <c r="X180" s="201">
        <f t="shared" si="335"/>
        <v>350</v>
      </c>
      <c r="Y180" s="451">
        <f t="shared" si="303"/>
        <v>350</v>
      </c>
      <c r="AA180" s="221">
        <f t="shared" si="336"/>
        <v>1.8447694038245221</v>
      </c>
      <c r="AB180" s="177">
        <f t="shared" si="337"/>
        <v>1.0123734533183355</v>
      </c>
      <c r="AC180" s="177">
        <f t="shared" si="338"/>
        <v>0.32682922508702178</v>
      </c>
      <c r="AD180" s="177"/>
      <c r="AE180" s="177">
        <f t="shared" si="339"/>
        <v>0.45</v>
      </c>
      <c r="AF180" s="555">
        <f t="shared" si="340"/>
        <v>1593.4959349593496</v>
      </c>
      <c r="AG180" s="538">
        <f t="shared" si="341"/>
        <v>6.4574999999999994E-2</v>
      </c>
      <c r="AI180" s="177">
        <f t="shared" si="342"/>
        <v>1.7496666349145864</v>
      </c>
      <c r="AJ180" s="177">
        <f t="shared" si="343"/>
        <v>1.7496666349145864</v>
      </c>
      <c r="AK180" s="177">
        <f t="shared" si="344"/>
        <v>1.8197777566097244</v>
      </c>
      <c r="AM180" s="555">
        <f t="shared" si="345"/>
        <v>294</v>
      </c>
      <c r="AN180" s="469">
        <f t="shared" si="346"/>
        <v>350</v>
      </c>
      <c r="AP180">
        <f t="shared" si="347"/>
        <v>294</v>
      </c>
      <c r="AQ180">
        <f t="shared" si="348"/>
        <v>350</v>
      </c>
      <c r="AS180" s="5">
        <f t="shared" si="263"/>
        <v>2.8571428571428572</v>
      </c>
      <c r="AT180" s="5">
        <f t="shared" si="349"/>
        <v>1.7496666349145864</v>
      </c>
      <c r="AU180" s="5">
        <f t="shared" si="304"/>
        <v>1.1074762222282708</v>
      </c>
      <c r="AV180" s="5"/>
      <c r="AW180" s="177">
        <f t="shared" si="305"/>
        <v>0.61238332222010528</v>
      </c>
      <c r="AX180" s="177">
        <f t="shared" si="259"/>
        <v>4.8216000000000001</v>
      </c>
      <c r="AY180" s="177">
        <f t="shared" si="260"/>
        <v>0.33909998412395997</v>
      </c>
      <c r="AZ180" s="177">
        <f t="shared" si="264"/>
        <v>14.218815174693244</v>
      </c>
      <c r="BA180" s="469">
        <f t="shared" si="350"/>
        <v>21.317779700075526</v>
      </c>
      <c r="BB180" s="469">
        <f t="shared" si="351"/>
        <v>25.192828387096764</v>
      </c>
      <c r="BC180" s="5">
        <f t="shared" si="258"/>
        <v>1.0384298651634214</v>
      </c>
      <c r="BD180" s="469">
        <f t="shared" si="352"/>
        <v>63.993569687583076</v>
      </c>
      <c r="BF180" s="177">
        <f t="shared" si="265"/>
        <v>0.79050816506215693</v>
      </c>
      <c r="BG180" s="177">
        <f t="shared" si="261"/>
        <v>0.62892073062867448</v>
      </c>
      <c r="BI180" s="538">
        <f t="shared" si="306"/>
        <v>6.8739347493293218E-2</v>
      </c>
      <c r="BJ180" s="538">
        <f t="shared" si="307"/>
        <v>7.7772681921953371E-2</v>
      </c>
      <c r="BK180" s="538">
        <f t="shared" si="308"/>
        <v>1.7499999999999998E-2</v>
      </c>
      <c r="BL180" s="538">
        <f t="shared" si="309"/>
        <v>5.0806349999999993E-2</v>
      </c>
      <c r="BM180">
        <f t="shared" si="310"/>
        <v>2.6099999999999999E-3</v>
      </c>
      <c r="BN180">
        <f t="shared" si="353"/>
        <v>1.4E-5</v>
      </c>
      <c r="BO180" s="538">
        <f t="shared" si="354"/>
        <v>0.2202354961891321</v>
      </c>
      <c r="BP180" s="469">
        <f t="shared" si="311"/>
        <v>217.42837941524658</v>
      </c>
      <c r="BQ180" s="538">
        <f t="shared" si="355"/>
        <v>0.2646</v>
      </c>
      <c r="BT180" s="469">
        <f t="shared" si="312"/>
        <v>264.60000000000002</v>
      </c>
      <c r="BU180" s="538">
        <f t="shared" si="313"/>
        <v>2.9995351633437039E-2</v>
      </c>
      <c r="BV180" s="538">
        <f t="shared" si="314"/>
        <v>9.4929908499481366E-2</v>
      </c>
      <c r="BW180" s="538">
        <f t="shared" si="315"/>
        <v>0</v>
      </c>
      <c r="BX180" s="538"/>
      <c r="BY180" s="538">
        <f t="shared" si="316"/>
        <v>5.3573333333333334E-2</v>
      </c>
      <c r="BZ180" s="469">
        <f t="shared" si="317"/>
        <v>178.49859346625175</v>
      </c>
      <c r="CA180" s="177">
        <f t="shared" si="318"/>
        <v>0.66052697288149831</v>
      </c>
      <c r="CB180" s="5">
        <f t="shared" si="319"/>
        <v>4.5569999999999995</v>
      </c>
      <c r="CC180" s="177">
        <f t="shared" si="320"/>
        <v>0.87340228880183302</v>
      </c>
      <c r="CD180" s="5">
        <f t="shared" si="321"/>
        <v>87.340228880183304</v>
      </c>
      <c r="CG180" s="571">
        <f t="shared" si="356"/>
        <v>-50</v>
      </c>
      <c r="CH180">
        <f t="shared" si="357"/>
        <v>-50</v>
      </c>
    </row>
    <row r="181" spans="5:86" x14ac:dyDescent="0.2">
      <c r="E181" s="174">
        <v>71</v>
      </c>
      <c r="F181" s="221">
        <f t="shared" si="358"/>
        <v>0.29819999999999997</v>
      </c>
      <c r="G181" s="221"/>
      <c r="H181" s="221">
        <f t="shared" si="322"/>
        <v>4.6220999999999997</v>
      </c>
      <c r="I181" s="551">
        <f t="shared" si="323"/>
        <v>9</v>
      </c>
      <c r="J181" s="451">
        <f t="shared" si="324"/>
        <v>16.399999999999999</v>
      </c>
      <c r="K181" s="451">
        <f t="shared" si="325"/>
        <v>25.4</v>
      </c>
      <c r="L181" s="451"/>
      <c r="M181" s="221">
        <f t="shared" si="326"/>
        <v>0.64566929133858264</v>
      </c>
      <c r="N181" s="176">
        <f t="shared" si="327"/>
        <v>10.799787401574802</v>
      </c>
      <c r="O181" s="176">
        <f t="shared" si="262"/>
        <v>4.6220999999999997</v>
      </c>
      <c r="P181" s="221">
        <f t="shared" si="328"/>
        <v>0.69676047752095494</v>
      </c>
      <c r="Q181" s="221">
        <f t="shared" si="329"/>
        <v>15.5</v>
      </c>
      <c r="R181" s="221"/>
      <c r="S181" s="176">
        <f t="shared" si="330"/>
        <v>46.853724903804057</v>
      </c>
      <c r="T181" s="546">
        <f t="shared" si="331"/>
        <v>15.5</v>
      </c>
      <c r="U181" s="221">
        <f t="shared" si="332"/>
        <v>1.7675600722673894</v>
      </c>
      <c r="V181" s="221">
        <f t="shared" si="333"/>
        <v>1.7675600722673892</v>
      </c>
      <c r="W181" s="221">
        <f t="shared" si="334"/>
        <v>0.97000247868332345</v>
      </c>
      <c r="X181" s="201">
        <f t="shared" si="335"/>
        <v>350</v>
      </c>
      <c r="Y181" s="451">
        <f t="shared" si="303"/>
        <v>350</v>
      </c>
      <c r="AA181" s="221">
        <f t="shared" si="336"/>
        <v>1.8447694038245221</v>
      </c>
      <c r="AB181" s="177">
        <f t="shared" si="337"/>
        <v>1.0123734533183355</v>
      </c>
      <c r="AC181" s="177">
        <f t="shared" si="338"/>
        <v>0.32682922508702178</v>
      </c>
      <c r="AD181" s="177"/>
      <c r="AE181" s="177">
        <f t="shared" si="339"/>
        <v>0.45</v>
      </c>
      <c r="AF181" s="555">
        <f t="shared" si="340"/>
        <v>1616.260162601626</v>
      </c>
      <c r="AG181" s="538">
        <f t="shared" si="341"/>
        <v>6.4574999999999994E-2</v>
      </c>
      <c r="AI181" s="177">
        <f t="shared" si="342"/>
        <v>1.7621199353808656</v>
      </c>
      <c r="AJ181" s="177">
        <f t="shared" si="343"/>
        <v>1.7621199353808656</v>
      </c>
      <c r="AK181" s="177">
        <f t="shared" si="344"/>
        <v>1.8280799569205772</v>
      </c>
      <c r="AM181" s="555">
        <f t="shared" si="345"/>
        <v>298.2</v>
      </c>
      <c r="AN181" s="469">
        <f t="shared" si="346"/>
        <v>350</v>
      </c>
      <c r="AP181">
        <f t="shared" si="347"/>
        <v>298.2</v>
      </c>
      <c r="AQ181">
        <f t="shared" si="348"/>
        <v>350</v>
      </c>
      <c r="AS181" s="5">
        <f t="shared" si="263"/>
        <v>2.8571428571428572</v>
      </c>
      <c r="AT181" s="5">
        <f t="shared" si="349"/>
        <v>1.7621199353808659</v>
      </c>
      <c r="AU181" s="5">
        <f t="shared" si="304"/>
        <v>1.0950229217619913</v>
      </c>
      <c r="AV181" s="5"/>
      <c r="AW181" s="177">
        <f t="shared" si="305"/>
        <v>0.61674197738330305</v>
      </c>
      <c r="AX181" s="177">
        <f t="shared" si="259"/>
        <v>4.8904799999999993</v>
      </c>
      <c r="AY181" s="177">
        <f t="shared" si="260"/>
        <v>0.33767330102376619</v>
      </c>
      <c r="AZ181" s="177">
        <f t="shared" si="264"/>
        <v>14.48287437938659</v>
      </c>
      <c r="BA181" s="469">
        <f t="shared" si="350"/>
        <v>21.317779700075526</v>
      </c>
      <c r="BB181" s="469">
        <f t="shared" si="351"/>
        <v>25.90924487741934</v>
      </c>
      <c r="BC181" s="5">
        <f t="shared" ref="BC181:BC244" si="359">H181/Efficiency/I181*AU181/Vinripple1</f>
        <v>1.0414208738016666</v>
      </c>
      <c r="BD181" s="469">
        <f t="shared" si="352"/>
        <v>64.19714131698889</v>
      </c>
      <c r="BF181" s="177">
        <f t="shared" si="265"/>
        <v>0.79896286019376006</v>
      </c>
      <c r="BG181" s="177">
        <f t="shared" si="261"/>
        <v>0.62982582533048637</v>
      </c>
      <c r="BI181" s="538">
        <f t="shared" si="306"/>
        <v>7.0217581716589317E-2</v>
      </c>
      <c r="BJ181" s="538">
        <f t="shared" si="307"/>
        <v>7.8326231127679474E-2</v>
      </c>
      <c r="BK181" s="538">
        <f t="shared" si="308"/>
        <v>1.7499999999999998E-2</v>
      </c>
      <c r="BL181" s="538">
        <f t="shared" si="309"/>
        <v>5.0806349999999993E-2</v>
      </c>
      <c r="BM181">
        <f t="shared" si="310"/>
        <v>2.6099999999999999E-3</v>
      </c>
      <c r="BN181">
        <f t="shared" si="353"/>
        <v>1.4E-5</v>
      </c>
      <c r="BO181" s="538">
        <f t="shared" si="354"/>
        <v>0.22235480127535062</v>
      </c>
      <c r="BP181" s="469">
        <f t="shared" si="311"/>
        <v>219.46016284426878</v>
      </c>
      <c r="BQ181" s="538">
        <f t="shared" si="355"/>
        <v>0.26837999999999995</v>
      </c>
      <c r="BT181" s="469">
        <f t="shared" si="312"/>
        <v>268.37999999999994</v>
      </c>
      <c r="BU181" s="538">
        <f t="shared" si="313"/>
        <v>3.0640399294511705E-2</v>
      </c>
      <c r="BV181" s="538">
        <f t="shared" si="314"/>
        <v>9.5203336860774798E-2</v>
      </c>
      <c r="BW181" s="538">
        <f t="shared" si="315"/>
        <v>0</v>
      </c>
      <c r="BX181" s="538"/>
      <c r="BY181" s="538">
        <f t="shared" si="316"/>
        <v>5.4338666666666667E-2</v>
      </c>
      <c r="BZ181" s="469">
        <f t="shared" si="317"/>
        <v>180.18240282195316</v>
      </c>
      <c r="CA181" s="177">
        <f t="shared" si="318"/>
        <v>0.66802256566622187</v>
      </c>
      <c r="CB181" s="5">
        <f t="shared" si="319"/>
        <v>4.6220999999999997</v>
      </c>
      <c r="CC181" s="177">
        <f t="shared" si="320"/>
        <v>0.87372266759908368</v>
      </c>
      <c r="CD181" s="5">
        <f t="shared" si="321"/>
        <v>87.372266759908371</v>
      </c>
      <c r="CG181" s="571">
        <f t="shared" si="356"/>
        <v>-50</v>
      </c>
      <c r="CH181">
        <f t="shared" si="357"/>
        <v>-50</v>
      </c>
    </row>
    <row r="182" spans="5:86" x14ac:dyDescent="0.2">
      <c r="E182" s="174">
        <v>72</v>
      </c>
      <c r="F182" s="221">
        <f t="shared" si="358"/>
        <v>0.3024</v>
      </c>
      <c r="G182" s="221"/>
      <c r="H182" s="221">
        <f t="shared" si="322"/>
        <v>4.6871999999999998</v>
      </c>
      <c r="I182" s="551">
        <f t="shared" si="323"/>
        <v>9</v>
      </c>
      <c r="J182" s="451">
        <f t="shared" si="324"/>
        <v>16.399999999999999</v>
      </c>
      <c r="K182" s="451">
        <f t="shared" si="325"/>
        <v>25.4</v>
      </c>
      <c r="L182" s="451"/>
      <c r="M182" s="221">
        <f t="shared" si="326"/>
        <v>0.64566929133858264</v>
      </c>
      <c r="N182" s="176">
        <f t="shared" si="327"/>
        <v>10.799787401574802</v>
      </c>
      <c r="O182" s="176">
        <f t="shared" si="262"/>
        <v>4.6871999999999998</v>
      </c>
      <c r="P182" s="221">
        <f t="shared" si="328"/>
        <v>0.69676047752095494</v>
      </c>
      <c r="Q182" s="221">
        <f t="shared" si="329"/>
        <v>15.5</v>
      </c>
      <c r="R182" s="221"/>
      <c r="S182" s="176">
        <f t="shared" si="330"/>
        <v>46.083116641687681</v>
      </c>
      <c r="T182" s="546">
        <f t="shared" si="331"/>
        <v>15.5</v>
      </c>
      <c r="U182" s="221">
        <f t="shared" si="332"/>
        <v>1.7924552845528456</v>
      </c>
      <c r="V182" s="221">
        <f t="shared" si="333"/>
        <v>1.7924552845528459</v>
      </c>
      <c r="W182" s="221">
        <f t="shared" si="334"/>
        <v>0.98366448542534224</v>
      </c>
      <c r="X182" s="201">
        <f t="shared" si="335"/>
        <v>350</v>
      </c>
      <c r="Y182" s="451">
        <f t="shared" si="303"/>
        <v>350</v>
      </c>
      <c r="AA182" s="221">
        <f t="shared" si="336"/>
        <v>1.8447694038245221</v>
      </c>
      <c r="AB182" s="177">
        <f t="shared" si="337"/>
        <v>1.0123734533183355</v>
      </c>
      <c r="AC182" s="177">
        <f t="shared" si="338"/>
        <v>0.32682922508702178</v>
      </c>
      <c r="AD182" s="177"/>
      <c r="AE182" s="177">
        <f t="shared" si="339"/>
        <v>0.45</v>
      </c>
      <c r="AF182" s="555">
        <f t="shared" si="340"/>
        <v>1639.0243902439026</v>
      </c>
      <c r="AG182" s="538">
        <f t="shared" si="341"/>
        <v>6.4574999999999994E-2</v>
      </c>
      <c r="AI182" s="177">
        <f t="shared" si="342"/>
        <v>1.7744858410255067</v>
      </c>
      <c r="AJ182" s="177">
        <f t="shared" si="343"/>
        <v>1.7744858410255067</v>
      </c>
      <c r="AK182" s="177">
        <f t="shared" si="344"/>
        <v>1.8363238940170046</v>
      </c>
      <c r="AM182" s="555">
        <f t="shared" si="345"/>
        <v>302.39999999999998</v>
      </c>
      <c r="AN182" s="469">
        <f t="shared" si="346"/>
        <v>350</v>
      </c>
      <c r="AP182">
        <f t="shared" si="347"/>
        <v>302.39999999999998</v>
      </c>
      <c r="AQ182">
        <f t="shared" si="348"/>
        <v>350</v>
      </c>
      <c r="AS182" s="5">
        <f t="shared" si="263"/>
        <v>2.8571428571428572</v>
      </c>
      <c r="AT182" s="5">
        <f t="shared" si="349"/>
        <v>1.7744858410255069</v>
      </c>
      <c r="AU182" s="5">
        <f t="shared" si="304"/>
        <v>1.0826570161173503</v>
      </c>
      <c r="AV182" s="5"/>
      <c r="AW182" s="177">
        <f t="shared" si="305"/>
        <v>0.62107004435892743</v>
      </c>
      <c r="AX182" s="177">
        <f t="shared" si="259"/>
        <v>4.9593599999999993</v>
      </c>
      <c r="AY182" s="177">
        <f t="shared" si="260"/>
        <v>0.3362029205127533</v>
      </c>
      <c r="AZ182" s="177">
        <f t="shared" si="264"/>
        <v>14.7510913719498</v>
      </c>
      <c r="BA182" s="469">
        <f t="shared" si="350"/>
        <v>21.317779700075526</v>
      </c>
      <c r="BB182" s="469">
        <f t="shared" si="351"/>
        <v>26.635704154838706</v>
      </c>
      <c r="BC182" s="5">
        <f t="shared" si="359"/>
        <v>1.0441625444331775</v>
      </c>
      <c r="BD182" s="469">
        <f t="shared" si="352"/>
        <v>64.385752665990651</v>
      </c>
      <c r="BF182" s="177">
        <f t="shared" si="265"/>
        <v>0.807387836519185</v>
      </c>
      <c r="BG182" s="177">
        <f t="shared" si="261"/>
        <v>0.63065432801247756</v>
      </c>
      <c r="BI182" s="538">
        <f t="shared" si="306"/>
        <v>7.170626304150432E-2</v>
      </c>
      <c r="BJ182" s="538">
        <f t="shared" si="307"/>
        <v>7.887589563358377E-2</v>
      </c>
      <c r="BK182" s="538">
        <f t="shared" si="308"/>
        <v>1.7499999999999998E-2</v>
      </c>
      <c r="BL182" s="538">
        <f t="shared" si="309"/>
        <v>5.0806349999999993E-2</v>
      </c>
      <c r="BM182">
        <f t="shared" si="310"/>
        <v>2.6099999999999999E-3</v>
      </c>
      <c r="BN182">
        <f t="shared" si="353"/>
        <v>1.4E-5</v>
      </c>
      <c r="BO182" s="538">
        <f t="shared" si="354"/>
        <v>0.2244823667321281</v>
      </c>
      <c r="BP182" s="469">
        <f t="shared" si="311"/>
        <v>221.49850867508809</v>
      </c>
      <c r="BQ182" s="538">
        <f t="shared" si="355"/>
        <v>0.27216000000000001</v>
      </c>
      <c r="BT182" s="469">
        <f t="shared" si="312"/>
        <v>272.16000000000003</v>
      </c>
      <c r="BU182" s="538">
        <f t="shared" si="313"/>
        <v>3.129000569083825E-2</v>
      </c>
      <c r="BV182" s="538">
        <f t="shared" si="314"/>
        <v>9.5453971545808716E-2</v>
      </c>
      <c r="BW182" s="538">
        <f t="shared" si="315"/>
        <v>0</v>
      </c>
      <c r="BX182" s="538"/>
      <c r="BY182" s="538">
        <f t="shared" si="316"/>
        <v>5.5103999999999993E-2</v>
      </c>
      <c r="BZ182" s="469">
        <f t="shared" si="317"/>
        <v>181.84797723664695</v>
      </c>
      <c r="CA182" s="177">
        <f t="shared" si="318"/>
        <v>0.67550648591173512</v>
      </c>
      <c r="CB182" s="5">
        <f t="shared" si="319"/>
        <v>4.6871999999999998</v>
      </c>
      <c r="CC182" s="177">
        <f t="shared" si="320"/>
        <v>0.87403627483876922</v>
      </c>
      <c r="CD182" s="5">
        <f t="shared" si="321"/>
        <v>87.403627483876917</v>
      </c>
      <c r="CG182" s="571">
        <f t="shared" si="356"/>
        <v>-50</v>
      </c>
      <c r="CH182">
        <f t="shared" si="357"/>
        <v>-50</v>
      </c>
    </row>
    <row r="183" spans="5:86" x14ac:dyDescent="0.2">
      <c r="E183" s="174">
        <v>73</v>
      </c>
      <c r="F183" s="221">
        <f t="shared" si="358"/>
        <v>0.30659999999999998</v>
      </c>
      <c r="G183" s="221"/>
      <c r="H183" s="221">
        <f t="shared" si="322"/>
        <v>4.7523</v>
      </c>
      <c r="I183" s="551">
        <f t="shared" si="323"/>
        <v>9</v>
      </c>
      <c r="J183" s="451">
        <f t="shared" si="324"/>
        <v>16.399999999999999</v>
      </c>
      <c r="K183" s="451">
        <f t="shared" si="325"/>
        <v>25.4</v>
      </c>
      <c r="L183" s="451"/>
      <c r="M183" s="221">
        <f t="shared" si="326"/>
        <v>0.64566929133858264</v>
      </c>
      <c r="N183" s="176">
        <f t="shared" si="327"/>
        <v>10.799787401574802</v>
      </c>
      <c r="O183" s="176">
        <f t="shared" si="262"/>
        <v>4.7523</v>
      </c>
      <c r="P183" s="221">
        <f t="shared" si="328"/>
        <v>0.69676047752095494</v>
      </c>
      <c r="Q183" s="221">
        <f t="shared" si="329"/>
        <v>15.5</v>
      </c>
      <c r="R183" s="221"/>
      <c r="S183" s="176">
        <f t="shared" si="330"/>
        <v>45.333709564112326</v>
      </c>
      <c r="T183" s="546">
        <f t="shared" si="331"/>
        <v>15.5</v>
      </c>
      <c r="U183" s="221">
        <f t="shared" si="332"/>
        <v>1.8173504968383019</v>
      </c>
      <c r="V183" s="221">
        <f t="shared" si="333"/>
        <v>1.8173504968383019</v>
      </c>
      <c r="W183" s="221">
        <f t="shared" si="334"/>
        <v>0.99732649216736091</v>
      </c>
      <c r="X183" s="201">
        <f t="shared" si="335"/>
        <v>350</v>
      </c>
      <c r="Y183" s="451">
        <f t="shared" si="303"/>
        <v>350</v>
      </c>
      <c r="AA183" s="221">
        <f t="shared" si="336"/>
        <v>1.8447694038245221</v>
      </c>
      <c r="AB183" s="177">
        <f t="shared" si="337"/>
        <v>1.0123734533183355</v>
      </c>
      <c r="AC183" s="177">
        <f t="shared" si="338"/>
        <v>0.32682922508702178</v>
      </c>
      <c r="AD183" s="177"/>
      <c r="AE183" s="177">
        <f t="shared" si="339"/>
        <v>0.45</v>
      </c>
      <c r="AF183" s="555">
        <f t="shared" si="340"/>
        <v>1661.7886178861788</v>
      </c>
      <c r="AG183" s="538">
        <f t="shared" si="341"/>
        <v>6.4574999999999994E-2</v>
      </c>
      <c r="AI183" s="177">
        <f t="shared" si="342"/>
        <v>1.786766166383652</v>
      </c>
      <c r="AJ183" s="177">
        <f t="shared" si="343"/>
        <v>1.786766166383652</v>
      </c>
      <c r="AK183" s="177">
        <f t="shared" si="344"/>
        <v>1.8445107775891014</v>
      </c>
      <c r="AM183" s="555">
        <f t="shared" si="345"/>
        <v>306.59999999999997</v>
      </c>
      <c r="AN183" s="469">
        <f t="shared" si="346"/>
        <v>350</v>
      </c>
      <c r="AP183">
        <f t="shared" si="347"/>
        <v>306.59999999999997</v>
      </c>
      <c r="AQ183">
        <f t="shared" si="348"/>
        <v>350</v>
      </c>
      <c r="AS183" s="5">
        <f t="shared" si="263"/>
        <v>2.8571428571428572</v>
      </c>
      <c r="AT183" s="5">
        <f t="shared" si="349"/>
        <v>1.786766166383652</v>
      </c>
      <c r="AU183" s="5">
        <f t="shared" si="304"/>
        <v>1.0703766907592052</v>
      </c>
      <c r="AV183" s="5"/>
      <c r="AW183" s="177">
        <f t="shared" si="305"/>
        <v>0.62536815823427816</v>
      </c>
      <c r="AX183" s="177">
        <f t="shared" si="259"/>
        <v>5.0282399999999985</v>
      </c>
      <c r="AY183" s="177">
        <f t="shared" si="260"/>
        <v>0.33468974985849287</v>
      </c>
      <c r="AZ183" s="177">
        <f t="shared" si="264"/>
        <v>15.023585281969176</v>
      </c>
      <c r="BA183" s="469">
        <f t="shared" si="350"/>
        <v>21.317779700075526</v>
      </c>
      <c r="BB183" s="469">
        <f t="shared" si="351"/>
        <v>27.37220621935483</v>
      </c>
      <c r="BC183" s="5">
        <f t="shared" si="359"/>
        <v>1.0466566147108991</v>
      </c>
      <c r="BD183" s="469">
        <f t="shared" si="352"/>
        <v>64.559507993765067</v>
      </c>
      <c r="BF183" s="177">
        <f t="shared" si="265"/>
        <v>0.81578360912850889</v>
      </c>
      <c r="BG183" s="177">
        <f t="shared" si="261"/>
        <v>0.63140706430562032</v>
      </c>
      <c r="BI183" s="538">
        <f t="shared" si="306"/>
        <v>7.3205318661500943E-2</v>
      </c>
      <c r="BJ183" s="538">
        <f t="shared" si="307"/>
        <v>7.9421756095753318E-2</v>
      </c>
      <c r="BK183" s="538">
        <f t="shared" si="308"/>
        <v>1.7499999999999998E-2</v>
      </c>
      <c r="BL183" s="538">
        <f t="shared" si="309"/>
        <v>5.0806349999999993E-2</v>
      </c>
      <c r="BM183">
        <f t="shared" si="310"/>
        <v>2.6099999999999999E-3</v>
      </c>
      <c r="BN183">
        <f t="shared" si="353"/>
        <v>1.4E-5</v>
      </c>
      <c r="BO183" s="538">
        <f t="shared" si="354"/>
        <v>0.22661821680132332</v>
      </c>
      <c r="BP183" s="469">
        <f t="shared" si="311"/>
        <v>223.54342475725426</v>
      </c>
      <c r="BQ183" s="538">
        <f t="shared" si="355"/>
        <v>0.27594000000000002</v>
      </c>
      <c r="BT183" s="469">
        <f t="shared" si="312"/>
        <v>275.94</v>
      </c>
      <c r="BU183" s="538">
        <f t="shared" si="313"/>
        <v>3.194413905229132E-2</v>
      </c>
      <c r="BV183" s="538">
        <f t="shared" si="314"/>
        <v>9.5681971405210023E-2</v>
      </c>
      <c r="BW183" s="538">
        <f t="shared" si="315"/>
        <v>0</v>
      </c>
      <c r="BX183" s="538"/>
      <c r="BY183" s="538">
        <f t="shared" si="316"/>
        <v>5.5869333333333326E-2</v>
      </c>
      <c r="BZ183" s="469">
        <f t="shared" si="317"/>
        <v>183.49544379083466</v>
      </c>
      <c r="CA183" s="177">
        <f t="shared" si="318"/>
        <v>0.68297886854808898</v>
      </c>
      <c r="CB183" s="5">
        <f t="shared" si="319"/>
        <v>4.7523</v>
      </c>
      <c r="CC183" s="177">
        <f t="shared" si="320"/>
        <v>0.8743433621225527</v>
      </c>
      <c r="CD183" s="5">
        <f t="shared" si="321"/>
        <v>87.434336212255275</v>
      </c>
      <c r="CG183" s="571">
        <f t="shared" si="356"/>
        <v>-50</v>
      </c>
      <c r="CH183">
        <f t="shared" si="357"/>
        <v>-50</v>
      </c>
    </row>
    <row r="184" spans="5:86" x14ac:dyDescent="0.2">
      <c r="E184" s="174">
        <v>74</v>
      </c>
      <c r="F184" s="221">
        <f t="shared" si="358"/>
        <v>0.31079999999999997</v>
      </c>
      <c r="G184" s="221"/>
      <c r="H184" s="221">
        <f t="shared" si="322"/>
        <v>4.8173999999999992</v>
      </c>
      <c r="I184" s="551">
        <f t="shared" si="323"/>
        <v>9</v>
      </c>
      <c r="J184" s="451">
        <f t="shared" si="324"/>
        <v>16.399999999999999</v>
      </c>
      <c r="K184" s="451">
        <f t="shared" si="325"/>
        <v>25.4</v>
      </c>
      <c r="L184" s="451"/>
      <c r="M184" s="221">
        <f t="shared" si="326"/>
        <v>0.64566929133858264</v>
      </c>
      <c r="N184" s="176">
        <f t="shared" si="327"/>
        <v>10.799787401574802</v>
      </c>
      <c r="O184" s="176">
        <f t="shared" si="262"/>
        <v>4.8173999999999992</v>
      </c>
      <c r="P184" s="221">
        <f t="shared" si="328"/>
        <v>0.69676047752095494</v>
      </c>
      <c r="Q184" s="221">
        <f t="shared" si="329"/>
        <v>15.5</v>
      </c>
      <c r="R184" s="221"/>
      <c r="S184" s="176">
        <f t="shared" si="330"/>
        <v>44.604644733667847</v>
      </c>
      <c r="T184" s="546">
        <f t="shared" si="331"/>
        <v>15.5</v>
      </c>
      <c r="U184" s="221">
        <f t="shared" si="332"/>
        <v>1.8422457091237578</v>
      </c>
      <c r="V184" s="221">
        <f t="shared" si="333"/>
        <v>1.8422457091237581</v>
      </c>
      <c r="W184" s="221">
        <f t="shared" si="334"/>
        <v>1.0109884989093796</v>
      </c>
      <c r="X184" s="201">
        <f t="shared" si="335"/>
        <v>350</v>
      </c>
      <c r="Y184" s="451">
        <f t="shared" si="303"/>
        <v>350</v>
      </c>
      <c r="AA184" s="221">
        <f t="shared" si="336"/>
        <v>1.8447694038245221</v>
      </c>
      <c r="AB184" s="177">
        <f t="shared" si="337"/>
        <v>1.0123734533183355</v>
      </c>
      <c r="AC184" s="177">
        <f t="shared" si="338"/>
        <v>0.32682922508702178</v>
      </c>
      <c r="AD184" s="177"/>
      <c r="AE184" s="177">
        <f t="shared" si="339"/>
        <v>0.45</v>
      </c>
      <c r="AF184" s="555">
        <f t="shared" si="340"/>
        <v>1684.5528455284552</v>
      </c>
      <c r="AG184" s="538">
        <f t="shared" si="341"/>
        <v>6.4574999999999994E-2</v>
      </c>
      <c r="AI184" s="177">
        <f t="shared" si="342"/>
        <v>1.7989626640557792</v>
      </c>
      <c r="AJ184" s="177">
        <f t="shared" si="343"/>
        <v>1.7989626640557792</v>
      </c>
      <c r="AK184" s="177">
        <f t="shared" si="344"/>
        <v>1.8526417760371863</v>
      </c>
      <c r="AM184" s="555">
        <f t="shared" si="345"/>
        <v>310.79999999999995</v>
      </c>
      <c r="AN184" s="469">
        <f t="shared" si="346"/>
        <v>350</v>
      </c>
      <c r="AP184">
        <f t="shared" si="347"/>
        <v>310.79999999999995</v>
      </c>
      <c r="AQ184">
        <f t="shared" si="348"/>
        <v>350</v>
      </c>
      <c r="AS184" s="5">
        <f t="shared" si="263"/>
        <v>2.8571428571428572</v>
      </c>
      <c r="AT184" s="5">
        <f t="shared" si="349"/>
        <v>1.7989626640557794</v>
      </c>
      <c r="AU184" s="5">
        <f t="shared" si="304"/>
        <v>1.0581801930870778</v>
      </c>
      <c r="AV184" s="5"/>
      <c r="AW184" s="177">
        <f t="shared" si="305"/>
        <v>0.62963693241952279</v>
      </c>
      <c r="AX184" s="177">
        <f t="shared" si="259"/>
        <v>5.0971200000000003</v>
      </c>
      <c r="AY184" s="177">
        <f t="shared" si="260"/>
        <v>0.33313466536122294</v>
      </c>
      <c r="AZ184" s="177">
        <f t="shared" si="264"/>
        <v>15.300479145492458</v>
      </c>
      <c r="BA184" s="469">
        <f t="shared" si="350"/>
        <v>21.317779700075526</v>
      </c>
      <c r="BB184" s="469">
        <f t="shared" si="351"/>
        <v>28.118751070967733</v>
      </c>
      <c r="BC184" s="5">
        <f t="shared" si="359"/>
        <v>1.0489047864563144</v>
      </c>
      <c r="BD184" s="469">
        <f t="shared" si="352"/>
        <v>64.718509409601083</v>
      </c>
      <c r="BF184" s="177">
        <f t="shared" si="265"/>
        <v>0.82415067726145685</v>
      </c>
      <c r="BG184" s="177">
        <f t="shared" si="261"/>
        <v>0.63208481766693103</v>
      </c>
      <c r="BI184" s="538">
        <f t="shared" si="306"/>
        <v>7.4714677271356986E-2</v>
      </c>
      <c r="BJ184" s="538">
        <f t="shared" si="307"/>
        <v>7.9963890417279374E-2</v>
      </c>
      <c r="BK184" s="538">
        <f t="shared" si="308"/>
        <v>1.7499999999999998E-2</v>
      </c>
      <c r="BL184" s="538">
        <f t="shared" si="309"/>
        <v>5.0806349999999993E-2</v>
      </c>
      <c r="BM184">
        <f t="shared" si="310"/>
        <v>2.6099999999999999E-3</v>
      </c>
      <c r="BN184">
        <f t="shared" si="353"/>
        <v>1.4E-5</v>
      </c>
      <c r="BO184" s="538">
        <f t="shared" si="354"/>
        <v>0.2287623745273018</v>
      </c>
      <c r="BP184" s="469">
        <f t="shared" si="311"/>
        <v>225.59491768863634</v>
      </c>
      <c r="BQ184" s="538">
        <f t="shared" si="355"/>
        <v>0.27971999999999997</v>
      </c>
      <c r="BT184" s="469">
        <f t="shared" si="312"/>
        <v>279.71999999999997</v>
      </c>
      <c r="BU184" s="538">
        <f t="shared" si="313"/>
        <v>3.2602768263864865E-2</v>
      </c>
      <c r="BV184" s="538">
        <f t="shared" si="314"/>
        <v>9.5887492014008979E-2</v>
      </c>
      <c r="BW184" s="538">
        <f t="shared" si="315"/>
        <v>0</v>
      </c>
      <c r="BX184" s="538"/>
      <c r="BY184" s="538">
        <f t="shared" si="316"/>
        <v>5.6634666666666666E-2</v>
      </c>
      <c r="BZ184" s="469">
        <f t="shared" si="317"/>
        <v>185.12492694454053</v>
      </c>
      <c r="CA184" s="177">
        <f t="shared" si="318"/>
        <v>0.69043984463317676</v>
      </c>
      <c r="CB184" s="5">
        <f t="shared" si="319"/>
        <v>4.8173999999999992</v>
      </c>
      <c r="CC184" s="177">
        <f t="shared" si="320"/>
        <v>0.87464416829295788</v>
      </c>
      <c r="CD184" s="5">
        <f t="shared" si="321"/>
        <v>87.464416829295786</v>
      </c>
      <c r="CG184" s="571">
        <f t="shared" si="356"/>
        <v>-50</v>
      </c>
      <c r="CH184">
        <f t="shared" si="357"/>
        <v>-50</v>
      </c>
    </row>
    <row r="185" spans="5:86" x14ac:dyDescent="0.2">
      <c r="E185" s="174">
        <v>75</v>
      </c>
      <c r="F185" s="221">
        <f t="shared" si="358"/>
        <v>0.315</v>
      </c>
      <c r="G185" s="221"/>
      <c r="H185" s="221">
        <f t="shared" si="322"/>
        <v>4.8825000000000003</v>
      </c>
      <c r="I185" s="551">
        <f t="shared" si="323"/>
        <v>9</v>
      </c>
      <c r="J185" s="451">
        <f t="shared" si="324"/>
        <v>16.399999999999999</v>
      </c>
      <c r="K185" s="451">
        <f t="shared" si="325"/>
        <v>25.4</v>
      </c>
      <c r="L185" s="451"/>
      <c r="M185" s="221">
        <f t="shared" si="326"/>
        <v>0.64566929133858264</v>
      </c>
      <c r="N185" s="176">
        <f t="shared" si="327"/>
        <v>10.799787401574802</v>
      </c>
      <c r="O185" s="176">
        <f t="shared" si="262"/>
        <v>4.8825000000000003</v>
      </c>
      <c r="P185" s="221">
        <f t="shared" si="328"/>
        <v>0.69676047752095494</v>
      </c>
      <c r="Q185" s="221">
        <f t="shared" si="329"/>
        <v>15.5</v>
      </c>
      <c r="R185" s="221"/>
      <c r="S185" s="176">
        <f t="shared" si="330"/>
        <v>43.895109026829694</v>
      </c>
      <c r="T185" s="546">
        <f t="shared" si="331"/>
        <v>15.5</v>
      </c>
      <c r="U185" s="221">
        <f t="shared" si="332"/>
        <v>1.8671409214092145</v>
      </c>
      <c r="V185" s="221">
        <f t="shared" si="333"/>
        <v>1.8671409214092145</v>
      </c>
      <c r="W185" s="221">
        <f t="shared" si="334"/>
        <v>1.0246505056513981</v>
      </c>
      <c r="X185" s="201">
        <f t="shared" si="335"/>
        <v>350</v>
      </c>
      <c r="Y185" s="451">
        <f t="shared" si="303"/>
        <v>345.80640589852601</v>
      </c>
      <c r="AA185" s="221">
        <f t="shared" si="336"/>
        <v>1.8447694038245221</v>
      </c>
      <c r="AB185" s="177">
        <f t="shared" si="337"/>
        <v>1.0123734533183355</v>
      </c>
      <c r="AC185" s="177">
        <f t="shared" si="338"/>
        <v>0.32682922508702178</v>
      </c>
      <c r="AD185" s="177"/>
      <c r="AE185" s="177">
        <f t="shared" si="339"/>
        <v>0.45</v>
      </c>
      <c r="AF185" s="555">
        <f t="shared" si="340"/>
        <v>1707.3170731707319</v>
      </c>
      <c r="AG185" s="538">
        <f t="shared" si="341"/>
        <v>6.4574999999999994E-2</v>
      </c>
      <c r="AI185" s="177">
        <f t="shared" si="342"/>
        <v>1.8110770276274832</v>
      </c>
      <c r="AJ185" s="177">
        <f t="shared" si="343"/>
        <v>1.8110770276274832</v>
      </c>
      <c r="AK185" s="177">
        <f t="shared" si="344"/>
        <v>1.8607180184183223</v>
      </c>
      <c r="AM185" s="555">
        <f t="shared" si="345"/>
        <v>315</v>
      </c>
      <c r="AN185" s="469">
        <f t="shared" si="346"/>
        <v>345.80640589852601</v>
      </c>
      <c r="AP185">
        <f t="shared" si="347"/>
        <v>315</v>
      </c>
      <c r="AQ185">
        <f t="shared" si="348"/>
        <v>345.80640589852601</v>
      </c>
      <c r="AS185" s="5">
        <f t="shared" si="263"/>
        <v>2.8917914270606131</v>
      </c>
      <c r="AT185" s="5">
        <f t="shared" si="349"/>
        <v>1.8110770276274832</v>
      </c>
      <c r="AU185" s="5">
        <f t="shared" si="304"/>
        <v>1.0807143994331299</v>
      </c>
      <c r="AV185" s="5"/>
      <c r="AW185" s="177">
        <f t="shared" si="305"/>
        <v>0.6262820377292454</v>
      </c>
      <c r="AX185" s="177">
        <f t="shared" si="259"/>
        <v>5.104102551062244</v>
      </c>
      <c r="AY185" s="177">
        <f t="shared" si="260"/>
        <v>0.3384160081401591</v>
      </c>
      <c r="AZ185" s="177">
        <f t="shared" si="264"/>
        <v>15.082331888237148</v>
      </c>
      <c r="BA185" s="469">
        <f t="shared" si="350"/>
        <v>21.317779700075526</v>
      </c>
      <c r="BB185" s="469">
        <f t="shared" si="351"/>
        <v>28.875338709677415</v>
      </c>
      <c r="BC185" s="5">
        <f t="shared" si="359"/>
        <v>1.0857177068379127</v>
      </c>
      <c r="BD185" s="469">
        <f t="shared" si="352"/>
        <v>66.951395743608089</v>
      </c>
      <c r="BF185" s="177">
        <f t="shared" si="265"/>
        <v>0.82748717688995532</v>
      </c>
      <c r="BG185" s="177">
        <f t="shared" si="261"/>
        <v>0.63921694706572429</v>
      </c>
      <c r="BI185" s="538">
        <f t="shared" si="306"/>
        <v>7.5320853070903901E-2</v>
      </c>
      <c r="BJ185" s="538">
        <f t="shared" si="307"/>
        <v>7.9537818791614173E-2</v>
      </c>
      <c r="BK185" s="538">
        <f t="shared" si="308"/>
        <v>1.72903202949263E-2</v>
      </c>
      <c r="BL185" s="538">
        <f t="shared" si="309"/>
        <v>5.0197603686635922E-2</v>
      </c>
      <c r="BM185">
        <f t="shared" si="310"/>
        <v>2.6099999999999999E-3</v>
      </c>
      <c r="BN185">
        <f t="shared" si="353"/>
        <v>1.383225623594104E-5</v>
      </c>
      <c r="BO185" s="538">
        <f t="shared" si="354"/>
        <v>0.22814083220817691</v>
      </c>
      <c r="BP185" s="469">
        <f t="shared" si="311"/>
        <v>224.95659584408028</v>
      </c>
      <c r="BQ185" s="538">
        <f t="shared" si="355"/>
        <v>0.28350000000000003</v>
      </c>
      <c r="BT185" s="469">
        <f t="shared" si="312"/>
        <v>283.50000000000006</v>
      </c>
      <c r="BU185" s="538">
        <f t="shared" si="313"/>
        <v>3.2867281340030793E-2</v>
      </c>
      <c r="BV185" s="538">
        <f t="shared" si="314"/>
        <v>9.8063593299846E-2</v>
      </c>
      <c r="BW185" s="538">
        <f t="shared" si="315"/>
        <v>0</v>
      </c>
      <c r="BX185" s="538"/>
      <c r="BY185" s="538">
        <f t="shared" si="316"/>
        <v>5.671225056735827E-2</v>
      </c>
      <c r="BZ185" s="469">
        <f t="shared" si="317"/>
        <v>187.64312520723504</v>
      </c>
      <c r="CA185" s="177">
        <f t="shared" si="318"/>
        <v>0.69609972105131546</v>
      </c>
      <c r="CB185" s="5">
        <f t="shared" si="319"/>
        <v>4.8825000000000003</v>
      </c>
      <c r="CC185" s="177">
        <f t="shared" si="320"/>
        <v>0.87521963290814275</v>
      </c>
      <c r="CD185" s="5">
        <f t="shared" si="321"/>
        <v>87.52196329081427</v>
      </c>
      <c r="CG185" s="571">
        <f t="shared" si="356"/>
        <v>-50</v>
      </c>
      <c r="CH185">
        <f t="shared" si="357"/>
        <v>-50</v>
      </c>
    </row>
    <row r="186" spans="5:86" x14ac:dyDescent="0.2">
      <c r="E186" s="174">
        <v>76</v>
      </c>
      <c r="F186" s="221">
        <f t="shared" si="358"/>
        <v>0.31919999999999998</v>
      </c>
      <c r="G186" s="221"/>
      <c r="H186" s="221">
        <f t="shared" si="322"/>
        <v>4.9475999999999996</v>
      </c>
      <c r="I186" s="551">
        <f t="shared" si="323"/>
        <v>9</v>
      </c>
      <c r="J186" s="451">
        <f t="shared" si="324"/>
        <v>16.399999999999999</v>
      </c>
      <c r="K186" s="451">
        <f t="shared" si="325"/>
        <v>25.4</v>
      </c>
      <c r="L186" s="451"/>
      <c r="M186" s="221">
        <f t="shared" si="326"/>
        <v>0.64566929133858264</v>
      </c>
      <c r="N186" s="176">
        <f t="shared" si="327"/>
        <v>10.799787401574802</v>
      </c>
      <c r="O186" s="176">
        <f t="shared" si="262"/>
        <v>4.9475999999999996</v>
      </c>
      <c r="P186" s="221">
        <f t="shared" si="328"/>
        <v>0.69676047752095494</v>
      </c>
      <c r="Q186" s="221">
        <f t="shared" si="329"/>
        <v>15.5</v>
      </c>
      <c r="R186" s="221"/>
      <c r="S186" s="176">
        <f t="shared" si="330"/>
        <v>43.204332119907633</v>
      </c>
      <c r="T186" s="546">
        <f t="shared" si="331"/>
        <v>15.5</v>
      </c>
      <c r="U186" s="221">
        <f t="shared" si="332"/>
        <v>1.8920361336946703</v>
      </c>
      <c r="V186" s="221">
        <f t="shared" si="333"/>
        <v>1.8920361336946703</v>
      </c>
      <c r="W186" s="221">
        <f t="shared" si="334"/>
        <v>1.0383125123934167</v>
      </c>
      <c r="X186" s="201">
        <f t="shared" si="335"/>
        <v>350</v>
      </c>
      <c r="Y186" s="451">
        <f t="shared" si="303"/>
        <v>341.25632161038754</v>
      </c>
      <c r="AA186" s="221">
        <f t="shared" si="336"/>
        <v>1.8447694038245221</v>
      </c>
      <c r="AB186" s="177">
        <f t="shared" si="337"/>
        <v>1.0123734533183355</v>
      </c>
      <c r="AC186" s="177">
        <f t="shared" si="338"/>
        <v>0.32682922508702178</v>
      </c>
      <c r="AD186" s="177"/>
      <c r="AE186" s="177">
        <f t="shared" si="339"/>
        <v>0.45</v>
      </c>
      <c r="AF186" s="555">
        <f t="shared" si="340"/>
        <v>1730.0813008130081</v>
      </c>
      <c r="AG186" s="538">
        <f t="shared" si="341"/>
        <v>6.4574999999999994E-2</v>
      </c>
      <c r="AI186" s="177">
        <f t="shared" si="342"/>
        <v>1.8231108944146357</v>
      </c>
      <c r="AJ186" s="177">
        <f t="shared" si="343"/>
        <v>1.8231108944146357</v>
      </c>
      <c r="AK186" s="177">
        <f t="shared" si="344"/>
        <v>1.8687405962764239</v>
      </c>
      <c r="AM186" s="555">
        <f t="shared" si="345"/>
        <v>319.2</v>
      </c>
      <c r="AN186" s="469">
        <f t="shared" si="346"/>
        <v>341.25632161038754</v>
      </c>
      <c r="AP186">
        <f t="shared" si="347"/>
        <v>319.2</v>
      </c>
      <c r="AQ186">
        <f t="shared" si="348"/>
        <v>341.25632161038754</v>
      </c>
      <c r="AS186" s="5">
        <f t="shared" si="263"/>
        <v>2.9303486460880874</v>
      </c>
      <c r="AT186" s="5">
        <f t="shared" si="349"/>
        <v>1.8231108944146357</v>
      </c>
      <c r="AU186" s="5">
        <f t="shared" si="304"/>
        <v>1.1072377516734517</v>
      </c>
      <c r="AV186" s="5"/>
      <c r="AW186" s="177">
        <f t="shared" si="305"/>
        <v>0.62214811771576217</v>
      </c>
      <c r="AX186" s="177">
        <f t="shared" si="259"/>
        <v>5.104102551062244</v>
      </c>
      <c r="AY186" s="177">
        <f t="shared" si="260"/>
        <v>0.34443294153373522</v>
      </c>
      <c r="AZ186" s="177">
        <f t="shared" si="264"/>
        <v>14.818857128862417</v>
      </c>
      <c r="BA186" s="469">
        <f t="shared" si="350"/>
        <v>21.317779700075526</v>
      </c>
      <c r="BB186" s="469">
        <f t="shared" si="351"/>
        <v>29.641969135483865</v>
      </c>
      <c r="BC186" s="5">
        <f t="shared" si="359"/>
        <v>1.1271953704073185</v>
      </c>
      <c r="BD186" s="469">
        <f t="shared" si="352"/>
        <v>69.464166668883564</v>
      </c>
      <c r="BF186" s="177">
        <f t="shared" si="265"/>
        <v>0.83023178231994732</v>
      </c>
      <c r="BG186" s="177">
        <f t="shared" si="261"/>
        <v>0.64701336828303224</v>
      </c>
      <c r="BI186" s="538">
        <f t="shared" si="306"/>
        <v>7.5821329361157208E-2</v>
      </c>
      <c r="BJ186" s="538">
        <f t="shared" si="307"/>
        <v>7.9012810949901799E-2</v>
      </c>
      <c r="BK186" s="538">
        <f t="shared" si="308"/>
        <v>1.7062816080519377E-2</v>
      </c>
      <c r="BL186" s="538">
        <f t="shared" si="309"/>
        <v>4.9537108901285459E-2</v>
      </c>
      <c r="BM186">
        <f t="shared" si="310"/>
        <v>2.6099999999999999E-3</v>
      </c>
      <c r="BN186">
        <f t="shared" si="353"/>
        <v>1.3650252864415502E-5</v>
      </c>
      <c r="BO186" s="538">
        <f t="shared" si="354"/>
        <v>0.22723653545417802</v>
      </c>
      <c r="BP186" s="469">
        <f t="shared" si="311"/>
        <v>224.04406529286385</v>
      </c>
      <c r="BQ186" s="538">
        <f t="shared" si="355"/>
        <v>0.28727999999999998</v>
      </c>
      <c r="BT186" s="469">
        <f t="shared" si="312"/>
        <v>287.27999999999997</v>
      </c>
      <c r="BU186" s="538">
        <f t="shared" si="313"/>
        <v>3.308567099395951E-2</v>
      </c>
      <c r="BV186" s="538">
        <f t="shared" si="314"/>
        <v>0.10047031169686912</v>
      </c>
      <c r="BW186" s="538">
        <f t="shared" si="315"/>
        <v>0</v>
      </c>
      <c r="BX186" s="538"/>
      <c r="BY186" s="538">
        <f t="shared" si="316"/>
        <v>5.671225056735827E-2</v>
      </c>
      <c r="BZ186" s="469">
        <f t="shared" si="317"/>
        <v>190.26823325818691</v>
      </c>
      <c r="CA186" s="177">
        <f t="shared" si="318"/>
        <v>0.70159229855105087</v>
      </c>
      <c r="CB186" s="5">
        <f t="shared" si="319"/>
        <v>4.9475999999999996</v>
      </c>
      <c r="CC186" s="177">
        <f t="shared" si="320"/>
        <v>0.87580661774763779</v>
      </c>
      <c r="CD186" s="5">
        <f t="shared" si="321"/>
        <v>87.580661774763783</v>
      </c>
      <c r="CG186" s="571">
        <f t="shared" si="356"/>
        <v>-50</v>
      </c>
      <c r="CH186">
        <f t="shared" si="357"/>
        <v>-50</v>
      </c>
    </row>
    <row r="187" spans="5:86" x14ac:dyDescent="0.2">
      <c r="E187" s="174">
        <v>77</v>
      </c>
      <c r="F187" s="221">
        <f t="shared" si="358"/>
        <v>0.32340000000000002</v>
      </c>
      <c r="G187" s="221"/>
      <c r="H187" s="221">
        <f t="shared" si="322"/>
        <v>5.0127000000000006</v>
      </c>
      <c r="I187" s="551">
        <f t="shared" si="323"/>
        <v>9</v>
      </c>
      <c r="J187" s="451">
        <f t="shared" si="324"/>
        <v>16.399999999999999</v>
      </c>
      <c r="K187" s="451">
        <f t="shared" si="325"/>
        <v>25.4</v>
      </c>
      <c r="L187" s="451"/>
      <c r="M187" s="221">
        <f t="shared" si="326"/>
        <v>0.64566929133858264</v>
      </c>
      <c r="N187" s="176">
        <f t="shared" si="327"/>
        <v>10.799787401574802</v>
      </c>
      <c r="O187" s="176">
        <f t="shared" si="262"/>
        <v>5.0127000000000006</v>
      </c>
      <c r="P187" s="221">
        <f t="shared" si="328"/>
        <v>0.69676047752095494</v>
      </c>
      <c r="Q187" s="221">
        <f t="shared" si="329"/>
        <v>15.5</v>
      </c>
      <c r="R187" s="221"/>
      <c r="S187" s="176">
        <f t="shared" si="330"/>
        <v>42.531583709855447</v>
      </c>
      <c r="T187" s="546">
        <f t="shared" si="331"/>
        <v>15.5</v>
      </c>
      <c r="U187" s="221">
        <f t="shared" si="332"/>
        <v>1.9169313459801269</v>
      </c>
      <c r="V187" s="221">
        <f t="shared" si="333"/>
        <v>1.9169313459801267</v>
      </c>
      <c r="W187" s="221">
        <f t="shared" si="334"/>
        <v>1.0519745191354355</v>
      </c>
      <c r="X187" s="201">
        <f t="shared" si="335"/>
        <v>350</v>
      </c>
      <c r="Y187" s="451">
        <f t="shared" si="303"/>
        <v>336.82442132973318</v>
      </c>
      <c r="AA187" s="221">
        <f t="shared" si="336"/>
        <v>1.8447694038245221</v>
      </c>
      <c r="AB187" s="177">
        <f t="shared" si="337"/>
        <v>1.0123734533183355</v>
      </c>
      <c r="AC187" s="177">
        <f t="shared" si="338"/>
        <v>0.32682922508702178</v>
      </c>
      <c r="AD187" s="177"/>
      <c r="AE187" s="177">
        <f t="shared" si="339"/>
        <v>0.45</v>
      </c>
      <c r="AF187" s="555">
        <f t="shared" si="340"/>
        <v>1752.8455284552847</v>
      </c>
      <c r="AG187" s="538">
        <f t="shared" si="341"/>
        <v>6.4574999999999994E-2</v>
      </c>
      <c r="AI187" s="177">
        <f t="shared" si="342"/>
        <v>1.8350658480465125</v>
      </c>
      <c r="AJ187" s="177">
        <f t="shared" si="343"/>
        <v>1.8350658480465125</v>
      </c>
      <c r="AK187" s="177">
        <f t="shared" si="344"/>
        <v>1.8767105653643417</v>
      </c>
      <c r="AM187" s="555">
        <f t="shared" si="345"/>
        <v>323.40000000000003</v>
      </c>
      <c r="AN187" s="469">
        <f t="shared" si="346"/>
        <v>336.82442132973318</v>
      </c>
      <c r="AP187">
        <f t="shared" si="347"/>
        <v>323.40000000000003</v>
      </c>
      <c r="AQ187">
        <f t="shared" si="348"/>
        <v>336.82442132973318</v>
      </c>
      <c r="AS187" s="5">
        <f t="shared" si="263"/>
        <v>2.9689058651155618</v>
      </c>
      <c r="AT187" s="5">
        <f t="shared" si="349"/>
        <v>1.8350658480465125</v>
      </c>
      <c r="AU187" s="5">
        <f t="shared" si="304"/>
        <v>1.1338400170690492</v>
      </c>
      <c r="AV187" s="5"/>
      <c r="AW187" s="177">
        <f t="shared" si="305"/>
        <v>0.6180949923702227</v>
      </c>
      <c r="AX187" s="177">
        <f t="shared" si="259"/>
        <v>5.1041025510622449</v>
      </c>
      <c r="AY187" s="177">
        <f t="shared" si="260"/>
        <v>0.35041041834967357</v>
      </c>
      <c r="AZ187" s="177">
        <f t="shared" si="264"/>
        <v>14.566069625158448</v>
      </c>
      <c r="BA187" s="469">
        <f t="shared" si="350"/>
        <v>21.317779700075526</v>
      </c>
      <c r="BB187" s="469">
        <f t="shared" si="351"/>
        <v>30.418642348387092</v>
      </c>
      <c r="BC187" s="5">
        <f t="shared" si="359"/>
        <v>1.1694649904448609</v>
      </c>
      <c r="BD187" s="469">
        <f t="shared" si="352"/>
        <v>72.024454982247207</v>
      </c>
      <c r="BF187" s="177">
        <f t="shared" si="265"/>
        <v>0.83294943496795615</v>
      </c>
      <c r="BG187" s="177">
        <f t="shared" si="261"/>
        <v>0.65473974041251792</v>
      </c>
      <c r="BI187" s="538">
        <f t="shared" si="306"/>
        <v>7.6318523733478111E-2</v>
      </c>
      <c r="BJ187" s="538">
        <f t="shared" si="307"/>
        <v>7.8498064031018278E-2</v>
      </c>
      <c r="BK187" s="538">
        <f t="shared" si="308"/>
        <v>1.684122106648666E-2</v>
      </c>
      <c r="BL187" s="538">
        <f t="shared" si="309"/>
        <v>4.8893769824645397E-2</v>
      </c>
      <c r="BM187">
        <f t="shared" si="310"/>
        <v>2.6099999999999999E-3</v>
      </c>
      <c r="BN187">
        <f t="shared" si="353"/>
        <v>1.3472976853189327E-5</v>
      </c>
      <c r="BO187" s="538">
        <f t="shared" si="354"/>
        <v>0.22636240810085137</v>
      </c>
      <c r="BP187" s="469">
        <f t="shared" si="311"/>
        <v>223.16157865562846</v>
      </c>
      <c r="BQ187" s="538">
        <f t="shared" si="355"/>
        <v>0.29106000000000004</v>
      </c>
      <c r="BT187" s="469">
        <f t="shared" si="312"/>
        <v>291.06000000000006</v>
      </c>
      <c r="BU187" s="538">
        <f t="shared" si="313"/>
        <v>3.3302628538244991E-2</v>
      </c>
      <c r="BV187" s="538">
        <f t="shared" si="314"/>
        <v>0.10288419064210831</v>
      </c>
      <c r="BW187" s="538">
        <f t="shared" si="315"/>
        <v>0</v>
      </c>
      <c r="BX187" s="538"/>
      <c r="BY187" s="538">
        <f t="shared" si="316"/>
        <v>5.6712250567358263E-2</v>
      </c>
      <c r="BZ187" s="469">
        <f t="shared" si="317"/>
        <v>192.89906974771156</v>
      </c>
      <c r="CA187" s="177">
        <f t="shared" si="318"/>
        <v>0.7071206484033401</v>
      </c>
      <c r="CB187" s="5">
        <f t="shared" si="319"/>
        <v>5.0127000000000006</v>
      </c>
      <c r="CC187" s="177">
        <f t="shared" si="320"/>
        <v>0.87637363269410751</v>
      </c>
      <c r="CD187" s="5">
        <f t="shared" si="321"/>
        <v>87.637363269410756</v>
      </c>
      <c r="CG187" s="571">
        <f t="shared" si="356"/>
        <v>-50</v>
      </c>
      <c r="CH187">
        <f t="shared" si="357"/>
        <v>-50</v>
      </c>
    </row>
    <row r="188" spans="5:86" x14ac:dyDescent="0.2">
      <c r="E188" s="174">
        <v>78</v>
      </c>
      <c r="F188" s="221">
        <f t="shared" si="358"/>
        <v>0.3276</v>
      </c>
      <c r="G188" s="221"/>
      <c r="H188" s="221">
        <f t="shared" si="322"/>
        <v>5.0777999999999999</v>
      </c>
      <c r="I188" s="551">
        <f t="shared" si="323"/>
        <v>9</v>
      </c>
      <c r="J188" s="451">
        <f t="shared" si="324"/>
        <v>16.399999999999999</v>
      </c>
      <c r="K188" s="451">
        <f t="shared" si="325"/>
        <v>25.4</v>
      </c>
      <c r="L188" s="451"/>
      <c r="M188" s="221">
        <f t="shared" si="326"/>
        <v>0.64566929133858264</v>
      </c>
      <c r="N188" s="176">
        <f t="shared" si="327"/>
        <v>10.799787401574802</v>
      </c>
      <c r="O188" s="176">
        <f t="shared" si="262"/>
        <v>5.0777999999999999</v>
      </c>
      <c r="P188" s="221">
        <f t="shared" si="328"/>
        <v>0.69676047752095494</v>
      </c>
      <c r="Q188" s="221">
        <f t="shared" si="329"/>
        <v>15.5</v>
      </c>
      <c r="R188" s="221"/>
      <c r="S188" s="176">
        <f t="shared" si="330"/>
        <v>41.876170948864463</v>
      </c>
      <c r="T188" s="546">
        <f t="shared" si="331"/>
        <v>15.5</v>
      </c>
      <c r="U188" s="221">
        <f t="shared" si="332"/>
        <v>1.9418265582655829</v>
      </c>
      <c r="V188" s="221">
        <f t="shared" si="333"/>
        <v>1.9418265582655831</v>
      </c>
      <c r="W188" s="221">
        <f t="shared" si="334"/>
        <v>1.0656365258774543</v>
      </c>
      <c r="X188" s="201">
        <f t="shared" si="335"/>
        <v>350</v>
      </c>
      <c r="Y188" s="451">
        <f t="shared" si="303"/>
        <v>332.50615951781344</v>
      </c>
      <c r="AA188" s="221">
        <f t="shared" si="336"/>
        <v>1.8447694038245221</v>
      </c>
      <c r="AB188" s="177">
        <f t="shared" si="337"/>
        <v>1.0123734533183355</v>
      </c>
      <c r="AC188" s="177">
        <f t="shared" si="338"/>
        <v>0.32682922508702178</v>
      </c>
      <c r="AD188" s="177"/>
      <c r="AE188" s="177">
        <f t="shared" si="339"/>
        <v>0.45</v>
      </c>
      <c r="AF188" s="555">
        <f t="shared" si="340"/>
        <v>1775.6097560975609</v>
      </c>
      <c r="AG188" s="538">
        <f t="shared" si="341"/>
        <v>6.4574999999999994E-2</v>
      </c>
      <c r="AI188" s="177">
        <f t="shared" si="342"/>
        <v>1.8469434208984312</v>
      </c>
      <c r="AJ188" s="177">
        <f t="shared" si="343"/>
        <v>1.9418265582655829</v>
      </c>
      <c r="AK188" s="177">
        <f t="shared" si="344"/>
        <v>1.9478843721770553</v>
      </c>
      <c r="AM188" s="555">
        <f t="shared" si="345"/>
        <v>327.60000000000002</v>
      </c>
      <c r="AN188" s="469">
        <f t="shared" si="346"/>
        <v>332.50615951781344</v>
      </c>
      <c r="AP188">
        <f t="shared" si="347"/>
        <v>327.60000000000002</v>
      </c>
      <c r="AQ188">
        <f t="shared" si="348"/>
        <v>332.50615951781344</v>
      </c>
      <c r="AS188" s="5">
        <f t="shared" si="263"/>
        <v>3.0074630841430374</v>
      </c>
      <c r="AT188" s="5">
        <f t="shared" si="349"/>
        <v>1.9418265582655831</v>
      </c>
      <c r="AU188" s="5">
        <f t="shared" si="304"/>
        <v>1.0656365258774543</v>
      </c>
      <c r="AV188" s="5"/>
      <c r="AW188" s="177">
        <f t="shared" si="305"/>
        <v>0.64566929133858264</v>
      </c>
      <c r="AX188" s="177">
        <f t="shared" si="259"/>
        <v>5.6419999999999995</v>
      </c>
      <c r="AY188" s="177">
        <f t="shared" si="260"/>
        <v>0.34402439024390252</v>
      </c>
      <c r="AZ188" s="177">
        <f t="shared" si="264"/>
        <v>16.399999999999995</v>
      </c>
      <c r="BA188" s="469">
        <f t="shared" si="350"/>
        <v>21.317779700075526</v>
      </c>
      <c r="BB188" s="469">
        <f t="shared" si="351"/>
        <v>31.20535834838709</v>
      </c>
      <c r="BC188" s="5">
        <f t="shared" si="359"/>
        <v>1.1133928294445548</v>
      </c>
      <c r="BD188" s="469">
        <f t="shared" si="352"/>
        <v>68.68423643333999</v>
      </c>
      <c r="BF188" s="177">
        <f t="shared" si="265"/>
        <v>0.90085496188381942</v>
      </c>
      <c r="BG188" s="177">
        <f t="shared" si="261"/>
        <v>0.66735083110596483</v>
      </c>
      <c r="BI188" s="538">
        <f t="shared" si="306"/>
        <v>8.9269362858576756E-2</v>
      </c>
      <c r="BJ188" s="538">
        <f t="shared" si="307"/>
        <v>8.199999999999999E-2</v>
      </c>
      <c r="BK188" s="538">
        <f t="shared" si="308"/>
        <v>1.6625307975890669E-2</v>
      </c>
      <c r="BL188" s="538">
        <f t="shared" si="309"/>
        <v>4.8266926621765315E-2</v>
      </c>
      <c r="BM188">
        <f t="shared" si="310"/>
        <v>2.6099999999999999E-3</v>
      </c>
      <c r="BN188">
        <f t="shared" si="353"/>
        <v>1.3300246380712539E-5</v>
      </c>
      <c r="BO188" s="538">
        <f t="shared" si="354"/>
        <v>0.24278359138979402</v>
      </c>
      <c r="BP188" s="469">
        <f t="shared" si="311"/>
        <v>238.77159745623274</v>
      </c>
      <c r="BQ188" s="538">
        <f t="shared" si="355"/>
        <v>0.29483999999999999</v>
      </c>
      <c r="BT188" s="469">
        <f t="shared" si="312"/>
        <v>294.83999999999997</v>
      </c>
      <c r="BU188" s="538">
        <f t="shared" si="313"/>
        <v>3.8953903792833491E-2</v>
      </c>
      <c r="BV188" s="538">
        <f t="shared" si="314"/>
        <v>0.10688571162667727</v>
      </c>
      <c r="BW188" s="538">
        <f t="shared" si="315"/>
        <v>0</v>
      </c>
      <c r="BX188" s="538"/>
      <c r="BY188" s="538">
        <f t="shared" si="316"/>
        <v>6.2688888888888891E-2</v>
      </c>
      <c r="BZ188" s="469">
        <f t="shared" si="317"/>
        <v>208.52850430839965</v>
      </c>
      <c r="CA188" s="177">
        <f t="shared" si="318"/>
        <v>0.74214010176463241</v>
      </c>
      <c r="CB188" s="5">
        <f t="shared" si="319"/>
        <v>5.0777999999999999</v>
      </c>
      <c r="CC188" s="177">
        <f t="shared" si="320"/>
        <v>0.87248320622069431</v>
      </c>
      <c r="CD188" s="5">
        <f t="shared" si="321"/>
        <v>87.248320622069429</v>
      </c>
      <c r="CG188" s="571">
        <f t="shared" si="356"/>
        <v>-50</v>
      </c>
      <c r="CH188">
        <f t="shared" si="357"/>
        <v>-50</v>
      </c>
    </row>
    <row r="189" spans="5:86" x14ac:dyDescent="0.2">
      <c r="E189" s="174">
        <v>79</v>
      </c>
      <c r="F189" s="221">
        <f t="shared" si="358"/>
        <v>0.33179999999999998</v>
      </c>
      <c r="G189" s="221"/>
      <c r="H189" s="221">
        <f t="shared" si="322"/>
        <v>5.1429</v>
      </c>
      <c r="I189" s="551">
        <f t="shared" si="323"/>
        <v>9</v>
      </c>
      <c r="J189" s="451">
        <f t="shared" si="324"/>
        <v>16.399999999999999</v>
      </c>
      <c r="K189" s="451">
        <f t="shared" si="325"/>
        <v>25.4</v>
      </c>
      <c r="L189" s="451"/>
      <c r="M189" s="221">
        <f t="shared" si="326"/>
        <v>0.64566929133858264</v>
      </c>
      <c r="N189" s="176">
        <f t="shared" si="327"/>
        <v>10.799787401574802</v>
      </c>
      <c r="O189" s="176">
        <f t="shared" si="262"/>
        <v>5.1429</v>
      </c>
      <c r="P189" s="221">
        <f t="shared" si="328"/>
        <v>0.69676047752095494</v>
      </c>
      <c r="Q189" s="221">
        <f t="shared" si="329"/>
        <v>15.5</v>
      </c>
      <c r="R189" s="221"/>
      <c r="S189" s="176">
        <f t="shared" si="330"/>
        <v>41.237436073797952</v>
      </c>
      <c r="T189" s="546">
        <f t="shared" si="331"/>
        <v>15.5</v>
      </c>
      <c r="U189" s="221">
        <f t="shared" si="332"/>
        <v>1.9667217705510391</v>
      </c>
      <c r="V189" s="221">
        <f t="shared" si="333"/>
        <v>1.9667217705510391</v>
      </c>
      <c r="W189" s="221">
        <f t="shared" si="334"/>
        <v>1.0792985326194728</v>
      </c>
      <c r="X189" s="201">
        <f t="shared" si="335"/>
        <v>350</v>
      </c>
      <c r="Y189" s="451">
        <f t="shared" si="303"/>
        <v>328.29722078973987</v>
      </c>
      <c r="AA189" s="221">
        <f t="shared" si="336"/>
        <v>1.8447694038245221</v>
      </c>
      <c r="AB189" s="177">
        <f t="shared" si="337"/>
        <v>1.0123734533183355</v>
      </c>
      <c r="AC189" s="177">
        <f t="shared" si="338"/>
        <v>0.32682922508702178</v>
      </c>
      <c r="AD189" s="177"/>
      <c r="AE189" s="177">
        <f t="shared" si="339"/>
        <v>0.45</v>
      </c>
      <c r="AF189" s="555">
        <f t="shared" si="340"/>
        <v>1798.3739837398373</v>
      </c>
      <c r="AG189" s="538">
        <f t="shared" si="341"/>
        <v>6.4574999999999994E-2</v>
      </c>
      <c r="AI189" s="177">
        <f t="shared" si="342"/>
        <v>1.8587450963844754</v>
      </c>
      <c r="AJ189" s="177">
        <f t="shared" si="343"/>
        <v>1.9667217705510391</v>
      </c>
      <c r="AK189" s="177">
        <f t="shared" si="344"/>
        <v>1.9644811803673596</v>
      </c>
      <c r="AM189" s="555">
        <f t="shared" si="345"/>
        <v>331.8</v>
      </c>
      <c r="AN189" s="469">
        <f t="shared" si="346"/>
        <v>328.29722078973987</v>
      </c>
      <c r="AP189">
        <f t="shared" si="347"/>
        <v>331.8</v>
      </c>
      <c r="AQ189">
        <f t="shared" si="348"/>
        <v>328.29722078973987</v>
      </c>
      <c r="AS189" s="5">
        <f t="shared" si="263"/>
        <v>3.0460203031705122</v>
      </c>
      <c r="AT189" s="5">
        <f t="shared" si="349"/>
        <v>1.9667217705510391</v>
      </c>
      <c r="AU189" s="5">
        <f t="shared" si="304"/>
        <v>1.0792985326194731</v>
      </c>
      <c r="AV189" s="5"/>
      <c r="AW189" s="177">
        <f t="shared" si="305"/>
        <v>0.64566929133858264</v>
      </c>
      <c r="AX189" s="177">
        <f t="shared" si="259"/>
        <v>5.7143333333333342</v>
      </c>
      <c r="AY189" s="177">
        <f t="shared" si="260"/>
        <v>0.34843495934959356</v>
      </c>
      <c r="AZ189" s="177">
        <f t="shared" si="264"/>
        <v>16.399999999999999</v>
      </c>
      <c r="BA189" s="469">
        <f t="shared" si="350"/>
        <v>21.317779700075526</v>
      </c>
      <c r="BB189" s="469">
        <f t="shared" si="351"/>
        <v>32.002117135483864</v>
      </c>
      <c r="BC189" s="5">
        <f t="shared" si="359"/>
        <v>1.14212436695652</v>
      </c>
      <c r="BD189" s="469">
        <f t="shared" si="352"/>
        <v>70.432239795168996</v>
      </c>
      <c r="BF189" s="177">
        <f t="shared" si="265"/>
        <v>0.9124043844720735</v>
      </c>
      <c r="BG189" s="177">
        <f t="shared" si="261"/>
        <v>0.67590661099193883</v>
      </c>
      <c r="BI189" s="538">
        <f t="shared" si="306"/>
        <v>9.1572993688424975E-2</v>
      </c>
      <c r="BJ189" s="538">
        <f t="shared" si="307"/>
        <v>8.199999999999999E-2</v>
      </c>
      <c r="BK189" s="538">
        <f t="shared" si="308"/>
        <v>1.6414861039486993E-2</v>
      </c>
      <c r="BL189" s="538">
        <f t="shared" si="309"/>
        <v>4.7655952867059426E-2</v>
      </c>
      <c r="BM189">
        <f t="shared" si="310"/>
        <v>2.6099999999999999E-3</v>
      </c>
      <c r="BN189">
        <f t="shared" si="353"/>
        <v>1.3131888831589594E-5</v>
      </c>
      <c r="BO189" s="538">
        <f t="shared" si="354"/>
        <v>0.24439606410276346</v>
      </c>
      <c r="BP189" s="469">
        <f t="shared" si="311"/>
        <v>240.25380759497139</v>
      </c>
      <c r="BQ189" s="538">
        <f t="shared" si="355"/>
        <v>0.29862</v>
      </c>
      <c r="BT189" s="469">
        <f t="shared" si="312"/>
        <v>298.62</v>
      </c>
      <c r="BU189" s="538">
        <f t="shared" si="313"/>
        <v>3.9959124518585444E-2</v>
      </c>
      <c r="BV189" s="538">
        <f t="shared" si="314"/>
        <v>0.10964393922782595</v>
      </c>
      <c r="BW189" s="538">
        <f t="shared" si="315"/>
        <v>0</v>
      </c>
      <c r="BX189" s="538"/>
      <c r="BY189" s="538">
        <f t="shared" si="316"/>
        <v>6.3492592592592614E-2</v>
      </c>
      <c r="BZ189" s="469">
        <f t="shared" si="317"/>
        <v>213.09565633900402</v>
      </c>
      <c r="CA189" s="177">
        <f t="shared" si="318"/>
        <v>0.75196946393397535</v>
      </c>
      <c r="CB189" s="5">
        <f t="shared" si="319"/>
        <v>5.1429</v>
      </c>
      <c r="CC189" s="177">
        <f t="shared" si="320"/>
        <v>0.87243662161907409</v>
      </c>
      <c r="CD189" s="5">
        <f t="shared" si="321"/>
        <v>87.243662161907409</v>
      </c>
      <c r="CG189" s="571">
        <f t="shared" si="356"/>
        <v>-50</v>
      </c>
      <c r="CH189">
        <f t="shared" si="357"/>
        <v>-50</v>
      </c>
    </row>
    <row r="190" spans="5:86" x14ac:dyDescent="0.2">
      <c r="E190" s="174">
        <v>80</v>
      </c>
      <c r="F190" s="221">
        <f t="shared" si="358"/>
        <v>0.33600000000000002</v>
      </c>
      <c r="G190" s="221"/>
      <c r="H190" s="221">
        <f t="shared" si="322"/>
        <v>5.2080000000000002</v>
      </c>
      <c r="I190" s="551">
        <f t="shared" si="323"/>
        <v>9</v>
      </c>
      <c r="J190" s="451">
        <f t="shared" si="324"/>
        <v>16.399999999999999</v>
      </c>
      <c r="K190" s="451">
        <f t="shared" si="325"/>
        <v>25.4</v>
      </c>
      <c r="L190" s="451"/>
      <c r="M190" s="221">
        <f t="shared" si="326"/>
        <v>0.64566929133858264</v>
      </c>
      <c r="N190" s="176">
        <f t="shared" si="327"/>
        <v>10.799787401574802</v>
      </c>
      <c r="O190" s="176">
        <f t="shared" si="262"/>
        <v>5.2080000000000002</v>
      </c>
      <c r="P190" s="221">
        <f t="shared" si="328"/>
        <v>0.69676047752095494</v>
      </c>
      <c r="Q190" s="221">
        <f t="shared" si="329"/>
        <v>15.5</v>
      </c>
      <c r="R190" s="221"/>
      <c r="S190" s="176">
        <f t="shared" si="330"/>
        <v>40.614754213417775</v>
      </c>
      <c r="T190" s="546">
        <f t="shared" si="331"/>
        <v>15.5</v>
      </c>
      <c r="U190" s="221">
        <f t="shared" si="332"/>
        <v>1.9916169828364954</v>
      </c>
      <c r="V190" s="221">
        <f t="shared" si="333"/>
        <v>1.9916169828364951</v>
      </c>
      <c r="W190" s="221">
        <f t="shared" si="334"/>
        <v>1.0929605393614914</v>
      </c>
      <c r="X190" s="201">
        <f t="shared" si="335"/>
        <v>350</v>
      </c>
      <c r="Y190" s="451">
        <f t="shared" si="303"/>
        <v>324.19350552986816</v>
      </c>
      <c r="AA190" s="221">
        <f t="shared" si="336"/>
        <v>1.8447694038245221</v>
      </c>
      <c r="AB190" s="177">
        <f t="shared" si="337"/>
        <v>1.0123734533183355</v>
      </c>
      <c r="AC190" s="177">
        <f t="shared" si="338"/>
        <v>0.32682922508702178</v>
      </c>
      <c r="AD190" s="177"/>
      <c r="AE190" s="177">
        <f t="shared" si="339"/>
        <v>0.45</v>
      </c>
      <c r="AF190" s="555">
        <f t="shared" si="340"/>
        <v>1821.1382113821142</v>
      </c>
      <c r="AG190" s="538">
        <f t="shared" si="341"/>
        <v>6.4574999999999994E-2</v>
      </c>
      <c r="AI190" s="177">
        <f t="shared" si="342"/>
        <v>1.8704723111200192</v>
      </c>
      <c r="AJ190" s="177">
        <f t="shared" si="343"/>
        <v>1.9916169828364954</v>
      </c>
      <c r="AK190" s="177">
        <f t="shared" si="344"/>
        <v>1.9810779885576637</v>
      </c>
      <c r="AM190" s="555">
        <f t="shared" si="345"/>
        <v>336</v>
      </c>
      <c r="AN190" s="469">
        <f t="shared" si="346"/>
        <v>324.19350552986816</v>
      </c>
      <c r="AP190">
        <f t="shared" si="347"/>
        <v>336</v>
      </c>
      <c r="AQ190">
        <f t="shared" si="348"/>
        <v>324.19350552986816</v>
      </c>
      <c r="AS190" s="5">
        <f t="shared" si="263"/>
        <v>3.0845775221979865</v>
      </c>
      <c r="AT190" s="5">
        <f t="shared" si="349"/>
        <v>1.9916169828364951</v>
      </c>
      <c r="AU190" s="5">
        <f t="shared" si="304"/>
        <v>1.0929605393614914</v>
      </c>
      <c r="AV190" s="5"/>
      <c r="AW190" s="177">
        <f t="shared" si="305"/>
        <v>0.64566929133858264</v>
      </c>
      <c r="AX190" s="177">
        <f t="shared" si="259"/>
        <v>5.7866666666666671</v>
      </c>
      <c r="AY190" s="177">
        <f t="shared" si="260"/>
        <v>0.35284552845528466</v>
      </c>
      <c r="AZ190" s="177">
        <f t="shared" si="264"/>
        <v>16.399999999999995</v>
      </c>
      <c r="BA190" s="469">
        <f t="shared" si="350"/>
        <v>21.317779700075526</v>
      </c>
      <c r="BB190" s="469">
        <f t="shared" si="351"/>
        <v>32.808918709677414</v>
      </c>
      <c r="BC190" s="5">
        <f t="shared" si="359"/>
        <v>1.1712219113157709</v>
      </c>
      <c r="BD190" s="469">
        <f t="shared" si="352"/>
        <v>72.202203567835141</v>
      </c>
      <c r="BF190" s="177">
        <f t="shared" si="265"/>
        <v>0.9239538070603277</v>
      </c>
      <c r="BG190" s="177">
        <f t="shared" si="261"/>
        <v>0.68446239087791272</v>
      </c>
      <c r="BI190" s="538">
        <f t="shared" si="306"/>
        <v>9.3905970133940059E-2</v>
      </c>
      <c r="BJ190" s="538">
        <f t="shared" si="307"/>
        <v>8.2000000000000003E-2</v>
      </c>
      <c r="BK190" s="538">
        <f t="shared" si="308"/>
        <v>1.6209675276493408E-2</v>
      </c>
      <c r="BL190" s="538">
        <f t="shared" si="309"/>
        <v>4.7060253456221189E-2</v>
      </c>
      <c r="BM190">
        <f t="shared" si="310"/>
        <v>2.6099999999999999E-3</v>
      </c>
      <c r="BN190">
        <f t="shared" si="353"/>
        <v>1.2967740221194727E-5</v>
      </c>
      <c r="BO190" s="538">
        <f t="shared" si="354"/>
        <v>0.24606205196404837</v>
      </c>
      <c r="BP190" s="469">
        <f t="shared" si="311"/>
        <v>241.78589886665466</v>
      </c>
      <c r="BQ190" s="538">
        <f t="shared" si="355"/>
        <v>0.3024</v>
      </c>
      <c r="BT190" s="469">
        <f t="shared" si="312"/>
        <v>302.39999999999998</v>
      </c>
      <c r="BU190" s="538">
        <f t="shared" si="313"/>
        <v>4.097715060390112E-2</v>
      </c>
      <c r="BV190" s="538">
        <f t="shared" si="314"/>
        <v>0.11243730348631405</v>
      </c>
      <c r="BW190" s="538">
        <f t="shared" si="315"/>
        <v>0</v>
      </c>
      <c r="BX190" s="538"/>
      <c r="BY190" s="538">
        <f t="shared" si="316"/>
        <v>6.4296296296296324E-2</v>
      </c>
      <c r="BZ190" s="469">
        <f t="shared" si="317"/>
        <v>217.71075038651151</v>
      </c>
      <c r="CA190" s="177">
        <f t="shared" si="318"/>
        <v>0.76189664925316625</v>
      </c>
      <c r="CB190" s="5">
        <f t="shared" si="319"/>
        <v>5.2080000000000002</v>
      </c>
      <c r="CC190" s="177">
        <f t="shared" si="320"/>
        <v>0.87237691135767326</v>
      </c>
      <c r="CD190" s="5">
        <f t="shared" si="321"/>
        <v>87.237691135767321</v>
      </c>
      <c r="CG190" s="571">
        <f t="shared" si="356"/>
        <v>-50</v>
      </c>
      <c r="CH190">
        <f t="shared" si="357"/>
        <v>-50</v>
      </c>
    </row>
    <row r="191" spans="5:86" x14ac:dyDescent="0.2">
      <c r="E191" s="174">
        <v>81</v>
      </c>
      <c r="F191" s="221">
        <f t="shared" si="358"/>
        <v>0.3402</v>
      </c>
      <c r="G191" s="221"/>
      <c r="H191" s="221">
        <f t="shared" si="322"/>
        <v>5.2731000000000003</v>
      </c>
      <c r="I191" s="551">
        <f t="shared" si="323"/>
        <v>9</v>
      </c>
      <c r="J191" s="451">
        <f t="shared" si="324"/>
        <v>16.399999999999999</v>
      </c>
      <c r="K191" s="451">
        <f t="shared" si="325"/>
        <v>25.4</v>
      </c>
      <c r="L191" s="451"/>
      <c r="M191" s="221">
        <f t="shared" si="326"/>
        <v>0.64566929133858264</v>
      </c>
      <c r="N191" s="176">
        <f t="shared" si="327"/>
        <v>10.799787401574802</v>
      </c>
      <c r="O191" s="176">
        <f t="shared" si="262"/>
        <v>5.2731000000000003</v>
      </c>
      <c r="P191" s="221">
        <f t="shared" si="328"/>
        <v>0.69676047752095494</v>
      </c>
      <c r="Q191" s="221">
        <f t="shared" si="329"/>
        <v>15.5</v>
      </c>
      <c r="R191" s="221"/>
      <c r="S191" s="176">
        <f t="shared" si="330"/>
        <v>40.007531358038669</v>
      </c>
      <c r="T191" s="546">
        <f t="shared" si="331"/>
        <v>15.5</v>
      </c>
      <c r="U191" s="221">
        <f t="shared" si="332"/>
        <v>2.0165121951219516</v>
      </c>
      <c r="V191" s="221">
        <f t="shared" si="333"/>
        <v>2.016512195121952</v>
      </c>
      <c r="W191" s="221">
        <f t="shared" si="334"/>
        <v>1.1066225461035102</v>
      </c>
      <c r="X191" s="201">
        <f t="shared" si="335"/>
        <v>350</v>
      </c>
      <c r="Y191" s="451">
        <f t="shared" si="303"/>
        <v>320.19111657270923</v>
      </c>
      <c r="AA191" s="221">
        <f t="shared" si="336"/>
        <v>1.8447694038245221</v>
      </c>
      <c r="AB191" s="177">
        <f t="shared" si="337"/>
        <v>1.0123734533183355</v>
      </c>
      <c r="AC191" s="177">
        <f t="shared" si="338"/>
        <v>0.32682922508702178</v>
      </c>
      <c r="AD191" s="177"/>
      <c r="AE191" s="177">
        <f t="shared" si="339"/>
        <v>0.45</v>
      </c>
      <c r="AF191" s="555">
        <f t="shared" si="340"/>
        <v>1843.9024390243903</v>
      </c>
      <c r="AG191" s="538">
        <f t="shared" si="341"/>
        <v>6.4574999999999994E-2</v>
      </c>
      <c r="AI191" s="177">
        <f t="shared" si="342"/>
        <v>1.8821264569629745</v>
      </c>
      <c r="AJ191" s="177">
        <f t="shared" si="343"/>
        <v>2.0165121951219516</v>
      </c>
      <c r="AK191" s="177">
        <f t="shared" si="344"/>
        <v>1.9976747967479678</v>
      </c>
      <c r="AM191" s="555">
        <f t="shared" si="345"/>
        <v>340.2</v>
      </c>
      <c r="AN191" s="469">
        <f t="shared" si="346"/>
        <v>320.19111657270923</v>
      </c>
      <c r="AP191">
        <f t="shared" si="347"/>
        <v>340.2</v>
      </c>
      <c r="AQ191">
        <f t="shared" si="348"/>
        <v>320.19111657270923</v>
      </c>
      <c r="AS191" s="5">
        <f t="shared" si="263"/>
        <v>3.1231347412254622</v>
      </c>
      <c r="AT191" s="5">
        <f t="shared" si="349"/>
        <v>2.016512195121952</v>
      </c>
      <c r="AU191" s="5">
        <f t="shared" si="304"/>
        <v>1.1066225461035102</v>
      </c>
      <c r="AV191" s="5"/>
      <c r="AW191" s="177">
        <f t="shared" si="305"/>
        <v>0.64566929133858264</v>
      </c>
      <c r="AX191" s="177">
        <f t="shared" si="259"/>
        <v>5.8590000000000009</v>
      </c>
      <c r="AY191" s="177">
        <f t="shared" si="260"/>
        <v>0.35725609756097571</v>
      </c>
      <c r="AZ191" s="177">
        <f t="shared" si="264"/>
        <v>16.399999999999999</v>
      </c>
      <c r="BA191" s="469">
        <f t="shared" si="350"/>
        <v>21.317779700075526</v>
      </c>
      <c r="BB191" s="469">
        <f t="shared" si="351"/>
        <v>33.625763070967736</v>
      </c>
      <c r="BC191" s="5">
        <f t="shared" si="359"/>
        <v>1.2006854625223085</v>
      </c>
      <c r="BD191" s="469">
        <f t="shared" si="352"/>
        <v>73.994127751338524</v>
      </c>
      <c r="BF191" s="177">
        <f t="shared" si="265"/>
        <v>0.93550322964858179</v>
      </c>
      <c r="BG191" s="177">
        <f t="shared" si="261"/>
        <v>0.69301817076388661</v>
      </c>
      <c r="BI191" s="538">
        <f t="shared" si="306"/>
        <v>9.6268292195121979E-2</v>
      </c>
      <c r="BJ191" s="538">
        <f t="shared" si="307"/>
        <v>8.199999999999999E-2</v>
      </c>
      <c r="BK191" s="538">
        <f t="shared" si="308"/>
        <v>1.6009555828635461E-2</v>
      </c>
      <c r="BL191" s="538">
        <f t="shared" si="309"/>
        <v>4.6479262672811043E-2</v>
      </c>
      <c r="BM191">
        <f t="shared" si="310"/>
        <v>2.6099999999999999E-3</v>
      </c>
      <c r="BN191">
        <f t="shared" si="353"/>
        <v>1.280764466290837E-5</v>
      </c>
      <c r="BO191" s="538">
        <f t="shared" si="354"/>
        <v>0.24778087839046331</v>
      </c>
      <c r="BP191" s="469">
        <f t="shared" si="311"/>
        <v>243.36711069656846</v>
      </c>
      <c r="BQ191" s="538">
        <f t="shared" si="355"/>
        <v>0.30618000000000001</v>
      </c>
      <c r="BT191" s="469">
        <f t="shared" si="312"/>
        <v>306.18</v>
      </c>
      <c r="BU191" s="538">
        <f t="shared" si="313"/>
        <v>4.20079820487805E-2</v>
      </c>
      <c r="BV191" s="538">
        <f t="shared" si="314"/>
        <v>0.11526580440214164</v>
      </c>
      <c r="BW191" s="538">
        <f t="shared" si="315"/>
        <v>0</v>
      </c>
      <c r="BX191" s="538"/>
      <c r="BY191" s="538">
        <f t="shared" si="316"/>
        <v>6.5100000000000005E-2</v>
      </c>
      <c r="BZ191" s="469">
        <f t="shared" si="317"/>
        <v>222.37378645092215</v>
      </c>
      <c r="CA191" s="177">
        <f t="shared" si="318"/>
        <v>0.77192089714749068</v>
      </c>
      <c r="CB191" s="5">
        <f t="shared" si="319"/>
        <v>5.2731000000000003</v>
      </c>
      <c r="CC191" s="177">
        <f t="shared" si="320"/>
        <v>0.87230467681067192</v>
      </c>
      <c r="CD191" s="5">
        <f t="shared" si="321"/>
        <v>87.230467681067196</v>
      </c>
      <c r="CG191" s="571">
        <f t="shared" si="356"/>
        <v>-50</v>
      </c>
      <c r="CH191">
        <f t="shared" si="357"/>
        <v>-50</v>
      </c>
    </row>
    <row r="192" spans="5:86" x14ac:dyDescent="0.2">
      <c r="E192" s="174">
        <v>82</v>
      </c>
      <c r="F192" s="221">
        <f t="shared" si="358"/>
        <v>0.34439999999999998</v>
      </c>
      <c r="G192" s="221"/>
      <c r="H192" s="221">
        <f t="shared" si="322"/>
        <v>5.3381999999999996</v>
      </c>
      <c r="I192" s="551">
        <f t="shared" si="323"/>
        <v>9</v>
      </c>
      <c r="J192" s="451">
        <f t="shared" si="324"/>
        <v>16.399999999999999</v>
      </c>
      <c r="K192" s="451">
        <f t="shared" si="325"/>
        <v>25.4</v>
      </c>
      <c r="L192" s="451"/>
      <c r="M192" s="221">
        <f t="shared" si="326"/>
        <v>0.64566929133858264</v>
      </c>
      <c r="N192" s="176">
        <f t="shared" si="327"/>
        <v>10.799787401574802</v>
      </c>
      <c r="O192" s="176">
        <f t="shared" si="262"/>
        <v>5.3381999999999996</v>
      </c>
      <c r="P192" s="221">
        <f t="shared" si="328"/>
        <v>0.69676047752095494</v>
      </c>
      <c r="Q192" s="221">
        <f t="shared" si="329"/>
        <v>15.5</v>
      </c>
      <c r="R192" s="221"/>
      <c r="S192" s="176">
        <f t="shared" si="330"/>
        <v>39.415202477744153</v>
      </c>
      <c r="T192" s="546">
        <f t="shared" si="331"/>
        <v>15.5</v>
      </c>
      <c r="U192" s="221">
        <f t="shared" si="332"/>
        <v>2.0414074074074073</v>
      </c>
      <c r="V192" s="221">
        <f t="shared" si="333"/>
        <v>2.0414074074074073</v>
      </c>
      <c r="W192" s="221">
        <f t="shared" si="334"/>
        <v>1.1202845528455285</v>
      </c>
      <c r="X192" s="201">
        <f t="shared" si="335"/>
        <v>350</v>
      </c>
      <c r="Y192" s="451">
        <f t="shared" si="303"/>
        <v>316.28634685840802</v>
      </c>
      <c r="AA192" s="221">
        <f t="shared" si="336"/>
        <v>1.8447694038245221</v>
      </c>
      <c r="AB192" s="177">
        <f t="shared" si="337"/>
        <v>1.0123734533183355</v>
      </c>
      <c r="AC192" s="177">
        <f t="shared" si="338"/>
        <v>0.32682922508702178</v>
      </c>
      <c r="AD192" s="177"/>
      <c r="AE192" s="177">
        <f t="shared" si="339"/>
        <v>0.45</v>
      </c>
      <c r="AF192" s="555">
        <f t="shared" si="340"/>
        <v>1866.6666666666667</v>
      </c>
      <c r="AG192" s="538">
        <f t="shared" si="341"/>
        <v>6.4574999999999994E-2</v>
      </c>
      <c r="AI192" s="177">
        <f t="shared" si="342"/>
        <v>1.8937088829419724</v>
      </c>
      <c r="AJ192" s="177">
        <f t="shared" si="343"/>
        <v>2.0414074074074073</v>
      </c>
      <c r="AK192" s="177">
        <f t="shared" si="344"/>
        <v>2.0142716049382718</v>
      </c>
      <c r="AM192" s="555">
        <f t="shared" si="345"/>
        <v>344.4</v>
      </c>
      <c r="AN192" s="469">
        <f t="shared" si="346"/>
        <v>316.28634685840802</v>
      </c>
      <c r="AP192">
        <f t="shared" si="347"/>
        <v>344.4</v>
      </c>
      <c r="AQ192">
        <f t="shared" si="348"/>
        <v>316.28634685840802</v>
      </c>
      <c r="AS192" s="5">
        <f t="shared" si="263"/>
        <v>3.1616919602529356</v>
      </c>
      <c r="AT192" s="5">
        <f t="shared" si="349"/>
        <v>2.0414074074074073</v>
      </c>
      <c r="AU192" s="5">
        <f t="shared" si="304"/>
        <v>1.1202845528455283</v>
      </c>
      <c r="AV192" s="5"/>
      <c r="AW192" s="177">
        <f t="shared" si="305"/>
        <v>0.64566929133858275</v>
      </c>
      <c r="AX192" s="177">
        <f t="shared" si="259"/>
        <v>5.9313333333333338</v>
      </c>
      <c r="AY192" s="177">
        <f t="shared" si="260"/>
        <v>0.36166666666666658</v>
      </c>
      <c r="AZ192" s="177">
        <f t="shared" si="264"/>
        <v>16.400000000000006</v>
      </c>
      <c r="BA192" s="469">
        <f t="shared" si="350"/>
        <v>21.317779700075526</v>
      </c>
      <c r="BB192" s="469">
        <f t="shared" si="351"/>
        <v>34.452650219354823</v>
      </c>
      <c r="BC192" s="5">
        <f t="shared" si="359"/>
        <v>1.2305150205761313</v>
      </c>
      <c r="BD192" s="469">
        <f t="shared" si="352"/>
        <v>75.808012345678989</v>
      </c>
      <c r="BF192" s="177">
        <f t="shared" si="265"/>
        <v>0.94705265223683577</v>
      </c>
      <c r="BG192" s="177">
        <f t="shared" si="261"/>
        <v>0.70157395064986028</v>
      </c>
      <c r="BI192" s="538">
        <f t="shared" si="306"/>
        <v>9.8659959871970751E-2</v>
      </c>
      <c r="BJ192" s="538">
        <f t="shared" si="307"/>
        <v>8.2000000000000003E-2</v>
      </c>
      <c r="BK192" s="538">
        <f t="shared" si="308"/>
        <v>1.5814317342920398E-2</v>
      </c>
      <c r="BL192" s="538">
        <f t="shared" si="309"/>
        <v>4.5912442396313362E-2</v>
      </c>
      <c r="BM192">
        <f t="shared" si="310"/>
        <v>2.6099999999999999E-3</v>
      </c>
      <c r="BN192">
        <f t="shared" si="353"/>
        <v>1.2651453874336321E-5</v>
      </c>
      <c r="BO192" s="538">
        <f t="shared" si="354"/>
        <v>0.24955190514999828</v>
      </c>
      <c r="BP192" s="469">
        <f t="shared" si="311"/>
        <v>244.99671961120453</v>
      </c>
      <c r="BQ192" s="538">
        <f t="shared" si="355"/>
        <v>0.30996000000000001</v>
      </c>
      <c r="BT192" s="469">
        <f t="shared" si="312"/>
        <v>309.96000000000004</v>
      </c>
      <c r="BU192" s="538">
        <f t="shared" si="313"/>
        <v>4.3051618853223603E-2</v>
      </c>
      <c r="BV192" s="538">
        <f t="shared" si="314"/>
        <v>0.11812944197530861</v>
      </c>
      <c r="BW192" s="538">
        <f t="shared" si="315"/>
        <v>0</v>
      </c>
      <c r="BX192" s="538"/>
      <c r="BY192" s="538">
        <f t="shared" si="316"/>
        <v>6.5903703703703714E-2</v>
      </c>
      <c r="BZ192" s="469">
        <f t="shared" si="317"/>
        <v>227.08476453223594</v>
      </c>
      <c r="CA192" s="177">
        <f t="shared" si="318"/>
        <v>0.78204148414344044</v>
      </c>
      <c r="CB192" s="5">
        <f t="shared" si="319"/>
        <v>5.3381999999999996</v>
      </c>
      <c r="CC192" s="177">
        <f t="shared" si="320"/>
        <v>0.87222048571619537</v>
      </c>
      <c r="CD192" s="5">
        <f t="shared" si="321"/>
        <v>87.222048571619538</v>
      </c>
      <c r="CG192" s="571">
        <f t="shared" si="356"/>
        <v>-50</v>
      </c>
      <c r="CH192">
        <f t="shared" si="357"/>
        <v>-50</v>
      </c>
    </row>
    <row r="193" spans="5:86" x14ac:dyDescent="0.2">
      <c r="E193" s="174">
        <v>83</v>
      </c>
      <c r="F193" s="221">
        <f t="shared" si="358"/>
        <v>0.34859999999999997</v>
      </c>
      <c r="G193" s="221"/>
      <c r="H193" s="221">
        <f t="shared" si="322"/>
        <v>5.4032999999999998</v>
      </c>
      <c r="I193" s="551">
        <f t="shared" si="323"/>
        <v>9</v>
      </c>
      <c r="J193" s="451">
        <f t="shared" si="324"/>
        <v>16.399999999999999</v>
      </c>
      <c r="K193" s="451">
        <f t="shared" si="325"/>
        <v>25.4</v>
      </c>
      <c r="L193" s="451"/>
      <c r="M193" s="221">
        <f t="shared" si="326"/>
        <v>0.64566929133858264</v>
      </c>
      <c r="N193" s="176">
        <f t="shared" si="327"/>
        <v>10.799787401574802</v>
      </c>
      <c r="O193" s="176">
        <f t="shared" si="262"/>
        <v>5.4032999999999998</v>
      </c>
      <c r="P193" s="221">
        <f t="shared" si="328"/>
        <v>0.69676047752095494</v>
      </c>
      <c r="Q193" s="221">
        <f t="shared" si="329"/>
        <v>15.5</v>
      </c>
      <c r="R193" s="221"/>
      <c r="S193" s="176">
        <f t="shared" si="330"/>
        <v>38.837229776634999</v>
      </c>
      <c r="T193" s="546">
        <f t="shared" si="331"/>
        <v>15.5</v>
      </c>
      <c r="U193" s="221">
        <f t="shared" si="332"/>
        <v>2.0663026196928636</v>
      </c>
      <c r="V193" s="221">
        <f t="shared" si="333"/>
        <v>2.0663026196928636</v>
      </c>
      <c r="W193" s="221">
        <f t="shared" si="334"/>
        <v>1.1339465595875473</v>
      </c>
      <c r="X193" s="201">
        <f t="shared" si="335"/>
        <v>350</v>
      </c>
      <c r="Y193" s="451">
        <f t="shared" si="303"/>
        <v>312.47566798059586</v>
      </c>
      <c r="AA193" s="221">
        <f t="shared" si="336"/>
        <v>1.8447694038245221</v>
      </c>
      <c r="AB193" s="177">
        <f t="shared" si="337"/>
        <v>1.0123734533183355</v>
      </c>
      <c r="AC193" s="177">
        <f t="shared" si="338"/>
        <v>0.32682922508702178</v>
      </c>
      <c r="AD193" s="177"/>
      <c r="AE193" s="177">
        <f t="shared" si="339"/>
        <v>0.45</v>
      </c>
      <c r="AF193" s="555">
        <f t="shared" si="340"/>
        <v>1889.4308943089432</v>
      </c>
      <c r="AG193" s="538">
        <f t="shared" si="341"/>
        <v>6.4574999999999994E-2</v>
      </c>
      <c r="AI193" s="177">
        <f t="shared" si="342"/>
        <v>1.905220897079041</v>
      </c>
      <c r="AJ193" s="177">
        <f t="shared" si="343"/>
        <v>2.0663026196928636</v>
      </c>
      <c r="AK193" s="177">
        <f t="shared" si="344"/>
        <v>2.0308684131285757</v>
      </c>
      <c r="AM193" s="555">
        <f t="shared" si="345"/>
        <v>348.59999999999997</v>
      </c>
      <c r="AN193" s="469">
        <f t="shared" si="346"/>
        <v>312.47566798059586</v>
      </c>
      <c r="AP193">
        <f t="shared" si="347"/>
        <v>348.59999999999997</v>
      </c>
      <c r="AQ193">
        <f t="shared" si="348"/>
        <v>312.47566798059586</v>
      </c>
      <c r="AS193" s="5">
        <f t="shared" si="263"/>
        <v>3.2002491792804109</v>
      </c>
      <c r="AT193" s="5">
        <f t="shared" si="349"/>
        <v>2.0663026196928636</v>
      </c>
      <c r="AU193" s="5">
        <f t="shared" si="304"/>
        <v>1.1339465595875473</v>
      </c>
      <c r="AV193" s="5"/>
      <c r="AW193" s="177">
        <f t="shared" si="305"/>
        <v>0.64566929133858264</v>
      </c>
      <c r="AX193" s="177">
        <f t="shared" si="259"/>
        <v>6.0036666666666667</v>
      </c>
      <c r="AY193" s="177">
        <f t="shared" si="260"/>
        <v>0.36607723577235773</v>
      </c>
      <c r="AZ193" s="177">
        <f t="shared" si="264"/>
        <v>16.399999999999999</v>
      </c>
      <c r="BA193" s="469">
        <f t="shared" si="350"/>
        <v>21.317779700075526</v>
      </c>
      <c r="BB193" s="469">
        <f t="shared" si="351"/>
        <v>35.289580154838696</v>
      </c>
      <c r="BC193" s="5">
        <f t="shared" si="359"/>
        <v>1.2607105854772411</v>
      </c>
      <c r="BD193" s="469">
        <f t="shared" si="352"/>
        <v>77.64385735085672</v>
      </c>
      <c r="BF193" s="177">
        <f t="shared" si="265"/>
        <v>0.95860207482508974</v>
      </c>
      <c r="BG193" s="177">
        <f t="shared" si="261"/>
        <v>0.71012973053583428</v>
      </c>
      <c r="BI193" s="538">
        <f t="shared" si="306"/>
        <v>0.10108097316448636</v>
      </c>
      <c r="BJ193" s="538">
        <f t="shared" si="307"/>
        <v>8.2000000000000003E-2</v>
      </c>
      <c r="BK193" s="538">
        <f t="shared" si="308"/>
        <v>1.5623783399029792E-2</v>
      </c>
      <c r="BL193" s="538">
        <f t="shared" si="309"/>
        <v>4.5359280439731267E-2</v>
      </c>
      <c r="BM193">
        <f t="shared" si="310"/>
        <v>2.6099999999999999E-3</v>
      </c>
      <c r="BN193">
        <f t="shared" si="353"/>
        <v>1.2499026719223835E-5</v>
      </c>
      <c r="BO193" s="538">
        <f t="shared" si="354"/>
        <v>0.25137453013381728</v>
      </c>
      <c r="BP193" s="469">
        <f t="shared" si="311"/>
        <v>246.67403700324741</v>
      </c>
      <c r="BQ193" s="538">
        <f t="shared" si="355"/>
        <v>0.31373999999999996</v>
      </c>
      <c r="BT193" s="469">
        <f t="shared" si="312"/>
        <v>313.73999999999995</v>
      </c>
      <c r="BU193" s="538">
        <f t="shared" si="313"/>
        <v>4.4108061017230416E-2</v>
      </c>
      <c r="BV193" s="538">
        <f t="shared" si="314"/>
        <v>0.12102821620581519</v>
      </c>
      <c r="BW193" s="538">
        <f t="shared" si="315"/>
        <v>0</v>
      </c>
      <c r="BX193" s="538"/>
      <c r="BY193" s="538">
        <f t="shared" si="316"/>
        <v>6.6707407407407424E-2</v>
      </c>
      <c r="BZ193" s="469">
        <f t="shared" si="317"/>
        <v>231.84368463045303</v>
      </c>
      <c r="CA193" s="177">
        <f t="shared" si="318"/>
        <v>0.79225772163370034</v>
      </c>
      <c r="CB193" s="5">
        <f t="shared" si="319"/>
        <v>5.4032999999999998</v>
      </c>
      <c r="CC193" s="177">
        <f t="shared" si="320"/>
        <v>0.87212487442941766</v>
      </c>
      <c r="CD193" s="5">
        <f t="shared" si="321"/>
        <v>87.212487442941764</v>
      </c>
      <c r="CG193" s="571">
        <f t="shared" si="356"/>
        <v>-50</v>
      </c>
      <c r="CH193">
        <f t="shared" si="357"/>
        <v>-50</v>
      </c>
    </row>
    <row r="194" spans="5:86" x14ac:dyDescent="0.2">
      <c r="E194" s="174">
        <v>84</v>
      </c>
      <c r="F194" s="221">
        <f t="shared" si="358"/>
        <v>0.35279999999999995</v>
      </c>
      <c r="G194" s="221"/>
      <c r="H194" s="221">
        <f t="shared" si="322"/>
        <v>5.468399999999999</v>
      </c>
      <c r="I194" s="551">
        <f t="shared" si="323"/>
        <v>9</v>
      </c>
      <c r="J194" s="451">
        <f t="shared" si="324"/>
        <v>16.399999999999999</v>
      </c>
      <c r="K194" s="451">
        <f t="shared" si="325"/>
        <v>25.4</v>
      </c>
      <c r="L194" s="451"/>
      <c r="M194" s="221">
        <f t="shared" si="326"/>
        <v>0.64566929133858264</v>
      </c>
      <c r="N194" s="176">
        <f t="shared" si="327"/>
        <v>10.799787401574802</v>
      </c>
      <c r="O194" s="176">
        <f t="shared" si="262"/>
        <v>5.468399999999999</v>
      </c>
      <c r="P194" s="221">
        <f t="shared" si="328"/>
        <v>0.69676047752095494</v>
      </c>
      <c r="Q194" s="221">
        <f t="shared" si="329"/>
        <v>15.5</v>
      </c>
      <c r="R194" s="221"/>
      <c r="S194" s="176">
        <f t="shared" si="330"/>
        <v>38.273101071774029</v>
      </c>
      <c r="T194" s="546">
        <f t="shared" si="331"/>
        <v>15.5</v>
      </c>
      <c r="U194" s="221">
        <f t="shared" si="332"/>
        <v>2.0911978319783198</v>
      </c>
      <c r="V194" s="221">
        <f t="shared" si="333"/>
        <v>2.0911978319783198</v>
      </c>
      <c r="W194" s="221">
        <f t="shared" si="334"/>
        <v>1.1476085663295659</v>
      </c>
      <c r="X194" s="201">
        <f t="shared" si="335"/>
        <v>350</v>
      </c>
      <c r="Y194" s="451">
        <f t="shared" si="303"/>
        <v>308.75571955225541</v>
      </c>
      <c r="AA194" s="221">
        <f t="shared" si="336"/>
        <v>1.8447694038245221</v>
      </c>
      <c r="AB194" s="177">
        <f t="shared" si="337"/>
        <v>1.0123734533183355</v>
      </c>
      <c r="AC194" s="177">
        <f t="shared" si="338"/>
        <v>0.32682922508702178</v>
      </c>
      <c r="AD194" s="177"/>
      <c r="AE194" s="177">
        <f t="shared" si="339"/>
        <v>0.45</v>
      </c>
      <c r="AF194" s="555">
        <f t="shared" si="340"/>
        <v>1912.1951219512193</v>
      </c>
      <c r="AG194" s="538">
        <f t="shared" si="341"/>
        <v>6.4574999999999994E-2</v>
      </c>
      <c r="AI194" s="177">
        <f t="shared" si="342"/>
        <v>1.9166637681137499</v>
      </c>
      <c r="AJ194" s="177">
        <f t="shared" si="343"/>
        <v>2.0911978319783198</v>
      </c>
      <c r="AK194" s="177">
        <f t="shared" si="344"/>
        <v>2.04746522131888</v>
      </c>
      <c r="AM194" s="555">
        <f t="shared" si="345"/>
        <v>352.79999999999995</v>
      </c>
      <c r="AN194" s="469">
        <f t="shared" si="346"/>
        <v>308.75571955225541</v>
      </c>
      <c r="AP194">
        <f t="shared" si="347"/>
        <v>352.79999999999995</v>
      </c>
      <c r="AQ194">
        <f t="shared" si="348"/>
        <v>308.75571955225541</v>
      </c>
      <c r="AS194" s="5">
        <f t="shared" si="263"/>
        <v>3.2388063983078856</v>
      </c>
      <c r="AT194" s="5">
        <f t="shared" si="349"/>
        <v>2.0911978319783198</v>
      </c>
      <c r="AU194" s="5">
        <f t="shared" si="304"/>
        <v>1.1476085663295659</v>
      </c>
      <c r="AV194" s="5"/>
      <c r="AW194" s="177">
        <f t="shared" si="305"/>
        <v>0.64566929133858264</v>
      </c>
      <c r="AX194" s="177">
        <f t="shared" si="259"/>
        <v>6.0759999999999996</v>
      </c>
      <c r="AY194" s="177">
        <f t="shared" si="260"/>
        <v>0.37048780487804883</v>
      </c>
      <c r="AZ194" s="177">
        <f t="shared" si="264"/>
        <v>16.399999999999995</v>
      </c>
      <c r="BA194" s="469">
        <f t="shared" si="350"/>
        <v>21.317779700075526</v>
      </c>
      <c r="BB194" s="469">
        <f t="shared" si="351"/>
        <v>36.136552877419334</v>
      </c>
      <c r="BC194" s="5">
        <f t="shared" si="359"/>
        <v>1.2912721572256372</v>
      </c>
      <c r="BD194" s="469">
        <f t="shared" si="352"/>
        <v>79.501662766871576</v>
      </c>
      <c r="BF194" s="177">
        <f t="shared" si="265"/>
        <v>0.97015149741334383</v>
      </c>
      <c r="BG194" s="177">
        <f t="shared" si="261"/>
        <v>0.71868551042180817</v>
      </c>
      <c r="BI194" s="538">
        <f t="shared" si="306"/>
        <v>0.10353133207266886</v>
      </c>
      <c r="BJ194" s="538">
        <f t="shared" si="307"/>
        <v>8.199999999999999E-2</v>
      </c>
      <c r="BK194" s="538">
        <f t="shared" si="308"/>
        <v>1.5437785977612771E-2</v>
      </c>
      <c r="BL194" s="538">
        <f t="shared" si="309"/>
        <v>4.4819289005924946E-2</v>
      </c>
      <c r="BM194">
        <f t="shared" si="310"/>
        <v>2.6099999999999999E-3</v>
      </c>
      <c r="BN194">
        <f t="shared" si="353"/>
        <v>1.2350228782090217E-5</v>
      </c>
      <c r="BO194" s="538">
        <f t="shared" si="354"/>
        <v>0.25324818528805865</v>
      </c>
      <c r="BP194" s="469">
        <f t="shared" si="311"/>
        <v>248.39840705620659</v>
      </c>
      <c r="BQ194" s="538">
        <f t="shared" si="355"/>
        <v>0.31751999999999997</v>
      </c>
      <c r="BT194" s="469">
        <f t="shared" si="312"/>
        <v>317.52</v>
      </c>
      <c r="BU194" s="538">
        <f t="shared" si="313"/>
        <v>4.5177308540800959E-2</v>
      </c>
      <c r="BV194" s="538">
        <f t="shared" si="314"/>
        <v>0.1239621270936612</v>
      </c>
      <c r="BW194" s="538">
        <f t="shared" si="315"/>
        <v>0</v>
      </c>
      <c r="BX194" s="538"/>
      <c r="BY194" s="538">
        <f t="shared" si="316"/>
        <v>6.7511111111111119E-2</v>
      </c>
      <c r="BZ194" s="469">
        <f t="shared" si="317"/>
        <v>236.65054674557328</v>
      </c>
      <c r="CA194" s="177">
        <f t="shared" si="318"/>
        <v>0.80256895380177973</v>
      </c>
      <c r="CB194" s="5">
        <f t="shared" si="319"/>
        <v>5.468399999999999</v>
      </c>
      <c r="CC194" s="177">
        <f t="shared" si="320"/>
        <v>0.87201835000072492</v>
      </c>
      <c r="CD194" s="5">
        <f t="shared" si="321"/>
        <v>87.201835000072492</v>
      </c>
      <c r="CG194" s="571">
        <f t="shared" si="356"/>
        <v>-50</v>
      </c>
      <c r="CH194">
        <f t="shared" si="357"/>
        <v>-50</v>
      </c>
    </row>
    <row r="195" spans="5:86" x14ac:dyDescent="0.2">
      <c r="E195" s="174">
        <v>85</v>
      </c>
      <c r="F195" s="221">
        <f t="shared" si="358"/>
        <v>0.35699999999999998</v>
      </c>
      <c r="G195" s="221"/>
      <c r="H195" s="221">
        <f t="shared" si="322"/>
        <v>5.5335000000000001</v>
      </c>
      <c r="I195" s="551">
        <f t="shared" si="323"/>
        <v>9</v>
      </c>
      <c r="J195" s="451">
        <f t="shared" si="324"/>
        <v>16.399999999999999</v>
      </c>
      <c r="K195" s="451">
        <f t="shared" si="325"/>
        <v>25.4</v>
      </c>
      <c r="L195" s="451"/>
      <c r="M195" s="221">
        <f t="shared" si="326"/>
        <v>0.64566929133858264</v>
      </c>
      <c r="N195" s="176">
        <f t="shared" si="327"/>
        <v>10.799787401574802</v>
      </c>
      <c r="O195" s="176">
        <f t="shared" si="262"/>
        <v>5.5335000000000001</v>
      </c>
      <c r="P195" s="221">
        <f t="shared" si="328"/>
        <v>0.69676047752095494</v>
      </c>
      <c r="Q195" s="221">
        <f t="shared" si="329"/>
        <v>15.5</v>
      </c>
      <c r="R195" s="221"/>
      <c r="S195" s="176">
        <f t="shared" si="330"/>
        <v>37.722328286558216</v>
      </c>
      <c r="T195" s="546">
        <f t="shared" si="331"/>
        <v>15.5</v>
      </c>
      <c r="U195" s="221">
        <f t="shared" si="332"/>
        <v>2.1160930442637764</v>
      </c>
      <c r="V195" s="221">
        <f t="shared" si="333"/>
        <v>2.1160930442637764</v>
      </c>
      <c r="W195" s="221">
        <f t="shared" si="334"/>
        <v>1.1612705730715847</v>
      </c>
      <c r="X195" s="201">
        <f t="shared" si="335"/>
        <v>350</v>
      </c>
      <c r="Y195" s="451">
        <f t="shared" si="303"/>
        <v>305.12329932222889</v>
      </c>
      <c r="AA195" s="221">
        <f t="shared" si="336"/>
        <v>1.8447694038245221</v>
      </c>
      <c r="AB195" s="177">
        <f t="shared" si="337"/>
        <v>1.0123734533183355</v>
      </c>
      <c r="AC195" s="177">
        <f t="shared" si="338"/>
        <v>0.32682922508702178</v>
      </c>
      <c r="AD195" s="177"/>
      <c r="AE195" s="177">
        <f t="shared" si="339"/>
        <v>0.45</v>
      </c>
      <c r="AF195" s="555">
        <f t="shared" si="340"/>
        <v>1934.959349593496</v>
      </c>
      <c r="AG195" s="538">
        <f t="shared" si="341"/>
        <v>6.4574999999999994E-2</v>
      </c>
      <c r="AI195" s="177">
        <f t="shared" si="342"/>
        <v>1.9280387271352546</v>
      </c>
      <c r="AJ195" s="177">
        <f t="shared" si="343"/>
        <v>2.1160930442637764</v>
      </c>
      <c r="AK195" s="177">
        <f t="shared" si="344"/>
        <v>2.0640620295091843</v>
      </c>
      <c r="AM195" s="555">
        <f t="shared" si="345"/>
        <v>357</v>
      </c>
      <c r="AN195" s="469">
        <f t="shared" si="346"/>
        <v>305.12329932222889</v>
      </c>
      <c r="AP195">
        <f t="shared" si="347"/>
        <v>357</v>
      </c>
      <c r="AQ195">
        <f t="shared" si="348"/>
        <v>305.12329932222889</v>
      </c>
      <c r="AS195" s="5">
        <f t="shared" si="263"/>
        <v>3.2773636173353604</v>
      </c>
      <c r="AT195" s="5">
        <f t="shared" si="349"/>
        <v>2.1160930442637764</v>
      </c>
      <c r="AU195" s="5">
        <f t="shared" si="304"/>
        <v>1.161270573071584</v>
      </c>
      <c r="AV195" s="5"/>
      <c r="AW195" s="177">
        <f t="shared" si="305"/>
        <v>0.64566929133858275</v>
      </c>
      <c r="AX195" s="177">
        <f t="shared" si="259"/>
        <v>6.1483333333333352</v>
      </c>
      <c r="AY195" s="177">
        <f t="shared" si="260"/>
        <v>0.37489837398373982</v>
      </c>
      <c r="AZ195" s="177">
        <f t="shared" si="264"/>
        <v>16.400000000000006</v>
      </c>
      <c r="BA195" s="469">
        <f t="shared" si="350"/>
        <v>21.317779700075526</v>
      </c>
      <c r="BB195" s="469">
        <f t="shared" si="351"/>
        <v>36.993568387096758</v>
      </c>
      <c r="BC195" s="5">
        <f t="shared" si="359"/>
        <v>1.3221997358213187</v>
      </c>
      <c r="BD195" s="469">
        <f t="shared" si="352"/>
        <v>81.381428593723584</v>
      </c>
      <c r="BF195" s="177">
        <f t="shared" si="265"/>
        <v>0.98170092000159825</v>
      </c>
      <c r="BG195" s="177">
        <f t="shared" si="261"/>
        <v>0.72724129030778217</v>
      </c>
      <c r="BI195" s="538">
        <f t="shared" si="306"/>
        <v>0.1060110365965183</v>
      </c>
      <c r="BJ195" s="538">
        <f t="shared" si="307"/>
        <v>8.2000000000000003E-2</v>
      </c>
      <c r="BK195" s="538">
        <f t="shared" si="308"/>
        <v>1.5256164966111443E-2</v>
      </c>
      <c r="BL195" s="538">
        <f t="shared" si="309"/>
        <v>4.4292003252914061E-2</v>
      </c>
      <c r="BM195">
        <f t="shared" si="310"/>
        <v>2.6099999999999999E-3</v>
      </c>
      <c r="BN195">
        <f t="shared" si="353"/>
        <v>1.2204931972889155E-5</v>
      </c>
      <c r="BO195" s="538">
        <f t="shared" si="354"/>
        <v>0.25517233469228529</v>
      </c>
      <c r="BP195" s="469">
        <f t="shared" si="311"/>
        <v>250.16920481554376</v>
      </c>
      <c r="BQ195" s="538">
        <f t="shared" si="355"/>
        <v>0.32129999999999997</v>
      </c>
      <c r="BT195" s="469">
        <f t="shared" si="312"/>
        <v>321.29999999999995</v>
      </c>
      <c r="BU195" s="538">
        <f t="shared" si="313"/>
        <v>4.6259361423935254E-2</v>
      </c>
      <c r="BV195" s="538">
        <f t="shared" si="314"/>
        <v>0.12693117463884668</v>
      </c>
      <c r="BW195" s="538">
        <f t="shared" si="315"/>
        <v>0</v>
      </c>
      <c r="BX195" s="538"/>
      <c r="BY195" s="538">
        <f t="shared" si="316"/>
        <v>6.8314814814814842E-2</v>
      </c>
      <c r="BZ195" s="469">
        <f t="shared" si="317"/>
        <v>241.50535087759678</v>
      </c>
      <c r="CA195" s="177">
        <f t="shared" si="318"/>
        <v>0.81297455569314059</v>
      </c>
      <c r="CB195" s="5">
        <f t="shared" si="319"/>
        <v>5.5335000000000001</v>
      </c>
      <c r="CC195" s="177">
        <f t="shared" si="320"/>
        <v>0.87190139209431516</v>
      </c>
      <c r="CD195" s="5">
        <f t="shared" si="321"/>
        <v>87.190139209431521</v>
      </c>
      <c r="CG195" s="571">
        <f t="shared" si="356"/>
        <v>-50</v>
      </c>
      <c r="CH195">
        <f t="shared" si="357"/>
        <v>-50</v>
      </c>
    </row>
    <row r="196" spans="5:86" x14ac:dyDescent="0.2">
      <c r="E196" s="174">
        <v>86</v>
      </c>
      <c r="F196" s="221">
        <f t="shared" si="358"/>
        <v>0.36119999999999997</v>
      </c>
      <c r="G196" s="221"/>
      <c r="H196" s="221">
        <f t="shared" si="322"/>
        <v>5.5985999999999994</v>
      </c>
      <c r="I196" s="551">
        <f t="shared" si="323"/>
        <v>9</v>
      </c>
      <c r="J196" s="451">
        <f t="shared" si="324"/>
        <v>16.399999999999999</v>
      </c>
      <c r="K196" s="451">
        <f t="shared" si="325"/>
        <v>25.4</v>
      </c>
      <c r="L196" s="451"/>
      <c r="M196" s="221">
        <f t="shared" si="326"/>
        <v>0.64566929133858264</v>
      </c>
      <c r="N196" s="176">
        <f t="shared" si="327"/>
        <v>10.799787401574802</v>
      </c>
      <c r="O196" s="176">
        <f t="shared" si="262"/>
        <v>5.5985999999999994</v>
      </c>
      <c r="P196" s="221">
        <f t="shared" si="328"/>
        <v>0.69676047752095494</v>
      </c>
      <c r="Q196" s="221">
        <f t="shared" si="329"/>
        <v>15.5</v>
      </c>
      <c r="R196" s="221"/>
      <c r="S196" s="176">
        <f t="shared" si="330"/>
        <v>37.184446049204205</v>
      </c>
      <c r="T196" s="546">
        <f t="shared" si="331"/>
        <v>15.5</v>
      </c>
      <c r="U196" s="221">
        <f t="shared" si="332"/>
        <v>2.1409882565492322</v>
      </c>
      <c r="V196" s="221">
        <f t="shared" si="333"/>
        <v>2.1409882565492317</v>
      </c>
      <c r="W196" s="221">
        <f t="shared" si="334"/>
        <v>1.174932579813603</v>
      </c>
      <c r="X196" s="201">
        <f t="shared" si="335"/>
        <v>350</v>
      </c>
      <c r="Y196" s="451">
        <f t="shared" si="303"/>
        <v>301.57535398127277</v>
      </c>
      <c r="AA196" s="221">
        <f t="shared" si="336"/>
        <v>1.8447694038245221</v>
      </c>
      <c r="AB196" s="177">
        <f t="shared" si="337"/>
        <v>1.0123734533183355</v>
      </c>
      <c r="AC196" s="177">
        <f t="shared" si="338"/>
        <v>0.32682922508702178</v>
      </c>
      <c r="AD196" s="177"/>
      <c r="AE196" s="177">
        <f t="shared" si="339"/>
        <v>0.45</v>
      </c>
      <c r="AF196" s="555">
        <f t="shared" si="340"/>
        <v>1957.7235772357724</v>
      </c>
      <c r="AG196" s="538">
        <f t="shared" si="341"/>
        <v>6.4574999999999994E-2</v>
      </c>
      <c r="AI196" s="177">
        <f t="shared" si="342"/>
        <v>1.9393469691281819</v>
      </c>
      <c r="AJ196" s="177">
        <f t="shared" si="343"/>
        <v>2.1409882565492322</v>
      </c>
      <c r="AK196" s="177">
        <f t="shared" si="344"/>
        <v>2.0806588376994881</v>
      </c>
      <c r="AM196" s="555">
        <f t="shared" si="345"/>
        <v>361.2</v>
      </c>
      <c r="AN196" s="469">
        <f t="shared" si="346"/>
        <v>301.57535398127277</v>
      </c>
      <c r="AP196">
        <f t="shared" si="347"/>
        <v>361.2</v>
      </c>
      <c r="AQ196">
        <f t="shared" si="348"/>
        <v>301.57535398127277</v>
      </c>
      <c r="AS196" s="5">
        <f t="shared" si="263"/>
        <v>3.3159208363628347</v>
      </c>
      <c r="AT196" s="5">
        <f t="shared" si="349"/>
        <v>2.1409882565492317</v>
      </c>
      <c r="AU196" s="5">
        <f t="shared" si="304"/>
        <v>1.174932579813603</v>
      </c>
      <c r="AV196" s="5"/>
      <c r="AW196" s="177">
        <f t="shared" si="305"/>
        <v>0.64566929133858264</v>
      </c>
      <c r="AX196" s="177">
        <f t="shared" si="259"/>
        <v>6.2206666666666672</v>
      </c>
      <c r="AY196" s="177">
        <f t="shared" si="260"/>
        <v>0.37930894308943092</v>
      </c>
      <c r="AZ196" s="177">
        <f t="shared" si="264"/>
        <v>16.400000000000002</v>
      </c>
      <c r="BA196" s="469">
        <f t="shared" si="350"/>
        <v>21.317779700075526</v>
      </c>
      <c r="BB196" s="469">
        <f t="shared" si="351"/>
        <v>37.860626683870954</v>
      </c>
      <c r="BC196" s="5">
        <f t="shared" si="359"/>
        <v>1.353493321264287</v>
      </c>
      <c r="BD196" s="469">
        <f t="shared" si="352"/>
        <v>83.283154831412787</v>
      </c>
      <c r="BF196" s="177">
        <f t="shared" si="265"/>
        <v>0.99325034258985212</v>
      </c>
      <c r="BG196" s="177">
        <f t="shared" si="261"/>
        <v>0.73579707019375606</v>
      </c>
      <c r="BI196" s="538">
        <f t="shared" si="306"/>
        <v>0.10852008673603444</v>
      </c>
      <c r="BJ196" s="538">
        <f t="shared" si="307"/>
        <v>8.2000000000000003E-2</v>
      </c>
      <c r="BK196" s="538">
        <f t="shared" si="308"/>
        <v>1.5078767699063638E-2</v>
      </c>
      <c r="BL196" s="538">
        <f t="shared" si="309"/>
        <v>4.3776979959275535E-2</v>
      </c>
      <c r="BM196">
        <f t="shared" si="310"/>
        <v>2.6099999999999999E-3</v>
      </c>
      <c r="BN196">
        <f t="shared" si="353"/>
        <v>1.2063014159250911E-5</v>
      </c>
      <c r="BO196" s="538">
        <f t="shared" si="354"/>
        <v>0.25714647277266184</v>
      </c>
      <c r="BP196" s="469">
        <f t="shared" si="311"/>
        <v>251.9858343943736</v>
      </c>
      <c r="BQ196" s="538">
        <f t="shared" si="355"/>
        <v>0.32507999999999998</v>
      </c>
      <c r="BT196" s="469">
        <f t="shared" si="312"/>
        <v>325.08</v>
      </c>
      <c r="BU196" s="538">
        <f t="shared" si="313"/>
        <v>4.7354219666633217E-2</v>
      </c>
      <c r="BV196" s="538">
        <f t="shared" si="314"/>
        <v>0.12993535884137164</v>
      </c>
      <c r="BW196" s="538">
        <f t="shared" si="315"/>
        <v>0</v>
      </c>
      <c r="BX196" s="538"/>
      <c r="BY196" s="538">
        <f t="shared" si="316"/>
        <v>6.9118518518518537E-2</v>
      </c>
      <c r="BZ196" s="469">
        <f t="shared" si="317"/>
        <v>246.40809702652339</v>
      </c>
      <c r="CA196" s="177">
        <f t="shared" si="318"/>
        <v>0.82347393142089698</v>
      </c>
      <c r="CB196" s="5">
        <f t="shared" si="319"/>
        <v>5.5985999999999994</v>
      </c>
      <c r="CC196" s="177">
        <f t="shared" si="320"/>
        <v>0.87177445476111148</v>
      </c>
      <c r="CD196" s="5">
        <f t="shared" si="321"/>
        <v>87.177445476111146</v>
      </c>
      <c r="CG196" s="571">
        <f t="shared" si="356"/>
        <v>-50</v>
      </c>
      <c r="CH196">
        <f t="shared" si="357"/>
        <v>-50</v>
      </c>
    </row>
    <row r="197" spans="5:86" x14ac:dyDescent="0.2">
      <c r="E197" s="174">
        <v>87</v>
      </c>
      <c r="F197" s="221">
        <f t="shared" si="358"/>
        <v>0.3654</v>
      </c>
      <c r="G197" s="221"/>
      <c r="H197" s="221">
        <f t="shared" si="322"/>
        <v>5.6637000000000004</v>
      </c>
      <c r="I197" s="551">
        <f t="shared" si="323"/>
        <v>9</v>
      </c>
      <c r="J197" s="451">
        <f t="shared" si="324"/>
        <v>16.399999999999999</v>
      </c>
      <c r="K197" s="451">
        <f t="shared" si="325"/>
        <v>25.4</v>
      </c>
      <c r="L197" s="451"/>
      <c r="M197" s="221">
        <f t="shared" si="326"/>
        <v>0.64566929133858264</v>
      </c>
      <c r="N197" s="176">
        <f t="shared" si="327"/>
        <v>10.799787401574802</v>
      </c>
      <c r="O197" s="176">
        <f t="shared" si="262"/>
        <v>5.6637000000000004</v>
      </c>
      <c r="P197" s="221">
        <f t="shared" si="328"/>
        <v>0.69676047752095494</v>
      </c>
      <c r="Q197" s="221">
        <f t="shared" si="329"/>
        <v>15.5</v>
      </c>
      <c r="R197" s="221"/>
      <c r="S197" s="176">
        <f t="shared" si="330"/>
        <v>36.659010387889879</v>
      </c>
      <c r="T197" s="546">
        <f t="shared" si="331"/>
        <v>15.5</v>
      </c>
      <c r="U197" s="221">
        <f t="shared" si="332"/>
        <v>2.1658834688346889</v>
      </c>
      <c r="V197" s="221">
        <f t="shared" si="333"/>
        <v>2.1658834688346889</v>
      </c>
      <c r="W197" s="221">
        <f t="shared" si="334"/>
        <v>1.188594586555622</v>
      </c>
      <c r="X197" s="201">
        <f t="shared" si="335"/>
        <v>350</v>
      </c>
      <c r="Y197" s="451">
        <f t="shared" si="303"/>
        <v>298.10897060217758</v>
      </c>
      <c r="AA197" s="221">
        <f t="shared" si="336"/>
        <v>1.8447694038245221</v>
      </c>
      <c r="AB197" s="177">
        <f t="shared" si="337"/>
        <v>1.0123734533183355</v>
      </c>
      <c r="AC197" s="177">
        <f t="shared" si="338"/>
        <v>0.32682922508702178</v>
      </c>
      <c r="AD197" s="177"/>
      <c r="AE197" s="177">
        <f t="shared" si="339"/>
        <v>0.45</v>
      </c>
      <c r="AF197" s="555">
        <f t="shared" si="340"/>
        <v>1980.4878048780488</v>
      </c>
      <c r="AG197" s="538">
        <f t="shared" si="341"/>
        <v>6.4574999999999994E-2</v>
      </c>
      <c r="AI197" s="177">
        <f t="shared" si="342"/>
        <v>1.9505896544378571</v>
      </c>
      <c r="AJ197" s="177">
        <f t="shared" si="343"/>
        <v>2.1658834688346889</v>
      </c>
      <c r="AK197" s="177">
        <f t="shared" si="344"/>
        <v>2.0972556458897929</v>
      </c>
      <c r="AM197" s="555">
        <f t="shared" si="345"/>
        <v>365.4</v>
      </c>
      <c r="AN197" s="469">
        <f t="shared" si="346"/>
        <v>298.10897060217758</v>
      </c>
      <c r="AP197">
        <f t="shared" si="347"/>
        <v>365.4</v>
      </c>
      <c r="AQ197">
        <f t="shared" si="348"/>
        <v>298.10897060217758</v>
      </c>
      <c r="AS197" s="5">
        <f t="shared" si="263"/>
        <v>3.3544780553903109</v>
      </c>
      <c r="AT197" s="5">
        <f t="shared" si="349"/>
        <v>2.1658834688346889</v>
      </c>
      <c r="AU197" s="5">
        <f t="shared" si="304"/>
        <v>1.188594586555622</v>
      </c>
      <c r="AV197" s="5"/>
      <c r="AW197" s="177">
        <f t="shared" si="305"/>
        <v>0.64566929133858264</v>
      </c>
      <c r="AX197" s="177">
        <f t="shared" ref="AX197:AX210" si="360">0.5*L*AJ197^2*AN197*1000</f>
        <v>6.293000000000001</v>
      </c>
      <c r="AY197" s="177">
        <f t="shared" ref="AY197:AY210" si="361">AJ197*Nps/2*(1-AW197)</f>
        <v>0.38371951219512207</v>
      </c>
      <c r="AZ197" s="177">
        <f t="shared" si="264"/>
        <v>16.399999999999999</v>
      </c>
      <c r="BA197" s="469">
        <f t="shared" si="350"/>
        <v>21.317779700075526</v>
      </c>
      <c r="BB197" s="469">
        <f t="shared" si="351"/>
        <v>38.73772776774193</v>
      </c>
      <c r="BC197" s="5">
        <f t="shared" si="359"/>
        <v>1.3851529135545422</v>
      </c>
      <c r="BD197" s="469">
        <f t="shared" si="352"/>
        <v>85.206841479939214</v>
      </c>
      <c r="BF197" s="177">
        <f t="shared" si="265"/>
        <v>1.0047997651781064</v>
      </c>
      <c r="BG197" s="177">
        <f t="shared" ref="BG197:BG210" si="362">AJ197*Nps*SQRT((1-AW197)/3)</f>
        <v>0.74435285007973007</v>
      </c>
      <c r="BI197" s="538">
        <f t="shared" si="306"/>
        <v>0.11105848249121757</v>
      </c>
      <c r="BJ197" s="538">
        <f t="shared" si="307"/>
        <v>8.199999999999999E-2</v>
      </c>
      <c r="BK197" s="538">
        <f t="shared" si="308"/>
        <v>1.4905448530108877E-2</v>
      </c>
      <c r="BL197" s="538">
        <f t="shared" si="309"/>
        <v>4.3273796281582691E-2</v>
      </c>
      <c r="BM197">
        <f t="shared" si="310"/>
        <v>2.6099999999999999E-3</v>
      </c>
      <c r="BN197">
        <f t="shared" si="353"/>
        <v>1.1924358824087103E-5</v>
      </c>
      <c r="BO197" s="538">
        <f t="shared" si="354"/>
        <v>0.25917012263902989</v>
      </c>
      <c r="BP197" s="469">
        <f t="shared" si="311"/>
        <v>253.84772730290911</v>
      </c>
      <c r="BQ197" s="538">
        <f t="shared" si="355"/>
        <v>0.32885999999999999</v>
      </c>
      <c r="BT197" s="469">
        <f t="shared" si="312"/>
        <v>328.86</v>
      </c>
      <c r="BU197" s="538">
        <f t="shared" si="313"/>
        <v>4.8461883268894938E-2</v>
      </c>
      <c r="BV197" s="538">
        <f t="shared" si="314"/>
        <v>0.13297467970123611</v>
      </c>
      <c r="BW197" s="538">
        <f t="shared" si="315"/>
        <v>0</v>
      </c>
      <c r="BX197" s="538"/>
      <c r="BY197" s="538">
        <f t="shared" si="316"/>
        <v>6.9922222222222247E-2</v>
      </c>
      <c r="BZ197" s="469">
        <f t="shared" si="317"/>
        <v>251.35878519235334</v>
      </c>
      <c r="CA197" s="177">
        <f t="shared" si="318"/>
        <v>0.83406651249526231</v>
      </c>
      <c r="CB197" s="5">
        <f t="shared" si="319"/>
        <v>5.6637000000000004</v>
      </c>
      <c r="CC197" s="177">
        <f t="shared" si="320"/>
        <v>0.87163796807851668</v>
      </c>
      <c r="CD197" s="5">
        <f t="shared" si="321"/>
        <v>87.163796807851668</v>
      </c>
      <c r="CG197" s="571">
        <f t="shared" si="356"/>
        <v>-50</v>
      </c>
      <c r="CH197">
        <f t="shared" si="357"/>
        <v>-50</v>
      </c>
    </row>
    <row r="198" spans="5:86" x14ac:dyDescent="0.2">
      <c r="E198" s="174">
        <v>88</v>
      </c>
      <c r="F198" s="221">
        <f t="shared" si="358"/>
        <v>0.36959999999999998</v>
      </c>
      <c r="G198" s="221"/>
      <c r="H198" s="221">
        <f t="shared" si="322"/>
        <v>5.7287999999999997</v>
      </c>
      <c r="I198" s="551">
        <f t="shared" si="323"/>
        <v>9</v>
      </c>
      <c r="J198" s="451">
        <f t="shared" si="324"/>
        <v>16.399999999999999</v>
      </c>
      <c r="K198" s="451">
        <f t="shared" si="325"/>
        <v>25.4</v>
      </c>
      <c r="L198" s="451"/>
      <c r="M198" s="221">
        <f t="shared" si="326"/>
        <v>0.64566929133858264</v>
      </c>
      <c r="N198" s="176">
        <f t="shared" si="327"/>
        <v>10.799787401574802</v>
      </c>
      <c r="O198" s="176">
        <f t="shared" ref="O198:O261" si="363">T198*F198</f>
        <v>5.7287999999999997</v>
      </c>
      <c r="P198" s="221">
        <f t="shared" si="328"/>
        <v>0.69676047752095494</v>
      </c>
      <c r="Q198" s="221">
        <f t="shared" si="329"/>
        <v>15.5</v>
      </c>
      <c r="R198" s="221"/>
      <c r="S198" s="176">
        <f t="shared" si="330"/>
        <v>36.145597514863319</v>
      </c>
      <c r="T198" s="546">
        <f t="shared" si="331"/>
        <v>15.5</v>
      </c>
      <c r="U198" s="221">
        <f t="shared" si="332"/>
        <v>2.1907786811201446</v>
      </c>
      <c r="V198" s="221">
        <f t="shared" si="333"/>
        <v>2.1907786811201446</v>
      </c>
      <c r="W198" s="221">
        <f t="shared" si="334"/>
        <v>1.2022565932976406</v>
      </c>
      <c r="X198" s="201">
        <f t="shared" si="335"/>
        <v>350</v>
      </c>
      <c r="Y198" s="451">
        <f t="shared" si="303"/>
        <v>294.7213686635165</v>
      </c>
      <c r="AA198" s="221">
        <f t="shared" si="336"/>
        <v>1.8447694038245221</v>
      </c>
      <c r="AB198" s="177">
        <f t="shared" si="337"/>
        <v>1.0123734533183355</v>
      </c>
      <c r="AC198" s="177">
        <f t="shared" si="338"/>
        <v>0.32682922508702178</v>
      </c>
      <c r="AD198" s="177"/>
      <c r="AE198" s="177">
        <f t="shared" si="339"/>
        <v>0.45</v>
      </c>
      <c r="AF198" s="555">
        <f t="shared" si="340"/>
        <v>2003.2520325203252</v>
      </c>
      <c r="AG198" s="538">
        <f t="shared" si="341"/>
        <v>6.4574999999999994E-2</v>
      </c>
      <c r="AI198" s="177">
        <f t="shared" si="342"/>
        <v>1.9617679101599488</v>
      </c>
      <c r="AJ198" s="177">
        <f t="shared" si="343"/>
        <v>2.1907786811201446</v>
      </c>
      <c r="AK198" s="177">
        <f t="shared" si="344"/>
        <v>2.1138524540800967</v>
      </c>
      <c r="AM198" s="555">
        <f t="shared" si="345"/>
        <v>369.59999999999997</v>
      </c>
      <c r="AN198" s="469">
        <f t="shared" si="346"/>
        <v>294.7213686635165</v>
      </c>
      <c r="AP198">
        <f t="shared" si="347"/>
        <v>369.59999999999997</v>
      </c>
      <c r="AQ198">
        <f t="shared" si="348"/>
        <v>294.7213686635165</v>
      </c>
      <c r="AS198" s="5">
        <f t="shared" ref="AS198:AS262" si="364">1/AN198*1000</f>
        <v>3.3930352744177852</v>
      </c>
      <c r="AT198" s="5">
        <f t="shared" si="349"/>
        <v>2.1907786811201446</v>
      </c>
      <c r="AU198" s="5">
        <f t="shared" si="304"/>
        <v>1.2022565932976406</v>
      </c>
      <c r="AV198" s="5"/>
      <c r="AW198" s="177">
        <f t="shared" si="305"/>
        <v>0.64566929133858264</v>
      </c>
      <c r="AX198" s="177">
        <f t="shared" si="360"/>
        <v>6.3653333333333331</v>
      </c>
      <c r="AY198" s="177">
        <f t="shared" si="361"/>
        <v>0.38813008130081306</v>
      </c>
      <c r="AZ198" s="177">
        <f t="shared" ref="AZ198:AZ210" si="365">AX198/AY198</f>
        <v>16.399999999999999</v>
      </c>
      <c r="BA198" s="469">
        <f t="shared" si="350"/>
        <v>21.317779700075526</v>
      </c>
      <c r="BB198" s="469">
        <f t="shared" si="351"/>
        <v>39.624871638709664</v>
      </c>
      <c r="BC198" s="5">
        <f t="shared" si="359"/>
        <v>1.4171785126920826</v>
      </c>
      <c r="BD198" s="469">
        <f t="shared" si="352"/>
        <v>87.152488539302738</v>
      </c>
      <c r="BF198" s="177">
        <f t="shared" ref="BF198:BF210" si="366">AJ198*SQRT(AW198/3)</f>
        <v>1.0163491877663604</v>
      </c>
      <c r="BG198" s="177">
        <f t="shared" si="362"/>
        <v>0.75290862996570385</v>
      </c>
      <c r="BI198" s="538">
        <f t="shared" si="306"/>
        <v>0.11362622386206747</v>
      </c>
      <c r="BJ198" s="538">
        <f t="shared" si="307"/>
        <v>8.199999999999999E-2</v>
      </c>
      <c r="BK198" s="538">
        <f t="shared" si="308"/>
        <v>1.4736068433175825E-2</v>
      </c>
      <c r="BL198" s="538">
        <f t="shared" si="309"/>
        <v>4.278204859656471E-2</v>
      </c>
      <c r="BM198">
        <f t="shared" si="310"/>
        <v>2.6099999999999999E-3</v>
      </c>
      <c r="BN198">
        <f t="shared" si="353"/>
        <v>1.1788854746540661E-5</v>
      </c>
      <c r="BO198" s="538">
        <f t="shared" si="354"/>
        <v>0.26124283453603508</v>
      </c>
      <c r="BP198" s="469">
        <f t="shared" si="311"/>
        <v>255.754340891808</v>
      </c>
      <c r="BQ198" s="538">
        <f t="shared" si="355"/>
        <v>0.33263999999999999</v>
      </c>
      <c r="BT198" s="469">
        <f t="shared" si="312"/>
        <v>332.64</v>
      </c>
      <c r="BU198" s="538">
        <f t="shared" si="313"/>
        <v>4.9582352230720349E-2</v>
      </c>
      <c r="BV198" s="538">
        <f t="shared" si="314"/>
        <v>0.13604913721843997</v>
      </c>
      <c r="BW198" s="538">
        <f t="shared" si="315"/>
        <v>0</v>
      </c>
      <c r="BX198" s="538"/>
      <c r="BY198" s="538">
        <f t="shared" si="316"/>
        <v>7.0725925925925928E-2</v>
      </c>
      <c r="BZ198" s="469">
        <f t="shared" si="317"/>
        <v>256.35741537508625</v>
      </c>
      <c r="CA198" s="177">
        <f t="shared" si="318"/>
        <v>0.84475175626689436</v>
      </c>
      <c r="CB198" s="5">
        <f t="shared" si="319"/>
        <v>5.7287999999999997</v>
      </c>
      <c r="CC198" s="177">
        <f t="shared" si="320"/>
        <v>0.87149233966834594</v>
      </c>
      <c r="CD198" s="5">
        <f t="shared" si="321"/>
        <v>87.149233966834601</v>
      </c>
      <c r="CG198" s="571">
        <f t="shared" si="356"/>
        <v>-50</v>
      </c>
      <c r="CH198">
        <f t="shared" si="357"/>
        <v>-50</v>
      </c>
    </row>
    <row r="199" spans="5:86" x14ac:dyDescent="0.2">
      <c r="E199" s="174">
        <v>89</v>
      </c>
      <c r="F199" s="221">
        <f t="shared" si="358"/>
        <v>0.37379999999999997</v>
      </c>
      <c r="G199" s="221"/>
      <c r="H199" s="221">
        <f t="shared" si="322"/>
        <v>5.7938999999999998</v>
      </c>
      <c r="I199" s="551">
        <f t="shared" si="323"/>
        <v>9</v>
      </c>
      <c r="J199" s="451">
        <f t="shared" si="324"/>
        <v>16.399999999999999</v>
      </c>
      <c r="K199" s="451">
        <f t="shared" si="325"/>
        <v>25.4</v>
      </c>
      <c r="L199" s="451"/>
      <c r="M199" s="221">
        <f t="shared" si="326"/>
        <v>0.64566929133858264</v>
      </c>
      <c r="N199" s="176">
        <f t="shared" si="327"/>
        <v>10.799787401574802</v>
      </c>
      <c r="O199" s="176">
        <f t="shared" si="363"/>
        <v>5.7938999999999998</v>
      </c>
      <c r="P199" s="221">
        <f t="shared" si="328"/>
        <v>0.69676047752095494</v>
      </c>
      <c r="Q199" s="221">
        <f t="shared" si="329"/>
        <v>15.5</v>
      </c>
      <c r="R199" s="221"/>
      <c r="S199" s="176">
        <f t="shared" si="330"/>
        <v>35.643802692521838</v>
      </c>
      <c r="T199" s="546">
        <f t="shared" si="331"/>
        <v>15.5</v>
      </c>
      <c r="U199" s="221">
        <f t="shared" si="332"/>
        <v>2.2156738934056008</v>
      </c>
      <c r="V199" s="221">
        <f t="shared" si="333"/>
        <v>2.2156738934056008</v>
      </c>
      <c r="W199" s="221">
        <f t="shared" si="334"/>
        <v>1.2159186000396591</v>
      </c>
      <c r="X199" s="201">
        <f t="shared" si="335"/>
        <v>350</v>
      </c>
      <c r="Y199" s="451">
        <f t="shared" si="303"/>
        <v>291.40989261111741</v>
      </c>
      <c r="AA199" s="221">
        <f t="shared" si="336"/>
        <v>1.8447694038245221</v>
      </c>
      <c r="AB199" s="177">
        <f t="shared" si="337"/>
        <v>1.0123734533183355</v>
      </c>
      <c r="AC199" s="177">
        <f t="shared" si="338"/>
        <v>0.32682922508702178</v>
      </c>
      <c r="AD199" s="177"/>
      <c r="AE199" s="177">
        <f t="shared" si="339"/>
        <v>0.45</v>
      </c>
      <c r="AF199" s="555">
        <f t="shared" si="340"/>
        <v>2026.0162601626014</v>
      </c>
      <c r="AG199" s="538">
        <f t="shared" si="341"/>
        <v>6.4574999999999994E-2</v>
      </c>
      <c r="AI199" s="177">
        <f t="shared" si="342"/>
        <v>1.9728828314592495</v>
      </c>
      <c r="AJ199" s="177">
        <f t="shared" si="343"/>
        <v>2.2156738934056008</v>
      </c>
      <c r="AK199" s="177">
        <f t="shared" si="344"/>
        <v>2.1304492622704005</v>
      </c>
      <c r="AM199" s="555">
        <f t="shared" si="345"/>
        <v>373.79999999999995</v>
      </c>
      <c r="AN199" s="469">
        <f t="shared" si="346"/>
        <v>291.40989261111741</v>
      </c>
      <c r="AP199">
        <f t="shared" si="347"/>
        <v>373.79999999999995</v>
      </c>
      <c r="AQ199">
        <f t="shared" si="348"/>
        <v>291.40989261111741</v>
      </c>
      <c r="AS199" s="5">
        <f t="shared" si="364"/>
        <v>3.4315924934452604</v>
      </c>
      <c r="AT199" s="5">
        <f t="shared" si="349"/>
        <v>2.2156738934056008</v>
      </c>
      <c r="AU199" s="5">
        <f t="shared" si="304"/>
        <v>1.2159186000396596</v>
      </c>
      <c r="AV199" s="5"/>
      <c r="AW199" s="177">
        <f t="shared" si="305"/>
        <v>0.64566929133858253</v>
      </c>
      <c r="AX199" s="177">
        <f t="shared" si="360"/>
        <v>6.4376666666666651</v>
      </c>
      <c r="AY199" s="177">
        <f t="shared" si="361"/>
        <v>0.39254065040650427</v>
      </c>
      <c r="AZ199" s="177">
        <f t="shared" si="365"/>
        <v>16.399999999999988</v>
      </c>
      <c r="BA199" s="469">
        <f t="shared" si="350"/>
        <v>21.317779700075526</v>
      </c>
      <c r="BB199" s="469">
        <f t="shared" si="351"/>
        <v>40.522058296774183</v>
      </c>
      <c r="BC199" s="5">
        <f t="shared" si="359"/>
        <v>1.4495701186769099</v>
      </c>
      <c r="BD199" s="469">
        <f t="shared" si="352"/>
        <v>89.120096009503484</v>
      </c>
      <c r="BF199" s="177">
        <f t="shared" si="366"/>
        <v>1.0278986103546144</v>
      </c>
      <c r="BG199" s="177">
        <f t="shared" si="362"/>
        <v>0.76146440985167796</v>
      </c>
      <c r="BI199" s="538">
        <f t="shared" si="306"/>
        <v>0.11622331084858421</v>
      </c>
      <c r="BJ199" s="538">
        <f t="shared" si="307"/>
        <v>8.199999999999999E-2</v>
      </c>
      <c r="BK199" s="538">
        <f t="shared" si="308"/>
        <v>1.4570494630555869E-2</v>
      </c>
      <c r="BL199" s="538">
        <f t="shared" si="309"/>
        <v>4.2301351421322408E-2</v>
      </c>
      <c r="BM199">
        <f t="shared" si="310"/>
        <v>2.6099999999999999E-3</v>
      </c>
      <c r="BN199">
        <f t="shared" si="353"/>
        <v>1.1656395704444697E-5</v>
      </c>
      <c r="BO199" s="538">
        <f t="shared" si="354"/>
        <v>0.2633641843993505</v>
      </c>
      <c r="BP199" s="469">
        <f t="shared" si="311"/>
        <v>257.7051569004625</v>
      </c>
      <c r="BQ199" s="538">
        <f t="shared" si="355"/>
        <v>0.33642</v>
      </c>
      <c r="BT199" s="469">
        <f t="shared" si="312"/>
        <v>336.42</v>
      </c>
      <c r="BU199" s="538">
        <f t="shared" si="313"/>
        <v>5.0715626552109476E-2</v>
      </c>
      <c r="BV199" s="538">
        <f t="shared" si="314"/>
        <v>0.1391587313929834</v>
      </c>
      <c r="BW199" s="538">
        <f t="shared" si="315"/>
        <v>0</v>
      </c>
      <c r="BX199" s="538"/>
      <c r="BY199" s="538">
        <f t="shared" si="316"/>
        <v>7.152962962962961E-2</v>
      </c>
      <c r="BZ199" s="469">
        <f t="shared" si="317"/>
        <v>261.40398757472252</v>
      </c>
      <c r="CA199" s="177">
        <f t="shared" si="318"/>
        <v>0.85552914447518491</v>
      </c>
      <c r="CB199" s="5">
        <f t="shared" si="319"/>
        <v>5.7938999999999998</v>
      </c>
      <c r="CC199" s="177">
        <f t="shared" si="320"/>
        <v>0.87133795610319131</v>
      </c>
      <c r="CD199" s="5">
        <f t="shared" si="321"/>
        <v>87.133795610319126</v>
      </c>
      <c r="CG199" s="571">
        <f t="shared" si="356"/>
        <v>-50</v>
      </c>
      <c r="CH199">
        <f t="shared" si="357"/>
        <v>-50</v>
      </c>
    </row>
    <row r="200" spans="5:86" x14ac:dyDescent="0.2">
      <c r="E200" s="174">
        <v>90</v>
      </c>
      <c r="F200" s="221">
        <f t="shared" si="358"/>
        <v>0.378</v>
      </c>
      <c r="G200" s="221"/>
      <c r="H200" s="221">
        <f t="shared" si="322"/>
        <v>5.859</v>
      </c>
      <c r="I200" s="551">
        <f t="shared" si="323"/>
        <v>9</v>
      </c>
      <c r="J200" s="451">
        <f t="shared" si="324"/>
        <v>16.399999999999999</v>
      </c>
      <c r="K200" s="451">
        <f t="shared" si="325"/>
        <v>25.4</v>
      </c>
      <c r="L200" s="451"/>
      <c r="M200" s="221">
        <f t="shared" si="326"/>
        <v>0.64566929133858264</v>
      </c>
      <c r="N200" s="176">
        <f t="shared" si="327"/>
        <v>10.799787401574802</v>
      </c>
      <c r="O200" s="176">
        <f t="shared" si="363"/>
        <v>5.859</v>
      </c>
      <c r="P200" s="221">
        <f t="shared" si="328"/>
        <v>0.69676047752095494</v>
      </c>
      <c r="Q200" s="221">
        <f t="shared" si="329"/>
        <v>15.5</v>
      </c>
      <c r="R200" s="221"/>
      <c r="S200" s="176">
        <f t="shared" si="330"/>
        <v>35.153239175085524</v>
      </c>
      <c r="T200" s="546">
        <f t="shared" si="331"/>
        <v>15.5</v>
      </c>
      <c r="U200" s="221">
        <f t="shared" si="332"/>
        <v>2.2405691056910571</v>
      </c>
      <c r="V200" s="221">
        <f t="shared" si="333"/>
        <v>2.2405691056910571</v>
      </c>
      <c r="W200" s="221">
        <f t="shared" si="334"/>
        <v>1.2295806067816777</v>
      </c>
      <c r="X200" s="201">
        <f t="shared" si="335"/>
        <v>350</v>
      </c>
      <c r="Y200" s="451">
        <f t="shared" si="303"/>
        <v>288.17200491543838</v>
      </c>
      <c r="AA200" s="221">
        <f t="shared" si="336"/>
        <v>1.8447694038245221</v>
      </c>
      <c r="AB200" s="177">
        <f t="shared" si="337"/>
        <v>1.0123734533183355</v>
      </c>
      <c r="AC200" s="177">
        <f t="shared" si="338"/>
        <v>0.32682922508702178</v>
      </c>
      <c r="AD200" s="177"/>
      <c r="AE200" s="177">
        <f t="shared" si="339"/>
        <v>0.45</v>
      </c>
      <c r="AF200" s="555">
        <f t="shared" si="340"/>
        <v>2048.7804878048782</v>
      </c>
      <c r="AG200" s="538">
        <f t="shared" si="341"/>
        <v>6.4574999999999994E-2</v>
      </c>
      <c r="AI200" s="177">
        <f t="shared" si="342"/>
        <v>1.9839354828219591</v>
      </c>
      <c r="AJ200" s="177">
        <f t="shared" si="343"/>
        <v>2.2405691056910571</v>
      </c>
      <c r="AK200" s="177">
        <f t="shared" si="344"/>
        <v>2.1470460704607048</v>
      </c>
      <c r="AM200" s="555">
        <f t="shared" si="345"/>
        <v>378</v>
      </c>
      <c r="AN200" s="469">
        <f t="shared" si="346"/>
        <v>288.17200491543838</v>
      </c>
      <c r="AP200">
        <f t="shared" si="347"/>
        <v>378</v>
      </c>
      <c r="AQ200">
        <f t="shared" si="348"/>
        <v>288.17200491543838</v>
      </c>
      <c r="AS200" s="5">
        <f t="shared" si="364"/>
        <v>3.4701497124727347</v>
      </c>
      <c r="AT200" s="5">
        <f t="shared" si="349"/>
        <v>2.2405691056910571</v>
      </c>
      <c r="AU200" s="5">
        <f t="shared" si="304"/>
        <v>1.2295806067816777</v>
      </c>
      <c r="AV200" s="5"/>
      <c r="AW200" s="177">
        <f t="shared" si="305"/>
        <v>0.64566929133858264</v>
      </c>
      <c r="AX200" s="177">
        <f t="shared" si="360"/>
        <v>6.5100000000000007</v>
      </c>
      <c r="AY200" s="177">
        <f t="shared" si="361"/>
        <v>0.3969512195121952</v>
      </c>
      <c r="AZ200" s="177">
        <f t="shared" si="365"/>
        <v>16.399999999999999</v>
      </c>
      <c r="BA200" s="469">
        <f t="shared" si="350"/>
        <v>21.317779700075526</v>
      </c>
      <c r="BB200" s="469">
        <f t="shared" si="351"/>
        <v>41.429287741935475</v>
      </c>
      <c r="BC200" s="5">
        <f t="shared" si="359"/>
        <v>1.4823277315090222</v>
      </c>
      <c r="BD200" s="469">
        <f t="shared" si="352"/>
        <v>91.109663890541356</v>
      </c>
      <c r="BF200" s="177">
        <f t="shared" si="366"/>
        <v>1.0394480329428686</v>
      </c>
      <c r="BG200" s="177">
        <f t="shared" si="362"/>
        <v>0.77002018973765174</v>
      </c>
      <c r="BI200" s="538">
        <f t="shared" si="306"/>
        <v>0.11884974345076788</v>
      </c>
      <c r="BJ200" s="538">
        <f t="shared" si="307"/>
        <v>8.2000000000000003E-2</v>
      </c>
      <c r="BK200" s="538">
        <f t="shared" si="308"/>
        <v>1.4408600245771919E-2</v>
      </c>
      <c r="BL200" s="538">
        <f t="shared" si="309"/>
        <v>4.1831336405529947E-2</v>
      </c>
      <c r="BM200">
        <f t="shared" si="310"/>
        <v>2.6099999999999999E-3</v>
      </c>
      <c r="BN200">
        <f t="shared" si="353"/>
        <v>1.1526880196617535E-5</v>
      </c>
      <c r="BO200" s="538">
        <f t="shared" si="354"/>
        <v>0.26553377250883126</v>
      </c>
      <c r="BP200" s="469">
        <f t="shared" si="311"/>
        <v>259.69968010206981</v>
      </c>
      <c r="BQ200" s="538">
        <f t="shared" si="355"/>
        <v>0.3402</v>
      </c>
      <c r="BT200" s="469">
        <f t="shared" si="312"/>
        <v>340.2</v>
      </c>
      <c r="BU200" s="538">
        <f t="shared" si="313"/>
        <v>5.1861706233062341E-2</v>
      </c>
      <c r="BV200" s="538">
        <f t="shared" si="314"/>
        <v>0.1423034622248662</v>
      </c>
      <c r="BW200" s="538">
        <f t="shared" si="315"/>
        <v>0</v>
      </c>
      <c r="BX200" s="538"/>
      <c r="BY200" s="538">
        <f t="shared" si="316"/>
        <v>7.2333333333333347E-2</v>
      </c>
      <c r="BZ200" s="469">
        <f t="shared" si="317"/>
        <v>266.4985017912619</v>
      </c>
      <c r="CA200" s="177">
        <f t="shared" si="318"/>
        <v>0.86639818189333162</v>
      </c>
      <c r="CB200" s="5">
        <f t="shared" si="319"/>
        <v>5.859</v>
      </c>
      <c r="CC200" s="177">
        <f t="shared" si="320"/>
        <v>0.8711751842105171</v>
      </c>
      <c r="CD200" s="5">
        <f t="shared" si="321"/>
        <v>87.117518421051713</v>
      </c>
      <c r="CG200" s="571">
        <f t="shared" si="356"/>
        <v>-50</v>
      </c>
      <c r="CH200">
        <f t="shared" si="357"/>
        <v>-50</v>
      </c>
    </row>
    <row r="201" spans="5:86" x14ac:dyDescent="0.2">
      <c r="E201" s="174">
        <v>91</v>
      </c>
      <c r="F201" s="221">
        <f t="shared" si="358"/>
        <v>0.38219999999999998</v>
      </c>
      <c r="G201" s="221"/>
      <c r="H201" s="221">
        <f t="shared" si="322"/>
        <v>5.9241000000000001</v>
      </c>
      <c r="I201" s="551">
        <f t="shared" si="323"/>
        <v>9</v>
      </c>
      <c r="J201" s="451">
        <f t="shared" si="324"/>
        <v>16.399999999999999</v>
      </c>
      <c r="K201" s="451">
        <f t="shared" si="325"/>
        <v>25.4</v>
      </c>
      <c r="L201" s="451"/>
      <c r="M201" s="221">
        <f t="shared" si="326"/>
        <v>0.64566929133858264</v>
      </c>
      <c r="N201" s="176">
        <f t="shared" si="327"/>
        <v>10.799787401574802</v>
      </c>
      <c r="O201" s="176">
        <f t="shared" si="363"/>
        <v>5.9241000000000001</v>
      </c>
      <c r="P201" s="221">
        <f t="shared" si="328"/>
        <v>0.69676047752095494</v>
      </c>
      <c r="Q201" s="221">
        <f t="shared" si="329"/>
        <v>15.5</v>
      </c>
      <c r="R201" s="221"/>
      <c r="S201" s="176">
        <f t="shared" si="330"/>
        <v>34.673537220050427</v>
      </c>
      <c r="T201" s="546">
        <f t="shared" si="331"/>
        <v>15.5</v>
      </c>
      <c r="U201" s="221">
        <f t="shared" si="332"/>
        <v>2.2654643179765133</v>
      </c>
      <c r="V201" s="221">
        <f t="shared" si="333"/>
        <v>2.2654643179765137</v>
      </c>
      <c r="W201" s="221">
        <f t="shared" si="334"/>
        <v>1.2432426135236965</v>
      </c>
      <c r="X201" s="201">
        <f t="shared" si="335"/>
        <v>350</v>
      </c>
      <c r="Y201" s="451">
        <f t="shared" si="303"/>
        <v>285.00527958669727</v>
      </c>
      <c r="AA201" s="221">
        <f t="shared" si="336"/>
        <v>1.8447694038245221</v>
      </c>
      <c r="AB201" s="177">
        <f t="shared" si="337"/>
        <v>1.0123734533183355</v>
      </c>
      <c r="AC201" s="177">
        <f t="shared" si="338"/>
        <v>0.32682922508702178</v>
      </c>
      <c r="AD201" s="177"/>
      <c r="AE201" s="177">
        <f t="shared" si="339"/>
        <v>0.45</v>
      </c>
      <c r="AF201" s="555">
        <f t="shared" si="340"/>
        <v>2071.5447154471544</v>
      </c>
      <c r="AG201" s="538">
        <f t="shared" si="341"/>
        <v>6.4574999999999994E-2</v>
      </c>
      <c r="AI201" s="177">
        <f t="shared" si="342"/>
        <v>1.9949268992455169</v>
      </c>
      <c r="AJ201" s="177">
        <f t="shared" si="343"/>
        <v>2.2654643179765133</v>
      </c>
      <c r="AK201" s="177">
        <f t="shared" si="344"/>
        <v>2.1636428786510091</v>
      </c>
      <c r="AM201" s="555">
        <f t="shared" si="345"/>
        <v>382.2</v>
      </c>
      <c r="AN201" s="469">
        <f t="shared" si="346"/>
        <v>285.00527958669727</v>
      </c>
      <c r="AP201">
        <f t="shared" si="347"/>
        <v>382.2</v>
      </c>
      <c r="AQ201">
        <f t="shared" si="348"/>
        <v>285.00527958669727</v>
      </c>
      <c r="AS201" s="5">
        <f t="shared" si="364"/>
        <v>3.50870693150021</v>
      </c>
      <c r="AT201" s="5">
        <f t="shared" si="349"/>
        <v>2.2654643179765137</v>
      </c>
      <c r="AU201" s="5">
        <f t="shared" si="304"/>
        <v>1.2432426135236962</v>
      </c>
      <c r="AV201" s="5"/>
      <c r="AW201" s="177">
        <f t="shared" si="305"/>
        <v>0.64566929133858275</v>
      </c>
      <c r="AX201" s="177">
        <f t="shared" si="360"/>
        <v>6.5823333333333336</v>
      </c>
      <c r="AY201" s="177">
        <f t="shared" si="361"/>
        <v>0.40136178861788613</v>
      </c>
      <c r="AZ201" s="177">
        <f t="shared" si="365"/>
        <v>16.400000000000002</v>
      </c>
      <c r="BA201" s="469">
        <f t="shared" si="350"/>
        <v>21.317779700075526</v>
      </c>
      <c r="BB201" s="469">
        <f t="shared" si="351"/>
        <v>42.346559974193539</v>
      </c>
      <c r="BC201" s="5">
        <f t="shared" si="359"/>
        <v>1.5154513511884216</v>
      </c>
      <c r="BD201" s="469">
        <f t="shared" si="352"/>
        <v>93.121192182416394</v>
      </c>
      <c r="BF201" s="177">
        <f t="shared" si="366"/>
        <v>1.0509974555311228</v>
      </c>
      <c r="BG201" s="177">
        <f t="shared" si="362"/>
        <v>0.77857596962362552</v>
      </c>
      <c r="BI201" s="538">
        <f t="shared" si="306"/>
        <v>0.1215055216686184</v>
      </c>
      <c r="BJ201" s="538">
        <f t="shared" si="307"/>
        <v>8.199999999999999E-2</v>
      </c>
      <c r="BK201" s="538">
        <f t="shared" si="308"/>
        <v>1.4250263979334862E-2</v>
      </c>
      <c r="BL201" s="538">
        <f t="shared" si="309"/>
        <v>4.1371651390084557E-2</v>
      </c>
      <c r="BM201">
        <f t="shared" si="310"/>
        <v>2.6099999999999999E-3</v>
      </c>
      <c r="BN201">
        <f t="shared" si="353"/>
        <v>1.1400211183467892E-5</v>
      </c>
      <c r="BO201" s="538">
        <f t="shared" si="354"/>
        <v>0.26775122223115622</v>
      </c>
      <c r="BP201" s="469">
        <f t="shared" si="311"/>
        <v>261.73743703803785</v>
      </c>
      <c r="BQ201" s="538">
        <f t="shared" si="355"/>
        <v>0.34398000000000001</v>
      </c>
      <c r="BT201" s="469">
        <f t="shared" si="312"/>
        <v>343.98</v>
      </c>
      <c r="BU201" s="538">
        <f t="shared" si="313"/>
        <v>5.3020591273578936E-2</v>
      </c>
      <c r="BV201" s="538">
        <f t="shared" si="314"/>
        <v>0.14548332971408848</v>
      </c>
      <c r="BW201" s="538">
        <f t="shared" si="315"/>
        <v>0</v>
      </c>
      <c r="BX201" s="538"/>
      <c r="BY201" s="538">
        <f t="shared" si="316"/>
        <v>7.3137037037037042E-2</v>
      </c>
      <c r="BZ201" s="469">
        <f t="shared" si="317"/>
        <v>271.64095802470445</v>
      </c>
      <c r="CA201" s="177">
        <f t="shared" si="318"/>
        <v>0.87735839506274227</v>
      </c>
      <c r="CB201" s="5">
        <f t="shared" si="319"/>
        <v>5.9241000000000001</v>
      </c>
      <c r="CC201" s="177">
        <f t="shared" si="320"/>
        <v>0.87100437228291694</v>
      </c>
      <c r="CD201" s="5">
        <f t="shared" si="321"/>
        <v>87.100437228291696</v>
      </c>
      <c r="CG201" s="571">
        <f t="shared" si="356"/>
        <v>-50</v>
      </c>
      <c r="CH201">
        <f t="shared" si="357"/>
        <v>-50</v>
      </c>
    </row>
    <row r="202" spans="5:86" x14ac:dyDescent="0.2">
      <c r="E202" s="174">
        <v>92</v>
      </c>
      <c r="F202" s="221">
        <f t="shared" si="358"/>
        <v>0.38640000000000002</v>
      </c>
      <c r="G202" s="221"/>
      <c r="H202" s="221">
        <f t="shared" si="322"/>
        <v>5.9892000000000003</v>
      </c>
      <c r="I202" s="551">
        <f t="shared" si="323"/>
        <v>9</v>
      </c>
      <c r="J202" s="451">
        <f t="shared" si="324"/>
        <v>16.399999999999999</v>
      </c>
      <c r="K202" s="451">
        <f t="shared" si="325"/>
        <v>25.4</v>
      </c>
      <c r="L202" s="451"/>
      <c r="M202" s="221">
        <f t="shared" si="326"/>
        <v>0.64566929133858264</v>
      </c>
      <c r="N202" s="176">
        <f t="shared" si="327"/>
        <v>10.799787401574802</v>
      </c>
      <c r="O202" s="176">
        <f t="shared" si="363"/>
        <v>5.9892000000000003</v>
      </c>
      <c r="P202" s="221">
        <f t="shared" si="328"/>
        <v>0.69676047752095494</v>
      </c>
      <c r="Q202" s="221">
        <f t="shared" si="329"/>
        <v>15.5</v>
      </c>
      <c r="R202" s="221"/>
      <c r="S202" s="176">
        <f t="shared" si="330"/>
        <v>34.204343164111961</v>
      </c>
      <c r="T202" s="546">
        <f t="shared" si="331"/>
        <v>15.5</v>
      </c>
      <c r="U202" s="221">
        <f t="shared" si="332"/>
        <v>2.2903595302619695</v>
      </c>
      <c r="V202" s="221">
        <f t="shared" si="333"/>
        <v>2.2903595302619695</v>
      </c>
      <c r="W202" s="221">
        <f t="shared" si="334"/>
        <v>1.256904620265715</v>
      </c>
      <c r="X202" s="201">
        <f t="shared" si="335"/>
        <v>350</v>
      </c>
      <c r="Y202" s="451">
        <f t="shared" si="303"/>
        <v>281.90739611292884</v>
      </c>
      <c r="AA202" s="221">
        <f t="shared" si="336"/>
        <v>1.8447694038245221</v>
      </c>
      <c r="AB202" s="177">
        <f t="shared" si="337"/>
        <v>1.0123734533183355</v>
      </c>
      <c r="AC202" s="177">
        <f t="shared" si="338"/>
        <v>0.32682922508702178</v>
      </c>
      <c r="AD202" s="177"/>
      <c r="AE202" s="177">
        <f t="shared" si="339"/>
        <v>0.45</v>
      </c>
      <c r="AF202" s="555">
        <f t="shared" si="340"/>
        <v>2094.3089430894311</v>
      </c>
      <c r="AG202" s="538">
        <f t="shared" si="341"/>
        <v>6.4574999999999994E-2</v>
      </c>
      <c r="AI202" s="177">
        <f t="shared" si="342"/>
        <v>2.0058580873697585</v>
      </c>
      <c r="AJ202" s="177">
        <f t="shared" si="343"/>
        <v>2.2903595302619695</v>
      </c>
      <c r="AK202" s="177">
        <f t="shared" si="344"/>
        <v>2.180239686841313</v>
      </c>
      <c r="AM202" s="555">
        <f t="shared" si="345"/>
        <v>386.40000000000003</v>
      </c>
      <c r="AN202" s="469">
        <f t="shared" si="346"/>
        <v>281.90739611292884</v>
      </c>
      <c r="AP202">
        <f t="shared" si="347"/>
        <v>386.40000000000003</v>
      </c>
      <c r="AQ202">
        <f t="shared" si="348"/>
        <v>281.90739611292884</v>
      </c>
      <c r="AS202" s="5">
        <f t="shared" si="364"/>
        <v>3.5472641505276847</v>
      </c>
      <c r="AT202" s="5">
        <f t="shared" si="349"/>
        <v>2.2903595302619695</v>
      </c>
      <c r="AU202" s="5">
        <f t="shared" si="304"/>
        <v>1.2569046202657153</v>
      </c>
      <c r="AV202" s="5"/>
      <c r="AW202" s="177">
        <f t="shared" si="305"/>
        <v>0.64566929133858264</v>
      </c>
      <c r="AX202" s="177">
        <f t="shared" si="360"/>
        <v>6.6546666666666674</v>
      </c>
      <c r="AY202" s="177">
        <f t="shared" si="361"/>
        <v>0.40577235772357734</v>
      </c>
      <c r="AZ202" s="177">
        <f t="shared" si="365"/>
        <v>16.399999999999999</v>
      </c>
      <c r="BA202" s="469">
        <f t="shared" si="350"/>
        <v>21.317779700075526</v>
      </c>
      <c r="BB202" s="469">
        <f t="shared" si="351"/>
        <v>43.273874993548375</v>
      </c>
      <c r="BC202" s="5">
        <f t="shared" si="359"/>
        <v>1.5489409777151071</v>
      </c>
      <c r="BD202" s="469">
        <f t="shared" si="352"/>
        <v>95.154680885128656</v>
      </c>
      <c r="BF202" s="177">
        <f t="shared" si="366"/>
        <v>1.0625468781193768</v>
      </c>
      <c r="BG202" s="177">
        <f t="shared" si="362"/>
        <v>0.78713174950959952</v>
      </c>
      <c r="BI202" s="538">
        <f t="shared" si="306"/>
        <v>0.1241906455021357</v>
      </c>
      <c r="BJ202" s="538">
        <f t="shared" si="307"/>
        <v>8.2000000000000003E-2</v>
      </c>
      <c r="BK202" s="538">
        <f t="shared" si="308"/>
        <v>1.409536980564644E-2</v>
      </c>
      <c r="BL202" s="538">
        <f t="shared" si="309"/>
        <v>4.092195952714886E-2</v>
      </c>
      <c r="BM202">
        <f t="shared" si="310"/>
        <v>2.6099999999999999E-3</v>
      </c>
      <c r="BN202">
        <f t="shared" si="353"/>
        <v>1.1276295844517153E-5</v>
      </c>
      <c r="BO202" s="538">
        <f t="shared" si="354"/>
        <v>0.27001617884516027</v>
      </c>
      <c r="BP202" s="469">
        <f t="shared" si="311"/>
        <v>263.81797483493096</v>
      </c>
      <c r="BQ202" s="538">
        <f t="shared" si="355"/>
        <v>0.34776000000000001</v>
      </c>
      <c r="BT202" s="469">
        <f t="shared" si="312"/>
        <v>347.76</v>
      </c>
      <c r="BU202" s="538">
        <f t="shared" si="313"/>
        <v>5.4192281673659214E-2</v>
      </c>
      <c r="BV202" s="538">
        <f t="shared" si="314"/>
        <v>0.14869833386065029</v>
      </c>
      <c r="BW202" s="538">
        <f t="shared" si="315"/>
        <v>0</v>
      </c>
      <c r="BX202" s="538"/>
      <c r="BY202" s="538">
        <f t="shared" si="316"/>
        <v>7.3940740740740765E-2</v>
      </c>
      <c r="BZ202" s="469">
        <f t="shared" si="317"/>
        <v>276.83135627505027</v>
      </c>
      <c r="CA202" s="177">
        <f t="shared" si="318"/>
        <v>0.88840933110998133</v>
      </c>
      <c r="CB202" s="5">
        <f t="shared" si="319"/>
        <v>5.9892000000000003</v>
      </c>
      <c r="CC202" s="177">
        <f t="shared" si="320"/>
        <v>0.8708258512021938</v>
      </c>
      <c r="CD202" s="5">
        <f t="shared" si="321"/>
        <v>87.082585120219377</v>
      </c>
      <c r="CG202" s="571">
        <f t="shared" si="356"/>
        <v>-50</v>
      </c>
      <c r="CH202">
        <f t="shared" si="357"/>
        <v>-50</v>
      </c>
    </row>
    <row r="203" spans="5:86" x14ac:dyDescent="0.2">
      <c r="E203" s="174">
        <v>93</v>
      </c>
      <c r="F203" s="221">
        <f t="shared" si="358"/>
        <v>0.3906</v>
      </c>
      <c r="G203" s="221"/>
      <c r="H203" s="221">
        <f t="shared" si="322"/>
        <v>6.0543000000000005</v>
      </c>
      <c r="I203" s="551">
        <f t="shared" si="323"/>
        <v>9</v>
      </c>
      <c r="J203" s="451">
        <f t="shared" si="324"/>
        <v>16.399999999999999</v>
      </c>
      <c r="K203" s="451">
        <f t="shared" si="325"/>
        <v>25.4</v>
      </c>
      <c r="L203" s="451"/>
      <c r="M203" s="221">
        <f t="shared" si="326"/>
        <v>0.64566929133858264</v>
      </c>
      <c r="N203" s="176">
        <f t="shared" si="327"/>
        <v>10.799787401574802</v>
      </c>
      <c r="O203" s="176">
        <f t="shared" si="363"/>
        <v>6.0543000000000005</v>
      </c>
      <c r="P203" s="221">
        <f t="shared" si="328"/>
        <v>0.69676047752095494</v>
      </c>
      <c r="Q203" s="221">
        <f t="shared" si="329"/>
        <v>15.5</v>
      </c>
      <c r="R203" s="221"/>
      <c r="S203" s="176">
        <f t="shared" si="330"/>
        <v>33.745318558705989</v>
      </c>
      <c r="T203" s="546">
        <f t="shared" si="331"/>
        <v>15.5</v>
      </c>
      <c r="U203" s="221">
        <f t="shared" si="332"/>
        <v>2.3152547425474257</v>
      </c>
      <c r="V203" s="221">
        <f t="shared" si="333"/>
        <v>2.3152547425474257</v>
      </c>
      <c r="W203" s="221">
        <f t="shared" si="334"/>
        <v>1.2705666270077338</v>
      </c>
      <c r="X203" s="201">
        <f t="shared" si="335"/>
        <v>350</v>
      </c>
      <c r="Y203" s="451">
        <f t="shared" si="303"/>
        <v>278.87613378913392</v>
      </c>
      <c r="AA203" s="221">
        <f t="shared" si="336"/>
        <v>1.8447694038245221</v>
      </c>
      <c r="AB203" s="177">
        <f t="shared" si="337"/>
        <v>1.0123734533183355</v>
      </c>
      <c r="AC203" s="177">
        <f t="shared" si="338"/>
        <v>0.32682922508702178</v>
      </c>
      <c r="AD203" s="177"/>
      <c r="AE203" s="177">
        <f t="shared" si="339"/>
        <v>0.45</v>
      </c>
      <c r="AF203" s="555">
        <f t="shared" si="340"/>
        <v>2117.0731707317073</v>
      </c>
      <c r="AG203" s="538">
        <f t="shared" si="341"/>
        <v>6.4574999999999994E-2</v>
      </c>
      <c r="AI203" s="177">
        <f t="shared" si="342"/>
        <v>2.0167300265528847</v>
      </c>
      <c r="AJ203" s="177">
        <f t="shared" si="343"/>
        <v>2.3152547425474257</v>
      </c>
      <c r="AK203" s="177">
        <f t="shared" si="344"/>
        <v>2.1968364950316173</v>
      </c>
      <c r="AM203" s="555">
        <f t="shared" si="345"/>
        <v>390.6</v>
      </c>
      <c r="AN203" s="469">
        <f t="shared" si="346"/>
        <v>278.87613378913392</v>
      </c>
      <c r="AP203">
        <f t="shared" si="347"/>
        <v>390.6</v>
      </c>
      <c r="AQ203">
        <f t="shared" si="348"/>
        <v>278.87613378913392</v>
      </c>
      <c r="AS203" s="5">
        <f t="shared" si="364"/>
        <v>3.5858213695551595</v>
      </c>
      <c r="AT203" s="5">
        <f t="shared" si="349"/>
        <v>2.3152547425474257</v>
      </c>
      <c r="AU203" s="5">
        <f t="shared" si="304"/>
        <v>1.2705666270077338</v>
      </c>
      <c r="AV203" s="5"/>
      <c r="AW203" s="177">
        <f t="shared" si="305"/>
        <v>0.64566929133858264</v>
      </c>
      <c r="AX203" s="177">
        <f t="shared" si="360"/>
        <v>6.7270000000000012</v>
      </c>
      <c r="AY203" s="177">
        <f t="shared" si="361"/>
        <v>0.41018292682926838</v>
      </c>
      <c r="AZ203" s="177">
        <f t="shared" si="365"/>
        <v>16.399999999999999</v>
      </c>
      <c r="BA203" s="469">
        <f t="shared" si="350"/>
        <v>21.317779700075526</v>
      </c>
      <c r="BB203" s="469">
        <f t="shared" si="351"/>
        <v>44.211232799999998</v>
      </c>
      <c r="BC203" s="5">
        <f t="shared" si="359"/>
        <v>1.5827966110890785</v>
      </c>
      <c r="BD203" s="469">
        <f t="shared" si="352"/>
        <v>97.21012999867807</v>
      </c>
      <c r="BF203" s="177">
        <f t="shared" si="366"/>
        <v>1.0740963007076307</v>
      </c>
      <c r="BG203" s="177">
        <f t="shared" si="362"/>
        <v>0.79568752939557341</v>
      </c>
      <c r="BI203" s="538">
        <f t="shared" si="306"/>
        <v>0.1269051149513199</v>
      </c>
      <c r="BJ203" s="538">
        <f t="shared" si="307"/>
        <v>8.2000000000000003E-2</v>
      </c>
      <c r="BK203" s="538">
        <f t="shared" si="308"/>
        <v>1.3943806689456696E-2</v>
      </c>
      <c r="BL203" s="538">
        <f t="shared" si="309"/>
        <v>4.0481938456964461E-2</v>
      </c>
      <c r="BM203">
        <f t="shared" si="310"/>
        <v>2.6099999999999999E-3</v>
      </c>
      <c r="BN203">
        <f t="shared" si="353"/>
        <v>1.1155045351565357E-5</v>
      </c>
      <c r="BO203" s="538">
        <f t="shared" si="354"/>
        <v>0.27232830844364359</v>
      </c>
      <c r="BP203" s="469">
        <f t="shared" si="311"/>
        <v>265.94086009774111</v>
      </c>
      <c r="BQ203" s="538">
        <f t="shared" si="355"/>
        <v>0.35154000000000002</v>
      </c>
      <c r="BT203" s="469">
        <f t="shared" si="312"/>
        <v>351.54</v>
      </c>
      <c r="BU203" s="538">
        <f t="shared" si="313"/>
        <v>5.5376777433303229E-2</v>
      </c>
      <c r="BV203" s="538">
        <f t="shared" si="314"/>
        <v>0.15194847466455155</v>
      </c>
      <c r="BW203" s="538">
        <f t="shared" si="315"/>
        <v>0</v>
      </c>
      <c r="BX203" s="538"/>
      <c r="BY203" s="538">
        <f t="shared" si="316"/>
        <v>7.4744444444444461E-2</v>
      </c>
      <c r="BZ203" s="469">
        <f t="shared" si="317"/>
        <v>282.06969654229925</v>
      </c>
      <c r="CA203" s="177">
        <f t="shared" si="318"/>
        <v>0.89955055664004036</v>
      </c>
      <c r="CB203" s="5">
        <f t="shared" si="319"/>
        <v>6.0543000000000005</v>
      </c>
      <c r="CC203" s="177">
        <f t="shared" si="320"/>
        <v>0.87063993548422114</v>
      </c>
      <c r="CD203" s="5">
        <f t="shared" si="321"/>
        <v>87.063993548422118</v>
      </c>
      <c r="CG203" s="571">
        <f t="shared" si="356"/>
        <v>-50</v>
      </c>
      <c r="CH203">
        <f t="shared" si="357"/>
        <v>-50</v>
      </c>
    </row>
    <row r="204" spans="5:86" x14ac:dyDescent="0.2">
      <c r="E204" s="174">
        <v>94</v>
      </c>
      <c r="F204" s="221">
        <f t="shared" si="358"/>
        <v>0.39479999999999998</v>
      </c>
      <c r="G204" s="221"/>
      <c r="H204" s="221">
        <f t="shared" si="322"/>
        <v>6.1193999999999997</v>
      </c>
      <c r="I204" s="551">
        <f t="shared" si="323"/>
        <v>9</v>
      </c>
      <c r="J204" s="451">
        <f t="shared" si="324"/>
        <v>16.399999999999999</v>
      </c>
      <c r="K204" s="451">
        <f t="shared" si="325"/>
        <v>25.4</v>
      </c>
      <c r="L204" s="451"/>
      <c r="M204" s="221">
        <f t="shared" si="326"/>
        <v>0.64566929133858264</v>
      </c>
      <c r="N204" s="176">
        <f t="shared" si="327"/>
        <v>10.799787401574802</v>
      </c>
      <c r="O204" s="176">
        <f t="shared" si="363"/>
        <v>6.1193999999999997</v>
      </c>
      <c r="P204" s="221">
        <f t="shared" si="328"/>
        <v>0.69676047752095494</v>
      </c>
      <c r="Q204" s="221">
        <f t="shared" si="329"/>
        <v>15.5</v>
      </c>
      <c r="R204" s="221"/>
      <c r="S204" s="176">
        <f t="shared" si="330"/>
        <v>33.296139360727892</v>
      </c>
      <c r="T204" s="546">
        <f t="shared" si="331"/>
        <v>15.5</v>
      </c>
      <c r="U204" s="221">
        <f t="shared" si="332"/>
        <v>2.3401499548328819</v>
      </c>
      <c r="V204" s="221">
        <f t="shared" si="333"/>
        <v>2.3401499548328819</v>
      </c>
      <c r="W204" s="221">
        <f t="shared" si="334"/>
        <v>1.2842286337497524</v>
      </c>
      <c r="X204" s="201">
        <f t="shared" si="335"/>
        <v>350</v>
      </c>
      <c r="Y204" s="451">
        <f t="shared" si="303"/>
        <v>275.9093664083984</v>
      </c>
      <c r="AA204" s="221">
        <f t="shared" si="336"/>
        <v>1.8447694038245221</v>
      </c>
      <c r="AB204" s="177">
        <f t="shared" si="337"/>
        <v>1.0123734533183355</v>
      </c>
      <c r="AC204" s="177">
        <f t="shared" si="338"/>
        <v>0.32682922508702178</v>
      </c>
      <c r="AD204" s="177"/>
      <c r="AE204" s="177">
        <f t="shared" si="339"/>
        <v>0.45</v>
      </c>
      <c r="AF204" s="555">
        <f t="shared" si="340"/>
        <v>2139.8373983739839</v>
      </c>
      <c r="AG204" s="538">
        <f t="shared" si="341"/>
        <v>6.4574999999999994E-2</v>
      </c>
      <c r="AI204" s="177">
        <f t="shared" si="342"/>
        <v>2.0275436698955049</v>
      </c>
      <c r="AJ204" s="177">
        <f t="shared" si="343"/>
        <v>2.3401499548328819</v>
      </c>
      <c r="AK204" s="177">
        <f t="shared" si="344"/>
        <v>2.2134333032219216</v>
      </c>
      <c r="AM204" s="555">
        <f t="shared" si="345"/>
        <v>394.8</v>
      </c>
      <c r="AN204" s="469">
        <f t="shared" si="346"/>
        <v>275.9093664083984</v>
      </c>
      <c r="AP204">
        <f t="shared" si="347"/>
        <v>394.8</v>
      </c>
      <c r="AQ204">
        <f t="shared" si="348"/>
        <v>275.9093664083984</v>
      </c>
      <c r="AS204" s="5">
        <f t="shared" si="364"/>
        <v>3.6243785885826347</v>
      </c>
      <c r="AT204" s="5">
        <f t="shared" si="349"/>
        <v>2.3401499548328819</v>
      </c>
      <c r="AU204" s="5">
        <f t="shared" si="304"/>
        <v>1.2842286337497528</v>
      </c>
      <c r="AV204" s="5"/>
      <c r="AW204" s="177">
        <f t="shared" si="305"/>
        <v>0.64566929133858253</v>
      </c>
      <c r="AX204" s="177">
        <f t="shared" si="360"/>
        <v>6.7993333333333332</v>
      </c>
      <c r="AY204" s="177">
        <f t="shared" si="361"/>
        <v>0.41459349593495959</v>
      </c>
      <c r="AZ204" s="177">
        <f t="shared" si="365"/>
        <v>16.399999999999991</v>
      </c>
      <c r="BA204" s="469">
        <f t="shared" si="350"/>
        <v>21.317779700075526</v>
      </c>
      <c r="BB204" s="469">
        <f t="shared" si="351"/>
        <v>45.158633393548371</v>
      </c>
      <c r="BC204" s="5">
        <f t="shared" si="359"/>
        <v>1.6170182513103366</v>
      </c>
      <c r="BD204" s="469">
        <f t="shared" si="352"/>
        <v>99.287539523064652</v>
      </c>
      <c r="BF204" s="177">
        <f t="shared" si="366"/>
        <v>1.0856457232958847</v>
      </c>
      <c r="BG204" s="177">
        <f t="shared" si="362"/>
        <v>0.80424330928154752</v>
      </c>
      <c r="BI204" s="538">
        <f t="shared" si="306"/>
        <v>0.12964893001617089</v>
      </c>
      <c r="BJ204" s="538">
        <f t="shared" si="307"/>
        <v>8.199999999999999E-2</v>
      </c>
      <c r="BK204" s="538">
        <f t="shared" si="308"/>
        <v>1.3795468320419918E-2</v>
      </c>
      <c r="BL204" s="538">
        <f t="shared" si="309"/>
        <v>4.0051279537209515E-2</v>
      </c>
      <c r="BM204">
        <f t="shared" si="310"/>
        <v>2.6099999999999999E-3</v>
      </c>
      <c r="BN204">
        <f t="shared" si="353"/>
        <v>1.1036374656335936E-5</v>
      </c>
      <c r="BO204" s="538">
        <f t="shared" si="354"/>
        <v>0.27468729690597554</v>
      </c>
      <c r="BP204" s="469">
        <f t="shared" si="311"/>
        <v>268.10567787380029</v>
      </c>
      <c r="BQ204" s="538">
        <f t="shared" si="355"/>
        <v>0.35531999999999997</v>
      </c>
      <c r="BT204" s="469">
        <f t="shared" si="312"/>
        <v>355.32</v>
      </c>
      <c r="BU204" s="538">
        <f t="shared" si="313"/>
        <v>5.657407855251094E-2</v>
      </c>
      <c r="BV204" s="538">
        <f t="shared" si="314"/>
        <v>0.15523375212579238</v>
      </c>
      <c r="BW204" s="538">
        <f t="shared" si="315"/>
        <v>0</v>
      </c>
      <c r="BX204" s="538"/>
      <c r="BY204" s="538">
        <f t="shared" si="316"/>
        <v>7.5548148148148156E-2</v>
      </c>
      <c r="BZ204" s="469">
        <f t="shared" si="317"/>
        <v>287.35597882645146</v>
      </c>
      <c r="CA204" s="177">
        <f t="shared" si="318"/>
        <v>0.9107816567002518</v>
      </c>
      <c r="CB204" s="5">
        <f t="shared" si="319"/>
        <v>6.1193999999999997</v>
      </c>
      <c r="CC204" s="177">
        <f t="shared" si="320"/>
        <v>0.87044692425092407</v>
      </c>
      <c r="CD204" s="5">
        <f t="shared" si="321"/>
        <v>87.044692425092407</v>
      </c>
      <c r="CG204" s="571">
        <f t="shared" si="356"/>
        <v>-50</v>
      </c>
      <c r="CH204">
        <f t="shared" si="357"/>
        <v>-50</v>
      </c>
    </row>
    <row r="205" spans="5:86" x14ac:dyDescent="0.2">
      <c r="E205" s="174">
        <v>95</v>
      </c>
      <c r="F205" s="221">
        <f t="shared" si="358"/>
        <v>0.39899999999999997</v>
      </c>
      <c r="G205" s="221"/>
      <c r="H205" s="221">
        <f t="shared" si="322"/>
        <v>6.1844999999999999</v>
      </c>
      <c r="I205" s="551">
        <f t="shared" si="323"/>
        <v>9</v>
      </c>
      <c r="J205" s="451">
        <f t="shared" si="324"/>
        <v>16.399999999999999</v>
      </c>
      <c r="K205" s="451">
        <f t="shared" si="325"/>
        <v>25.4</v>
      </c>
      <c r="L205" s="451"/>
      <c r="M205" s="221">
        <f t="shared" si="326"/>
        <v>0.64566929133858264</v>
      </c>
      <c r="N205" s="176">
        <f t="shared" si="327"/>
        <v>10.799787401574802</v>
      </c>
      <c r="O205" s="176">
        <f t="shared" si="363"/>
        <v>6.1844999999999999</v>
      </c>
      <c r="P205" s="221">
        <f t="shared" si="328"/>
        <v>0.69676047752095494</v>
      </c>
      <c r="Q205" s="221">
        <f t="shared" si="329"/>
        <v>15.5</v>
      </c>
      <c r="R205" s="221"/>
      <c r="S205" s="176">
        <f t="shared" si="330"/>
        <v>32.856495174364007</v>
      </c>
      <c r="T205" s="546">
        <f t="shared" si="331"/>
        <v>15.5</v>
      </c>
      <c r="U205" s="221">
        <f t="shared" si="332"/>
        <v>2.3650451671183381</v>
      </c>
      <c r="V205" s="221">
        <f t="shared" si="333"/>
        <v>2.3650451671183381</v>
      </c>
      <c r="W205" s="221">
        <f t="shared" si="334"/>
        <v>1.2978906404917712</v>
      </c>
      <c r="X205" s="201">
        <f t="shared" si="335"/>
        <v>350</v>
      </c>
      <c r="Y205" s="451">
        <f t="shared" si="303"/>
        <v>273.00505728830996</v>
      </c>
      <c r="AA205" s="221">
        <f t="shared" si="336"/>
        <v>1.8447694038245221</v>
      </c>
      <c r="AB205" s="177">
        <f t="shared" si="337"/>
        <v>1.0123734533183355</v>
      </c>
      <c r="AC205" s="177">
        <f t="shared" si="338"/>
        <v>0.32682922508702178</v>
      </c>
      <c r="AD205" s="177"/>
      <c r="AE205" s="177">
        <f t="shared" si="339"/>
        <v>0.45</v>
      </c>
      <c r="AF205" s="555">
        <f t="shared" si="340"/>
        <v>2162.6016260162601</v>
      </c>
      <c r="AG205" s="538">
        <f t="shared" si="341"/>
        <v>6.4574999999999994E-2</v>
      </c>
      <c r="AI205" s="177">
        <f t="shared" si="342"/>
        <v>2.0382999452157833</v>
      </c>
      <c r="AJ205" s="177">
        <f t="shared" si="343"/>
        <v>2.3650451671183381</v>
      </c>
      <c r="AK205" s="177">
        <f t="shared" si="344"/>
        <v>2.2300301114122254</v>
      </c>
      <c r="AM205" s="555">
        <f t="shared" si="345"/>
        <v>398.99999999999994</v>
      </c>
      <c r="AN205" s="469">
        <f t="shared" si="346"/>
        <v>273.00505728830996</v>
      </c>
      <c r="AP205">
        <f t="shared" si="347"/>
        <v>398.99999999999994</v>
      </c>
      <c r="AQ205">
        <f t="shared" si="348"/>
        <v>273.00505728830996</v>
      </c>
      <c r="AS205" s="5">
        <f t="shared" si="364"/>
        <v>3.6629358076101104</v>
      </c>
      <c r="AT205" s="5">
        <f t="shared" si="349"/>
        <v>2.3650451671183381</v>
      </c>
      <c r="AU205" s="5">
        <f t="shared" si="304"/>
        <v>1.2978906404917723</v>
      </c>
      <c r="AV205" s="5"/>
      <c r="AW205" s="177">
        <f t="shared" si="305"/>
        <v>0.64566929133858242</v>
      </c>
      <c r="AX205" s="177">
        <f t="shared" si="360"/>
        <v>6.8716666666666653</v>
      </c>
      <c r="AY205" s="177">
        <f t="shared" si="361"/>
        <v>0.41900406504065074</v>
      </c>
      <c r="AZ205" s="177">
        <f t="shared" si="365"/>
        <v>16.399999999999984</v>
      </c>
      <c r="BA205" s="469">
        <f t="shared" si="350"/>
        <v>21.317779700075526</v>
      </c>
      <c r="BB205" s="469">
        <f t="shared" si="351"/>
        <v>46.116076774193537</v>
      </c>
      <c r="BC205" s="5">
        <f t="shared" si="359"/>
        <v>1.6516058983788815</v>
      </c>
      <c r="BD205" s="469">
        <f t="shared" si="352"/>
        <v>101.38690945828846</v>
      </c>
      <c r="BF205" s="177">
        <f t="shared" si="366"/>
        <v>1.0971951458841387</v>
      </c>
      <c r="BG205" s="177">
        <f t="shared" si="362"/>
        <v>0.81279908916752153</v>
      </c>
      <c r="BI205" s="538">
        <f t="shared" si="306"/>
        <v>0.13242209069668881</v>
      </c>
      <c r="BJ205" s="538">
        <f t="shared" si="307"/>
        <v>8.1999999999999962E-2</v>
      </c>
      <c r="BK205" s="538">
        <f t="shared" si="308"/>
        <v>1.3650252864415497E-2</v>
      </c>
      <c r="BL205" s="538">
        <f t="shared" si="309"/>
        <v>3.9629687121028358E-2</v>
      </c>
      <c r="BM205">
        <f t="shared" si="310"/>
        <v>2.6099999999999999E-3</v>
      </c>
      <c r="BN205">
        <f t="shared" si="353"/>
        <v>1.0920202291532399E-5</v>
      </c>
      <c r="BO205" s="538">
        <f t="shared" si="354"/>
        <v>0.27709284893628788</v>
      </c>
      <c r="BP205" s="469">
        <f t="shared" si="311"/>
        <v>270.31203068213262</v>
      </c>
      <c r="BQ205" s="538">
        <f t="shared" si="355"/>
        <v>0.35909999999999997</v>
      </c>
      <c r="BT205" s="469">
        <f t="shared" si="312"/>
        <v>359.09999999999997</v>
      </c>
      <c r="BU205" s="538">
        <f t="shared" si="313"/>
        <v>5.7784185031282395E-2</v>
      </c>
      <c r="BV205" s="538">
        <f t="shared" si="314"/>
        <v>0.1585541662443726</v>
      </c>
      <c r="BW205" s="538">
        <f t="shared" si="315"/>
        <v>0</v>
      </c>
      <c r="BX205" s="538"/>
      <c r="BY205" s="538">
        <f t="shared" si="316"/>
        <v>7.6351851851851837E-2</v>
      </c>
      <c r="BZ205" s="469">
        <f t="shared" si="317"/>
        <v>292.69020312750683</v>
      </c>
      <c r="CA205" s="177">
        <f t="shared" si="318"/>
        <v>0.9221022338096394</v>
      </c>
      <c r="CB205" s="5">
        <f t="shared" si="319"/>
        <v>6.1844999999999999</v>
      </c>
      <c r="CC205" s="177">
        <f t="shared" si="320"/>
        <v>0.87024710213514689</v>
      </c>
      <c r="CD205" s="5">
        <f t="shared" si="321"/>
        <v>87.024710213514695</v>
      </c>
      <c r="CG205" s="571">
        <f t="shared" si="356"/>
        <v>-50</v>
      </c>
      <c r="CH205">
        <f t="shared" si="357"/>
        <v>-50</v>
      </c>
    </row>
    <row r="206" spans="5:86" x14ac:dyDescent="0.2">
      <c r="E206" s="174">
        <v>96</v>
      </c>
      <c r="F206" s="221">
        <f t="shared" si="358"/>
        <v>0.40319999999999995</v>
      </c>
      <c r="G206" s="221"/>
      <c r="H206" s="221">
        <f t="shared" ref="H206:H210" si="367">F206*Vout</f>
        <v>6.2495999999999992</v>
      </c>
      <c r="I206" s="551">
        <f t="shared" si="323"/>
        <v>9</v>
      </c>
      <c r="J206" s="451">
        <f t="shared" si="324"/>
        <v>16.399999999999999</v>
      </c>
      <c r="K206" s="451">
        <f t="shared" si="325"/>
        <v>25.4</v>
      </c>
      <c r="L206" s="451"/>
      <c r="M206" s="221">
        <f t="shared" si="326"/>
        <v>0.64566929133858264</v>
      </c>
      <c r="N206" s="176">
        <f t="shared" ref="N206:N210" si="368">M206*I206*(Isw_max+VIN_min/Lmag*ILIM_delay)*0.5*Efficiency</f>
        <v>10.799787401574802</v>
      </c>
      <c r="O206" s="176">
        <f t="shared" si="363"/>
        <v>6.2495999999999992</v>
      </c>
      <c r="P206" s="221">
        <f t="shared" ref="P206:P210" si="369">N206/Vout</f>
        <v>0.69676047752095494</v>
      </c>
      <c r="Q206" s="221">
        <f t="shared" si="329"/>
        <v>15.5</v>
      </c>
      <c r="R206" s="221"/>
      <c r="S206" s="176">
        <f t="shared" si="330"/>
        <v>32.426088540308278</v>
      </c>
      <c r="T206" s="546">
        <f t="shared" ref="T206:T210" si="370">MIN(Vout, S206)</f>
        <v>15.5</v>
      </c>
      <c r="U206" s="221">
        <f t="shared" si="332"/>
        <v>2.3899403794037939</v>
      </c>
      <c r="V206" s="221">
        <f t="shared" ref="V206:V210" si="371">L*U206/I206*1000000</f>
        <v>2.3899403794037939</v>
      </c>
      <c r="W206" s="221">
        <f t="shared" si="334"/>
        <v>1.3115526472337893</v>
      </c>
      <c r="X206" s="201">
        <f t="shared" si="335"/>
        <v>350</v>
      </c>
      <c r="Y206" s="451">
        <f t="shared" si="303"/>
        <v>270.16125460822354</v>
      </c>
      <c r="AA206" s="221">
        <f t="shared" si="336"/>
        <v>1.8447694038245221</v>
      </c>
      <c r="AB206" s="177">
        <f t="shared" ref="AB206:AB210" si="372">L*AA206/J206*1000000</f>
        <v>1.0123734533183355</v>
      </c>
      <c r="AC206" s="177">
        <f t="shared" ref="AC206:AC210" si="373">0.5*AB206*AA206*Nps*X206/1000</f>
        <v>0.32682922508702178</v>
      </c>
      <c r="AD206" s="177"/>
      <c r="AE206" s="177">
        <f t="shared" si="339"/>
        <v>0.45</v>
      </c>
      <c r="AF206" s="555">
        <f t="shared" ref="AF206:AF210" si="374">MAX(12000,F206/(0.5*AE206/1000000*Isw_min*Nps))/1000</f>
        <v>2185.3658536585363</v>
      </c>
      <c r="AG206" s="538">
        <f t="shared" si="341"/>
        <v>6.4574999999999994E-2</v>
      </c>
      <c r="AI206" s="177">
        <f t="shared" si="342"/>
        <v>2.0489997559785111</v>
      </c>
      <c r="AJ206" s="177">
        <f t="shared" ref="AJ206:AJ210" si="375">MAX(IF(F206&gt;AC206,U206,AI206),Isw_min)</f>
        <v>2.3899403794037939</v>
      </c>
      <c r="AK206" s="177">
        <f t="shared" ref="AK206:AK210" si="376">IF(F206&gt;AG206, (AJ206-Isw_min)/1.2*0.8+1.2, AF206*0.2/350+1)</f>
        <v>2.2466269196025292</v>
      </c>
      <c r="AM206" s="555">
        <f t="shared" si="345"/>
        <v>403.19999999999993</v>
      </c>
      <c r="AN206" s="469">
        <f t="shared" si="346"/>
        <v>270.16125460822354</v>
      </c>
      <c r="AP206">
        <f t="shared" si="347"/>
        <v>403.19999999999993</v>
      </c>
      <c r="AQ206">
        <f t="shared" si="348"/>
        <v>270.16125460822354</v>
      </c>
      <c r="AS206" s="5">
        <f t="shared" si="364"/>
        <v>3.701493026637583</v>
      </c>
      <c r="AT206" s="5">
        <f t="shared" si="349"/>
        <v>2.3899403794037939</v>
      </c>
      <c r="AU206" s="5">
        <f t="shared" si="304"/>
        <v>1.3115526472337891</v>
      </c>
      <c r="AV206" s="5"/>
      <c r="AW206" s="177">
        <f t="shared" si="305"/>
        <v>0.64566929133858275</v>
      </c>
      <c r="AX206" s="177">
        <f t="shared" si="360"/>
        <v>6.9440000000000008</v>
      </c>
      <c r="AY206" s="177">
        <f t="shared" si="361"/>
        <v>0.42341463414634134</v>
      </c>
      <c r="AZ206" s="177">
        <f t="shared" si="365"/>
        <v>16.400000000000006</v>
      </c>
      <c r="BA206" s="469">
        <f t="shared" si="350"/>
        <v>21.317779700075526</v>
      </c>
      <c r="BB206" s="469">
        <f t="shared" si="351"/>
        <v>47.083562941935448</v>
      </c>
      <c r="BC206" s="5">
        <f t="shared" si="359"/>
        <v>1.686559552294709</v>
      </c>
      <c r="BD206" s="469">
        <f t="shared" si="352"/>
        <v>103.50823980434923</v>
      </c>
      <c r="BF206" s="177">
        <f t="shared" si="366"/>
        <v>1.1087445684723931</v>
      </c>
      <c r="BG206" s="177">
        <f t="shared" si="362"/>
        <v>0.82135486905349497</v>
      </c>
      <c r="BI206" s="538">
        <f t="shared" si="306"/>
        <v>0.13522459699287367</v>
      </c>
      <c r="BJ206" s="538">
        <f t="shared" si="307"/>
        <v>8.2000000000000003E-2</v>
      </c>
      <c r="BK206" s="538">
        <f t="shared" si="308"/>
        <v>1.3508062730411177E-2</v>
      </c>
      <c r="BL206" s="538">
        <f t="shared" si="309"/>
        <v>3.9216877880184339E-2</v>
      </c>
      <c r="BM206">
        <f t="shared" si="310"/>
        <v>2.6099999999999999E-3</v>
      </c>
      <c r="BN206">
        <f t="shared" si="353"/>
        <v>1.0806450184328942E-5</v>
      </c>
      <c r="BO206" s="538">
        <f t="shared" ref="BO206:BO210" si="377">(BJ206+BK206+BL206+BM206+BN206+BI206*(1+RdsonTC*(Ta-25)))/(1-BI206*RdsonTC*ThetaJA)</f>
        <v>0.27954468716248554</v>
      </c>
      <c r="BP206" s="469">
        <f t="shared" si="311"/>
        <v>272.55953760346921</v>
      </c>
      <c r="BQ206" s="538">
        <f t="shared" si="355"/>
        <v>0.36287999999999998</v>
      </c>
      <c r="BT206" s="469">
        <f t="shared" si="312"/>
        <v>362.88</v>
      </c>
      <c r="BU206" s="538">
        <f t="shared" si="313"/>
        <v>5.9007096869617602E-2</v>
      </c>
      <c r="BV206" s="538">
        <f t="shared" si="314"/>
        <v>0.16190971702029211</v>
      </c>
      <c r="BW206" s="538">
        <f t="shared" si="315"/>
        <v>0</v>
      </c>
      <c r="BX206" s="538"/>
      <c r="BY206" s="538">
        <f t="shared" si="316"/>
        <v>7.7155555555555574E-2</v>
      </c>
      <c r="BZ206" s="469">
        <f t="shared" si="317"/>
        <v>298.07236944546526</v>
      </c>
      <c r="CA206" s="177">
        <f t="shared" si="318"/>
        <v>0.93351190704893439</v>
      </c>
      <c r="CB206" s="5">
        <f t="shared" si="319"/>
        <v>6.2495999999999992</v>
      </c>
      <c r="CC206" s="177">
        <f t="shared" si="320"/>
        <v>0.87004074012366972</v>
      </c>
      <c r="CD206" s="5">
        <f t="shared" si="321"/>
        <v>87.004074012366971</v>
      </c>
      <c r="CG206" s="571">
        <f t="shared" si="356"/>
        <v>-50</v>
      </c>
      <c r="CH206">
        <f t="shared" si="357"/>
        <v>-50</v>
      </c>
    </row>
    <row r="207" spans="5:86" x14ac:dyDescent="0.2">
      <c r="E207" s="174">
        <v>97</v>
      </c>
      <c r="F207" s="221">
        <f t="shared" ref="F207:F210" si="378">IF(PLOT_TYPE=1, E207/100*Iout_max, min_I*EXP(N207*rr/100))</f>
        <v>0.40739999999999998</v>
      </c>
      <c r="G207" s="221"/>
      <c r="H207" s="221">
        <f t="shared" si="367"/>
        <v>6.3147000000000002</v>
      </c>
      <c r="I207" s="551">
        <f t="shared" si="323"/>
        <v>9</v>
      </c>
      <c r="J207" s="451">
        <f t="shared" si="324"/>
        <v>16.399999999999999</v>
      </c>
      <c r="K207" s="451">
        <f t="shared" si="325"/>
        <v>25.4</v>
      </c>
      <c r="L207" s="451"/>
      <c r="M207" s="221">
        <f t="shared" si="326"/>
        <v>0.64566929133858264</v>
      </c>
      <c r="N207" s="176">
        <f t="shared" si="368"/>
        <v>10.799787401574802</v>
      </c>
      <c r="O207" s="176">
        <f t="shared" si="363"/>
        <v>6.3147000000000002</v>
      </c>
      <c r="P207" s="221">
        <f t="shared" si="369"/>
        <v>0.69676047752095494</v>
      </c>
      <c r="Q207" s="221">
        <f t="shared" si="329"/>
        <v>15.5</v>
      </c>
      <c r="R207" s="221"/>
      <c r="S207" s="176">
        <f t="shared" si="330"/>
        <v>32.004634268944784</v>
      </c>
      <c r="T207" s="546">
        <f t="shared" si="370"/>
        <v>15.5</v>
      </c>
      <c r="U207" s="221">
        <f t="shared" si="332"/>
        <v>2.4148355916892505</v>
      </c>
      <c r="V207" s="221">
        <f t="shared" si="371"/>
        <v>2.414835591689251</v>
      </c>
      <c r="W207" s="221">
        <f t="shared" si="334"/>
        <v>1.3252146539758083</v>
      </c>
      <c r="X207" s="201">
        <f t="shared" si="335"/>
        <v>350</v>
      </c>
      <c r="Y207" s="451">
        <f t="shared" si="303"/>
        <v>267.37608703494283</v>
      </c>
      <c r="AA207" s="221">
        <f t="shared" si="336"/>
        <v>1.8447694038245221</v>
      </c>
      <c r="AB207" s="177">
        <f t="shared" si="372"/>
        <v>1.0123734533183355</v>
      </c>
      <c r="AC207" s="177">
        <f t="shared" si="373"/>
        <v>0.32682922508702178</v>
      </c>
      <c r="AD207" s="177"/>
      <c r="AE207" s="177">
        <f t="shared" si="339"/>
        <v>0.45</v>
      </c>
      <c r="AF207" s="555">
        <f t="shared" si="374"/>
        <v>2208.1300813008133</v>
      </c>
      <c r="AG207" s="538">
        <f t="shared" si="341"/>
        <v>6.4574999999999994E-2</v>
      </c>
      <c r="AI207" s="177">
        <f t="shared" si="342"/>
        <v>2.0596439821807389</v>
      </c>
      <c r="AJ207" s="177">
        <f t="shared" si="375"/>
        <v>2.4148355916892505</v>
      </c>
      <c r="AK207" s="177">
        <f t="shared" si="376"/>
        <v>2.263223727792834</v>
      </c>
      <c r="AM207" s="555">
        <f t="shared" si="345"/>
        <v>407.4</v>
      </c>
      <c r="AN207" s="469">
        <f t="shared" si="346"/>
        <v>267.37608703494283</v>
      </c>
      <c r="AP207">
        <f t="shared" si="347"/>
        <v>407.4</v>
      </c>
      <c r="AQ207">
        <f t="shared" si="348"/>
        <v>267.37608703494283</v>
      </c>
      <c r="AS207" s="5">
        <f t="shared" si="364"/>
        <v>3.7400502456650586</v>
      </c>
      <c r="AT207" s="5">
        <f t="shared" si="349"/>
        <v>2.414835591689251</v>
      </c>
      <c r="AU207" s="5">
        <f t="shared" si="304"/>
        <v>1.3252146539758076</v>
      </c>
      <c r="AV207" s="5"/>
      <c r="AW207" s="177">
        <f t="shared" si="305"/>
        <v>0.64566929133858286</v>
      </c>
      <c r="AX207" s="177">
        <f t="shared" si="360"/>
        <v>7.0163333333333346</v>
      </c>
      <c r="AY207" s="177">
        <f t="shared" si="361"/>
        <v>0.42782520325203233</v>
      </c>
      <c r="AZ207" s="177">
        <f t="shared" si="365"/>
        <v>16.400000000000009</v>
      </c>
      <c r="BA207" s="469">
        <f t="shared" si="350"/>
        <v>21.317779700075526</v>
      </c>
      <c r="BB207" s="469">
        <f t="shared" si="351"/>
        <v>48.06109189677418</v>
      </c>
      <c r="BC207" s="5">
        <f t="shared" si="359"/>
        <v>1.7218792130578255</v>
      </c>
      <c r="BD207" s="469">
        <f t="shared" si="352"/>
        <v>105.65153056124731</v>
      </c>
      <c r="BF207" s="177">
        <f t="shared" si="366"/>
        <v>1.1202939910606473</v>
      </c>
      <c r="BG207" s="177">
        <f t="shared" si="362"/>
        <v>0.82991064893946886</v>
      </c>
      <c r="BI207" s="538">
        <f t="shared" si="306"/>
        <v>0.13805644890472532</v>
      </c>
      <c r="BJ207" s="538">
        <f t="shared" si="307"/>
        <v>8.2000000000000003E-2</v>
      </c>
      <c r="BK207" s="538">
        <f t="shared" si="308"/>
        <v>1.336880435174714E-2</v>
      </c>
      <c r="BL207" s="538">
        <f t="shared" si="309"/>
        <v>3.8812580170079332E-2</v>
      </c>
      <c r="BM207">
        <f t="shared" si="310"/>
        <v>2.6099999999999999E-3</v>
      </c>
      <c r="BN207">
        <f t="shared" si="353"/>
        <v>1.0695043481397714E-5</v>
      </c>
      <c r="BO207" s="538">
        <f t="shared" si="377"/>
        <v>0.28204255129169931</v>
      </c>
      <c r="BP207" s="469">
        <f t="shared" si="311"/>
        <v>274.8478334265518</v>
      </c>
      <c r="BQ207" s="538">
        <f t="shared" si="355"/>
        <v>0.36665999999999999</v>
      </c>
      <c r="BT207" s="469">
        <f t="shared" si="312"/>
        <v>366.65999999999997</v>
      </c>
      <c r="BU207" s="538">
        <f t="shared" si="313"/>
        <v>6.0242814067516498E-2</v>
      </c>
      <c r="BV207" s="538">
        <f t="shared" si="314"/>
        <v>0.16530040445355126</v>
      </c>
      <c r="BW207" s="538">
        <f t="shared" si="315"/>
        <v>0</v>
      </c>
      <c r="BX207" s="538"/>
      <c r="BY207" s="538">
        <f t="shared" si="316"/>
        <v>7.795925925925927E-2</v>
      </c>
      <c r="BZ207" s="469">
        <f t="shared" si="317"/>
        <v>303.50247778032701</v>
      </c>
      <c r="CA207" s="177">
        <f t="shared" si="318"/>
        <v>0.94501031120687884</v>
      </c>
      <c r="CB207" s="5">
        <f t="shared" si="319"/>
        <v>6.3147000000000002</v>
      </c>
      <c r="CC207" s="177">
        <f t="shared" si="320"/>
        <v>0.86982809634317526</v>
      </c>
      <c r="CD207" s="5">
        <f t="shared" si="321"/>
        <v>86.982809634317533</v>
      </c>
      <c r="CG207" s="571">
        <f t="shared" si="356"/>
        <v>-50</v>
      </c>
      <c r="CH207">
        <f t="shared" si="357"/>
        <v>-50</v>
      </c>
    </row>
    <row r="208" spans="5:86" x14ac:dyDescent="0.2">
      <c r="E208" s="174">
        <v>98</v>
      </c>
      <c r="F208" s="221">
        <f t="shared" si="378"/>
        <v>0.41159999999999997</v>
      </c>
      <c r="G208" s="221"/>
      <c r="H208" s="221">
        <f t="shared" si="367"/>
        <v>6.3797999999999995</v>
      </c>
      <c r="I208" s="551">
        <f t="shared" si="323"/>
        <v>9</v>
      </c>
      <c r="J208" s="451">
        <f t="shared" si="324"/>
        <v>16.399999999999999</v>
      </c>
      <c r="K208" s="451">
        <f t="shared" si="325"/>
        <v>25.4</v>
      </c>
      <c r="L208" s="451"/>
      <c r="M208" s="221">
        <f t="shared" si="326"/>
        <v>0.64566929133858264</v>
      </c>
      <c r="N208" s="176">
        <f t="shared" si="368"/>
        <v>10.799787401574802</v>
      </c>
      <c r="O208" s="176">
        <f t="shared" si="363"/>
        <v>6.3797999999999995</v>
      </c>
      <c r="P208" s="221">
        <f t="shared" si="369"/>
        <v>0.69676047752095494</v>
      </c>
      <c r="Q208" s="221">
        <f t="shared" si="329"/>
        <v>15.5</v>
      </c>
      <c r="R208" s="221"/>
      <c r="S208" s="176">
        <f t="shared" si="330"/>
        <v>31.59185881435555</v>
      </c>
      <c r="T208" s="546">
        <f t="shared" si="370"/>
        <v>15.5</v>
      </c>
      <c r="U208" s="221">
        <f t="shared" si="332"/>
        <v>2.4397308039747063</v>
      </c>
      <c r="V208" s="221">
        <f t="shared" si="371"/>
        <v>2.4397308039747063</v>
      </c>
      <c r="W208" s="221">
        <f t="shared" si="334"/>
        <v>1.3388766607178268</v>
      </c>
      <c r="X208" s="201">
        <f t="shared" si="335"/>
        <v>350</v>
      </c>
      <c r="Y208" s="451">
        <f t="shared" si="303"/>
        <v>264.64775961621893</v>
      </c>
      <c r="AA208" s="221">
        <f t="shared" si="336"/>
        <v>1.8447694038245221</v>
      </c>
      <c r="AB208" s="177">
        <f t="shared" si="372"/>
        <v>1.0123734533183355</v>
      </c>
      <c r="AC208" s="177">
        <f t="shared" si="373"/>
        <v>0.32682922508702178</v>
      </c>
      <c r="AD208" s="177"/>
      <c r="AE208" s="177">
        <f t="shared" si="339"/>
        <v>0.45</v>
      </c>
      <c r="AF208" s="555">
        <f t="shared" si="374"/>
        <v>2230.8943089430895</v>
      </c>
      <c r="AG208" s="538">
        <f t="shared" si="341"/>
        <v>6.4574999999999994E-2</v>
      </c>
      <c r="AI208" s="177">
        <f t="shared" si="342"/>
        <v>2.070233481196424</v>
      </c>
      <c r="AJ208" s="177">
        <f t="shared" si="375"/>
        <v>2.4397308039747063</v>
      </c>
      <c r="AK208" s="177">
        <f t="shared" si="376"/>
        <v>2.2798205359831378</v>
      </c>
      <c r="AM208" s="555">
        <f t="shared" si="345"/>
        <v>411.59999999999997</v>
      </c>
      <c r="AN208" s="469">
        <f t="shared" si="346"/>
        <v>264.64775961621893</v>
      </c>
      <c r="AP208">
        <f t="shared" si="347"/>
        <v>411.59999999999997</v>
      </c>
      <c r="AQ208">
        <f t="shared" si="348"/>
        <v>264.64775961621893</v>
      </c>
      <c r="AS208" s="5">
        <f t="shared" si="364"/>
        <v>3.7786074646925334</v>
      </c>
      <c r="AT208" s="5">
        <f t="shared" si="349"/>
        <v>2.4397308039747063</v>
      </c>
      <c r="AU208" s="5">
        <f t="shared" si="304"/>
        <v>1.3388766607178271</v>
      </c>
      <c r="AV208" s="5"/>
      <c r="AW208" s="177">
        <f t="shared" si="305"/>
        <v>0.64566929133858264</v>
      </c>
      <c r="AX208" s="177">
        <f t="shared" si="360"/>
        <v>7.0886666666666658</v>
      </c>
      <c r="AY208" s="177">
        <f t="shared" si="361"/>
        <v>0.43223577235772359</v>
      </c>
      <c r="AZ208" s="177">
        <f t="shared" si="365"/>
        <v>16.399999999999999</v>
      </c>
      <c r="BA208" s="469">
        <f t="shared" si="350"/>
        <v>21.317779700075526</v>
      </c>
      <c r="BB208" s="469">
        <f t="shared" si="351"/>
        <v>49.048663638709655</v>
      </c>
      <c r="BC208" s="5">
        <f t="shared" si="359"/>
        <v>1.7575648806682287</v>
      </c>
      <c r="BD208" s="469">
        <f t="shared" si="352"/>
        <v>107.81678172898262</v>
      </c>
      <c r="BF208" s="177">
        <f t="shared" si="366"/>
        <v>1.1318434136489011</v>
      </c>
      <c r="BG208" s="177">
        <f t="shared" si="362"/>
        <v>0.83846642882544287</v>
      </c>
      <c r="BI208" s="538">
        <f t="shared" si="306"/>
        <v>0.14091764643224369</v>
      </c>
      <c r="BJ208" s="538">
        <f t="shared" si="307"/>
        <v>8.2000000000000003E-2</v>
      </c>
      <c r="BK208" s="538">
        <f t="shared" si="308"/>
        <v>1.3232387980810946E-2</v>
      </c>
      <c r="BL208" s="538">
        <f t="shared" si="309"/>
        <v>3.8416533433649952E-2</v>
      </c>
      <c r="BM208">
        <f t="shared" si="310"/>
        <v>2.6099999999999999E-3</v>
      </c>
      <c r="BN208">
        <f t="shared" si="353"/>
        <v>1.0585910384648758E-5</v>
      </c>
      <c r="BO208" s="538">
        <f t="shared" si="377"/>
        <v>0.28458619731816043</v>
      </c>
      <c r="BP208" s="469">
        <f t="shared" si="311"/>
        <v>277.17656784670464</v>
      </c>
      <c r="BQ208" s="538">
        <f t="shared" si="355"/>
        <v>0.37043999999999999</v>
      </c>
      <c r="BT208" s="469">
        <f t="shared" si="312"/>
        <v>370.44</v>
      </c>
      <c r="BU208" s="538">
        <f t="shared" si="313"/>
        <v>6.1491336624979069E-2</v>
      </c>
      <c r="BV208" s="538">
        <f t="shared" si="314"/>
        <v>0.16872622854414995</v>
      </c>
      <c r="BW208" s="538">
        <f t="shared" si="315"/>
        <v>0</v>
      </c>
      <c r="BX208" s="538"/>
      <c r="BY208" s="538">
        <f t="shared" si="316"/>
        <v>7.8762962962962965E-2</v>
      </c>
      <c r="BZ208" s="469">
        <f t="shared" si="317"/>
        <v>308.98052813209199</v>
      </c>
      <c r="CA208" s="177">
        <f t="shared" si="318"/>
        <v>0.95659709597879661</v>
      </c>
      <c r="CB208" s="5">
        <f t="shared" si="319"/>
        <v>6.3797999999999995</v>
      </c>
      <c r="CC208" s="177">
        <f t="shared" si="320"/>
        <v>0.86960941679354786</v>
      </c>
      <c r="CD208" s="5">
        <f t="shared" si="321"/>
        <v>86.960941679354789</v>
      </c>
      <c r="CG208" s="571">
        <f t="shared" si="356"/>
        <v>-50</v>
      </c>
      <c r="CH208">
        <f t="shared" si="357"/>
        <v>-50</v>
      </c>
    </row>
    <row r="209" spans="5:88" x14ac:dyDescent="0.2">
      <c r="E209" s="174">
        <v>99</v>
      </c>
      <c r="F209" s="221">
        <f t="shared" si="378"/>
        <v>0.4158</v>
      </c>
      <c r="G209" s="221"/>
      <c r="H209" s="221">
        <f t="shared" si="367"/>
        <v>6.4448999999999996</v>
      </c>
      <c r="I209" s="551">
        <f t="shared" si="323"/>
        <v>9</v>
      </c>
      <c r="J209" s="451">
        <f t="shared" si="324"/>
        <v>16.399999999999999</v>
      </c>
      <c r="K209" s="451">
        <f t="shared" si="325"/>
        <v>25.4</v>
      </c>
      <c r="L209" s="451"/>
      <c r="M209" s="221">
        <f t="shared" si="326"/>
        <v>0.64566929133858264</v>
      </c>
      <c r="N209" s="176">
        <f t="shared" si="368"/>
        <v>10.799787401574802</v>
      </c>
      <c r="O209" s="176">
        <f t="shared" si="363"/>
        <v>6.4448999999999996</v>
      </c>
      <c r="P209" s="221">
        <f t="shared" si="369"/>
        <v>0.69676047752095494</v>
      </c>
      <c r="Q209" s="221">
        <f t="shared" si="329"/>
        <v>15.5</v>
      </c>
      <c r="R209" s="221"/>
      <c r="S209" s="176">
        <f t="shared" si="330"/>
        <v>31.187499686267024</v>
      </c>
      <c r="T209" s="546">
        <f t="shared" si="370"/>
        <v>15.5</v>
      </c>
      <c r="U209" s="221">
        <f t="shared" si="332"/>
        <v>2.4646260162601625</v>
      </c>
      <c r="V209" s="221">
        <f t="shared" si="371"/>
        <v>2.4646260162601625</v>
      </c>
      <c r="W209" s="221">
        <f t="shared" si="334"/>
        <v>1.3525386674598454</v>
      </c>
      <c r="X209" s="201">
        <f t="shared" si="335"/>
        <v>350</v>
      </c>
      <c r="Y209" s="451">
        <f t="shared" si="303"/>
        <v>261.97454992312583</v>
      </c>
      <c r="AA209" s="221">
        <f t="shared" si="336"/>
        <v>1.8447694038245221</v>
      </c>
      <c r="AB209" s="177">
        <f t="shared" si="372"/>
        <v>1.0123734533183355</v>
      </c>
      <c r="AC209" s="177">
        <f t="shared" si="373"/>
        <v>0.32682922508702178</v>
      </c>
      <c r="AD209" s="177"/>
      <c r="AE209" s="177">
        <f t="shared" si="339"/>
        <v>0.45</v>
      </c>
      <c r="AF209" s="555">
        <f t="shared" si="374"/>
        <v>2253.6585365853657</v>
      </c>
      <c r="AG209" s="538">
        <f t="shared" si="341"/>
        <v>6.4574999999999994E-2</v>
      </c>
      <c r="AI209" s="177">
        <f t="shared" si="342"/>
        <v>2.0807690885823922</v>
      </c>
      <c r="AJ209" s="177">
        <f t="shared" si="375"/>
        <v>2.4646260162601625</v>
      </c>
      <c r="AK209" s="177">
        <f t="shared" si="376"/>
        <v>2.2964173441734417</v>
      </c>
      <c r="AM209" s="555">
        <f t="shared" si="345"/>
        <v>415.8</v>
      </c>
      <c r="AN209" s="469">
        <f t="shared" si="346"/>
        <v>261.97454992312583</v>
      </c>
      <c r="AP209">
        <f t="shared" si="347"/>
        <v>415.8</v>
      </c>
      <c r="AQ209">
        <f t="shared" si="348"/>
        <v>261.97454992312583</v>
      </c>
      <c r="AS209" s="5">
        <f t="shared" si="364"/>
        <v>3.8171646837200077</v>
      </c>
      <c r="AT209" s="5">
        <f t="shared" si="349"/>
        <v>2.4646260162601625</v>
      </c>
      <c r="AU209" s="5">
        <f t="shared" si="304"/>
        <v>1.3525386674598452</v>
      </c>
      <c r="AV209" s="5"/>
      <c r="AW209" s="177">
        <f t="shared" si="305"/>
        <v>0.64566929133858264</v>
      </c>
      <c r="AX209" s="177">
        <f t="shared" si="360"/>
        <v>7.1610000000000005</v>
      </c>
      <c r="AY209" s="177">
        <f t="shared" si="361"/>
        <v>0.43664634146341469</v>
      </c>
      <c r="AZ209" s="177">
        <f t="shared" si="365"/>
        <v>16.399999999999999</v>
      </c>
      <c r="BA209" s="469">
        <f t="shared" si="350"/>
        <v>21.317779700075526</v>
      </c>
      <c r="BB209" s="469">
        <f t="shared" si="351"/>
        <v>50.046278167741939</v>
      </c>
      <c r="BC209" s="5">
        <f t="shared" si="359"/>
        <v>1.7936165551259164</v>
      </c>
      <c r="BD209" s="469">
        <f t="shared" si="352"/>
        <v>110.00399330755501</v>
      </c>
      <c r="BF209" s="177">
        <f t="shared" si="366"/>
        <v>1.1433928362371553</v>
      </c>
      <c r="BG209" s="177">
        <f t="shared" si="362"/>
        <v>0.84702220871141676</v>
      </c>
      <c r="BI209" s="538">
        <f t="shared" si="306"/>
        <v>0.1438081895754291</v>
      </c>
      <c r="BJ209" s="538">
        <f t="shared" si="307"/>
        <v>8.2000000000000003E-2</v>
      </c>
      <c r="BK209" s="538">
        <f t="shared" si="308"/>
        <v>1.3098727496156291E-2</v>
      </c>
      <c r="BL209" s="538">
        <f t="shared" si="309"/>
        <v>3.8028487641390864E-2</v>
      </c>
      <c r="BM209">
        <f t="shared" si="310"/>
        <v>2.6099999999999999E-3</v>
      </c>
      <c r="BN209">
        <f t="shared" si="353"/>
        <v>1.0478981996925033E-5</v>
      </c>
      <c r="BO209" s="538">
        <f t="shared" si="377"/>
        <v>0.28717539677980158</v>
      </c>
      <c r="BP209" s="469">
        <f t="shared" si="311"/>
        <v>279.54540471297622</v>
      </c>
      <c r="BQ209" s="538">
        <f t="shared" si="355"/>
        <v>0.37422</v>
      </c>
      <c r="BT209" s="469">
        <f t="shared" si="312"/>
        <v>374.21999999999997</v>
      </c>
      <c r="BU209" s="538">
        <f t="shared" si="313"/>
        <v>6.2752664542005426E-2</v>
      </c>
      <c r="BV209" s="538">
        <f t="shared" si="314"/>
        <v>0.17218718929208804</v>
      </c>
      <c r="BW209" s="538">
        <f t="shared" si="315"/>
        <v>0</v>
      </c>
      <c r="BX209" s="538"/>
      <c r="BY209" s="538">
        <f t="shared" si="316"/>
        <v>7.9566666666666674E-2</v>
      </c>
      <c r="BZ209" s="469">
        <f t="shared" si="317"/>
        <v>314.50652050076013</v>
      </c>
      <c r="CA209" s="177">
        <f t="shared" si="318"/>
        <v>0.96827192521373628</v>
      </c>
      <c r="CB209" s="5">
        <f t="shared" si="319"/>
        <v>6.4448999999999996</v>
      </c>
      <c r="CC209" s="177">
        <f t="shared" si="320"/>
        <v>0.86938493603251765</v>
      </c>
      <c r="CD209" s="5">
        <f t="shared" si="321"/>
        <v>86.938493603251771</v>
      </c>
      <c r="CG209" s="571">
        <f t="shared" si="356"/>
        <v>-50</v>
      </c>
      <c r="CH209">
        <f t="shared" si="357"/>
        <v>-50</v>
      </c>
    </row>
    <row r="210" spans="5:88" x14ac:dyDescent="0.2">
      <c r="E210" s="174">
        <v>100</v>
      </c>
      <c r="F210" s="221">
        <f t="shared" si="378"/>
        <v>0.42</v>
      </c>
      <c r="G210" s="221"/>
      <c r="H210" s="221">
        <f t="shared" si="367"/>
        <v>6.51</v>
      </c>
      <c r="I210" s="551">
        <f t="shared" si="323"/>
        <v>9</v>
      </c>
      <c r="J210" s="451">
        <f t="shared" si="324"/>
        <v>16.399999999999999</v>
      </c>
      <c r="K210" s="451">
        <f t="shared" si="325"/>
        <v>25.4</v>
      </c>
      <c r="L210" s="451"/>
      <c r="M210" s="221">
        <f t="shared" si="326"/>
        <v>0.64566929133858264</v>
      </c>
      <c r="N210" s="176">
        <f t="shared" si="368"/>
        <v>10.799787401574802</v>
      </c>
      <c r="O210" s="176">
        <f t="shared" si="363"/>
        <v>6.51</v>
      </c>
      <c r="P210" s="221">
        <f t="shared" si="369"/>
        <v>0.69676047752095494</v>
      </c>
      <c r="Q210" s="221">
        <f t="shared" si="329"/>
        <v>15.5</v>
      </c>
      <c r="R210" s="221"/>
      <c r="S210" s="176">
        <f t="shared" si="330"/>
        <v>30.791304897279648</v>
      </c>
      <c r="T210" s="546">
        <f t="shared" si="370"/>
        <v>15.5</v>
      </c>
      <c r="U210" s="221">
        <f t="shared" si="332"/>
        <v>2.4895212285456192</v>
      </c>
      <c r="V210" s="221">
        <f t="shared" si="371"/>
        <v>2.4895212285456192</v>
      </c>
      <c r="W210" s="221">
        <f t="shared" si="334"/>
        <v>1.3662006742018644</v>
      </c>
      <c r="X210" s="201">
        <f t="shared" si="335"/>
        <v>350</v>
      </c>
      <c r="Y210" s="451">
        <f t="shared" si="303"/>
        <v>259.35480442389445</v>
      </c>
      <c r="AA210" s="221">
        <f t="shared" si="336"/>
        <v>1.8447694038245221</v>
      </c>
      <c r="AB210" s="177">
        <f t="shared" si="372"/>
        <v>1.0123734533183355</v>
      </c>
      <c r="AC210" s="177">
        <f t="shared" si="373"/>
        <v>0.32682922508702178</v>
      </c>
      <c r="AD210" s="177"/>
      <c r="AE210" s="177">
        <f t="shared" si="339"/>
        <v>0.45</v>
      </c>
      <c r="AF210" s="555">
        <f t="shared" si="374"/>
        <v>2276.4227642276423</v>
      </c>
      <c r="AG210" s="538">
        <f t="shared" si="341"/>
        <v>6.4574999999999994E-2</v>
      </c>
      <c r="AI210" s="177">
        <f t="shared" si="342"/>
        <v>2.0912516188477492</v>
      </c>
      <c r="AJ210" s="177">
        <f t="shared" si="375"/>
        <v>2.4895212285456192</v>
      </c>
      <c r="AK210" s="177">
        <f t="shared" si="376"/>
        <v>2.3130141523637464</v>
      </c>
      <c r="AM210" s="555">
        <f t="shared" si="345"/>
        <v>420</v>
      </c>
      <c r="AN210" s="469">
        <f t="shared" si="346"/>
        <v>259.35480442389445</v>
      </c>
      <c r="AP210">
        <f t="shared" si="347"/>
        <v>420</v>
      </c>
      <c r="AQ210">
        <f t="shared" si="348"/>
        <v>259.35480442389445</v>
      </c>
      <c r="AS210" s="5">
        <f t="shared" si="364"/>
        <v>3.8557219027474843</v>
      </c>
      <c r="AT210" s="5">
        <f t="shared" si="349"/>
        <v>2.4895212285456192</v>
      </c>
      <c r="AU210" s="5">
        <f t="shared" si="304"/>
        <v>1.3662006742018651</v>
      </c>
      <c r="AV210" s="5"/>
      <c r="AW210" s="177">
        <f t="shared" si="305"/>
        <v>0.64566929133858253</v>
      </c>
      <c r="AX210" s="177">
        <f t="shared" si="360"/>
        <v>7.2333333333333325</v>
      </c>
      <c r="AY210" s="177">
        <f t="shared" si="361"/>
        <v>0.44105691056910595</v>
      </c>
      <c r="AZ210" s="177">
        <f t="shared" si="365"/>
        <v>16.399999999999988</v>
      </c>
      <c r="BA210" s="469">
        <f t="shared" si="350"/>
        <v>21.317779700075526</v>
      </c>
      <c r="BB210" s="469">
        <f t="shared" si="351"/>
        <v>51.053935483870958</v>
      </c>
      <c r="BC210" s="5">
        <f t="shared" si="359"/>
        <v>1.8300342364308928</v>
      </c>
      <c r="BD210" s="469">
        <f t="shared" si="352"/>
        <v>112.21316529696469</v>
      </c>
      <c r="BF210" s="177">
        <f t="shared" si="366"/>
        <v>1.1549422588254095</v>
      </c>
      <c r="BG210" s="177">
        <f t="shared" si="362"/>
        <v>0.85557798859739098</v>
      </c>
      <c r="BI210" s="538">
        <f t="shared" si="306"/>
        <v>0.14672807833428128</v>
      </c>
      <c r="BJ210" s="538">
        <f t="shared" si="307"/>
        <v>8.1999999999999962E-2</v>
      </c>
      <c r="BK210" s="538">
        <f t="shared" si="308"/>
        <v>1.2967740221194721E-2</v>
      </c>
      <c r="BL210" s="538">
        <f t="shared" si="309"/>
        <v>3.7648202764976935E-2</v>
      </c>
      <c r="BM210">
        <f t="shared" si="310"/>
        <v>2.6099999999999999E-3</v>
      </c>
      <c r="BN210">
        <f t="shared" si="353"/>
        <v>1.0374192176955779E-5</v>
      </c>
      <c r="BO210" s="538">
        <f t="shared" si="377"/>
        <v>0.28980993606018368</v>
      </c>
      <c r="BP210" s="469">
        <f t="shared" si="311"/>
        <v>281.95402132045291</v>
      </c>
      <c r="BQ210" s="538">
        <f t="shared" si="355"/>
        <v>0.378</v>
      </c>
      <c r="BT210" s="469">
        <f t="shared" si="312"/>
        <v>378</v>
      </c>
      <c r="BU210" s="538">
        <f t="shared" si="313"/>
        <v>6.4026797818595479E-2</v>
      </c>
      <c r="BV210" s="538">
        <f t="shared" si="314"/>
        <v>0.17568328669736574</v>
      </c>
      <c r="BW210" s="538">
        <f t="shared" si="315"/>
        <v>0</v>
      </c>
      <c r="BX210" s="538"/>
      <c r="BY210" s="538">
        <f t="shared" si="316"/>
        <v>8.0370370370370384E-2</v>
      </c>
      <c r="BZ210" s="469">
        <f t="shared" si="317"/>
        <v>320.08045488633155</v>
      </c>
      <c r="CA210" s="177">
        <f t="shared" si="318"/>
        <v>0.98003447620678452</v>
      </c>
      <c r="CB210" s="5">
        <f t="shared" si="319"/>
        <v>6.51</v>
      </c>
      <c r="CC210" s="177">
        <f t="shared" si="320"/>
        <v>0.86915487781531442</v>
      </c>
      <c r="CD210" s="5">
        <f t="shared" si="321"/>
        <v>86.915487781531439</v>
      </c>
      <c r="CG210" s="571">
        <f t="shared" si="356"/>
        <v>-50</v>
      </c>
      <c r="CH210">
        <f t="shared" si="357"/>
        <v>-50</v>
      </c>
    </row>
    <row r="211" spans="5:88" x14ac:dyDescent="0.2">
      <c r="E211" s="174"/>
      <c r="F211" s="221"/>
      <c r="G211" s="221"/>
      <c r="H211" s="221"/>
      <c r="I211" s="551"/>
      <c r="J211" s="451"/>
      <c r="K211" s="451"/>
      <c r="L211" s="451"/>
      <c r="M211" s="221"/>
      <c r="N211" s="176"/>
      <c r="O211" s="176"/>
      <c r="P211" s="221"/>
      <c r="Q211" s="221"/>
      <c r="R211" s="221"/>
      <c r="S211" s="176"/>
      <c r="T211" s="546"/>
      <c r="U211" s="221"/>
      <c r="V211" s="221"/>
      <c r="W211" s="221"/>
      <c r="X211" s="201"/>
      <c r="Y211" s="451"/>
      <c r="AA211" s="221"/>
      <c r="AB211" s="177"/>
      <c r="AC211" s="177"/>
      <c r="AD211" s="177"/>
      <c r="AE211" s="177"/>
      <c r="AF211" s="555"/>
      <c r="AG211" s="538"/>
      <c r="AI211" s="177"/>
      <c r="AJ211" s="177"/>
      <c r="AK211" s="177"/>
      <c r="AM211" s="555"/>
      <c r="AN211" s="469"/>
      <c r="AS211" s="5"/>
      <c r="AT211" s="5"/>
      <c r="AU211" s="5"/>
      <c r="AV211" s="5"/>
      <c r="AW211" s="177"/>
      <c r="AX211" s="177"/>
      <c r="BA211" s="469"/>
      <c r="BB211" s="469"/>
      <c r="BC211" s="5"/>
      <c r="BD211" s="469"/>
      <c r="BQ211" s="538"/>
      <c r="CB211" s="5"/>
      <c r="CG211" s="571"/>
      <c r="CI211" s="540">
        <f>MAX(CH110:CH210)</f>
        <v>-50</v>
      </c>
      <c r="CJ211" s="77" t="s">
        <v>45</v>
      </c>
    </row>
    <row r="212" spans="5:88" x14ac:dyDescent="0.2">
      <c r="E212" s="647">
        <v>101</v>
      </c>
      <c r="F212" s="648">
        <f>Ioutmax_Vinmin</f>
        <v>0.69676047752095494</v>
      </c>
      <c r="H212" s="221">
        <f t="shared" ref="H212" si="379">F212*Vout</f>
        <v>10.799787401574802</v>
      </c>
      <c r="I212" s="551">
        <f t="shared" si="323"/>
        <v>9</v>
      </c>
      <c r="J212" s="451">
        <f t="shared" ref="J212" si="380">(T212+Vfwd1)*Nps</f>
        <v>16.230771200467839</v>
      </c>
      <c r="K212" s="451">
        <f t="shared" ref="K212" si="381">(Vout+Vfwd1)*Nps+I212</f>
        <v>25.4</v>
      </c>
      <c r="L212" s="451"/>
      <c r="M212" s="221">
        <f t="shared" ref="M212" si="382">(Vout+Vfwd1)*Nps/((Vout+Vfwd1)*Nps+I212)</f>
        <v>0.64566929133858264</v>
      </c>
      <c r="N212" s="176">
        <f>M212*I212*(Isw_max+VIN_min/Lmag*ILIM_delay)*0.5*Efficiency</f>
        <v>10.799787401574802</v>
      </c>
      <c r="O212" s="176">
        <f t="shared" ref="O212" si="383">T212*F212</f>
        <v>10.681875462402475</v>
      </c>
      <c r="P212" s="221">
        <f t="shared" ref="P212" si="384">N212/Vout</f>
        <v>0.69676047752095494</v>
      </c>
      <c r="Q212" s="221">
        <f t="shared" ref="Q212" si="385">MIN(Vout,N212/F212)</f>
        <v>15.5</v>
      </c>
      <c r="R212" s="221"/>
      <c r="S212" s="176">
        <f t="shared" ref="S212" si="386">(SQRT(Isw_max^2*Nps^2*I212^2+4*Isw_max*F212/Efficiency*(Nps^2*Vfwd1*I212-Nps*I212^2)+4*(F212/Efficiency)^2*Nps^2*Vfwd1^2+8*(F212/Efficiency)^2*Nps*Vfwd1*I212+4*(F212/Efficiency)^2*I212^2)-2*F212/Efficiency*I212-2*F212/Efficiency*Nps*Vfwd1+Isw_max*Nps*I212)/(4*F212/Efficiency*Nps)</f>
        <v>15.330771200467838</v>
      </c>
      <c r="T212" s="546">
        <f t="shared" ref="T212" si="387">MIN(Vout, S212)</f>
        <v>15.330771200467838</v>
      </c>
      <c r="U212" s="221">
        <f>MIN(2*Vout*F212/(Efficiency*I212*M212), Isw_max)</f>
        <v>4.0999999999999996</v>
      </c>
      <c r="V212" s="221">
        <f t="shared" ref="V212" si="388">L*U212/I212*1000000</f>
        <v>4.0999999999999996</v>
      </c>
      <c r="W212" s="221">
        <f t="shared" ref="W212" si="389">L*U212/J212*1000000</f>
        <v>2.2734594397422336</v>
      </c>
      <c r="X212" s="201">
        <f t="shared" ref="X212" si="390">IF(1/((350000*L)*(1/I212+1/J212))&gt;Isw_min, 350, 0.001/((Isw_min*L)*(1/I212+1/J212)))</f>
        <v>350</v>
      </c>
      <c r="Y212" s="451">
        <f t="shared" ref="Y212" si="391">MIN(1/(V212+W212)*1000, 350)</f>
        <v>156.90066116439328</v>
      </c>
      <c r="AA212" s="221">
        <f t="shared" ref="AA212" si="392">1/((X212*1000*L)*(1/I212+1/J212))</f>
        <v>1.8379791736400353</v>
      </c>
      <c r="AB212" s="177">
        <f t="shared" ref="AB212" si="393">L*AA212/J212*1000000</f>
        <v>1.0191636835028219</v>
      </c>
      <c r="AC212" s="177">
        <f t="shared" ref="AC212" si="394">0.5*AB212*AA212*Nps*X212/1000</f>
        <v>0.32781028434147896</v>
      </c>
      <c r="AD212" s="177"/>
      <c r="AE212" s="177">
        <f t="shared" ref="AE212" si="395">L*Isw_min/J212*1000000</f>
        <v>0.45469188794844678</v>
      </c>
      <c r="AF212" s="555">
        <f>MAX(12000,F212/(0.5*AE212/1000000*Isw_min*Nps))/1000</f>
        <v>3737.5107053246534</v>
      </c>
      <c r="AG212" s="538">
        <f t="shared" ref="AG212" si="396">0.5*AE212/1000000*Isw_min*Nps*X212*1000</f>
        <v>6.5248285920602112E-2</v>
      </c>
      <c r="AI212" s="177">
        <f t="shared" ref="AI212" si="397">SQRT(F212/(0.5*L/J212*Fsw_DCM*Nps))</f>
        <v>2.6796066866294797</v>
      </c>
      <c r="AJ212" s="177">
        <f t="shared" ref="AJ212" si="398">MAX(IF(F212&gt;AC212,U212,AI212),Isw_min)</f>
        <v>4.0999999999999996</v>
      </c>
      <c r="AK212" s="177">
        <f t="shared" ref="AK212" si="399">IF(F212&gt;AG212, (AJ212-Isw_min)/1.08*0.8+1.2, AF212*0.2/350+1)</f>
        <v>3.6296296296296298</v>
      </c>
      <c r="AM212" s="555">
        <f t="shared" ref="AM212" si="400">F212*1000</f>
        <v>696.76047752095496</v>
      </c>
      <c r="AN212" s="469">
        <f t="shared" ref="AN212" si="401">IF(F212&gt;AG212, Y212, AF212)</f>
        <v>156.90066116439328</v>
      </c>
      <c r="AS212" s="5">
        <f t="shared" ref="AS212" si="402">1/AN212*1000</f>
        <v>6.3734594397422333</v>
      </c>
      <c r="AT212" s="5">
        <f t="shared" ref="AT212" si="403">L*AJ212/I212*1000000</f>
        <v>4.0999999999999996</v>
      </c>
      <c r="AU212" s="5">
        <f t="shared" si="304"/>
        <v>2.2734594397422336</v>
      </c>
      <c r="AV212" s="5"/>
      <c r="AW212" s="177"/>
      <c r="AX212" s="177"/>
      <c r="BA212" s="469">
        <f>L*Isw_max^2/(2*Vout_ripple*Vout)*1000000000*((1+M212)/2)^2</f>
        <v>21.317779700075526</v>
      </c>
      <c r="BB212" s="469">
        <f>L*F212^2/(2*Cout*Vout*Nps^2)*1000000000*((1+M212)/(1-M212))^2+F212*RCoutEsr</f>
        <v>139.58863725704151</v>
      </c>
      <c r="BC212" s="5">
        <f t="shared" si="359"/>
        <v>5.0520326368970121</v>
      </c>
      <c r="BD212" s="469">
        <f>((CB212/I212/Efficiency)*AU212/Cin+(CB212/I212/Efficiency)*RCinEsr)*1000</f>
        <v>303.7687267657027</v>
      </c>
      <c r="BQ212" s="538">
        <f>(Vfwd2*F212+BG212^2*Rdiode)*(1+Diode_TC/1000*(Ta-25))</f>
        <v>0.62708442976885947</v>
      </c>
      <c r="CB212" s="5">
        <f t="shared" si="319"/>
        <v>10.681875462402475</v>
      </c>
      <c r="CG212" s="571"/>
    </row>
    <row r="213" spans="5:88" x14ac:dyDescent="0.2">
      <c r="H213" s="221"/>
      <c r="I213" s="551"/>
      <c r="J213" s="451"/>
      <c r="K213" s="451"/>
      <c r="L213" s="451"/>
      <c r="M213" s="221"/>
      <c r="N213" s="176"/>
      <c r="O213" s="176"/>
      <c r="P213" s="221"/>
      <c r="Q213" s="221"/>
      <c r="R213" s="221"/>
      <c r="S213" s="176"/>
      <c r="T213" s="176"/>
      <c r="U213" s="221"/>
      <c r="V213" s="221"/>
      <c r="W213" s="221"/>
      <c r="X213" s="201"/>
      <c r="Y213" s="451"/>
      <c r="AA213" s="221"/>
      <c r="AB213" s="177"/>
      <c r="AC213" s="177"/>
      <c r="AD213" s="177"/>
      <c r="AE213" s="177"/>
      <c r="AF213" s="555"/>
      <c r="AI213" s="177"/>
      <c r="AJ213" s="177"/>
      <c r="AK213" s="177"/>
      <c r="AM213" s="555"/>
      <c r="AN213" s="469"/>
      <c r="AS213" s="5"/>
      <c r="AT213" s="5"/>
      <c r="AU213" s="5"/>
      <c r="AV213" s="5"/>
      <c r="AW213" s="177"/>
      <c r="AX213" s="177"/>
      <c r="BA213" s="469"/>
      <c r="BB213" s="469"/>
      <c r="BC213" s="5"/>
      <c r="BD213" s="469"/>
      <c r="BQ213" s="538"/>
      <c r="CG213" s="571"/>
    </row>
    <row r="214" spans="5:88" x14ac:dyDescent="0.2">
      <c r="E214" s="453" t="s">
        <v>442</v>
      </c>
      <c r="H214" s="221"/>
      <c r="I214" s="551"/>
      <c r="J214" s="451"/>
      <c r="K214" s="451"/>
      <c r="L214" s="451"/>
      <c r="M214" s="221"/>
      <c r="N214" s="176"/>
      <c r="O214" s="176"/>
      <c r="P214" s="221"/>
      <c r="Q214" s="221"/>
      <c r="R214" s="221"/>
      <c r="S214" s="176"/>
      <c r="T214" s="176"/>
      <c r="U214" s="221"/>
      <c r="V214" s="221"/>
      <c r="W214" s="221"/>
      <c r="X214" s="201"/>
      <c r="Y214" s="451"/>
      <c r="AA214" s="221"/>
      <c r="AB214" s="177"/>
      <c r="AC214" s="177"/>
      <c r="AD214" s="177"/>
      <c r="AE214" s="177"/>
      <c r="AF214" s="555"/>
      <c r="AI214" s="177"/>
      <c r="AJ214" s="177"/>
      <c r="AK214" s="177"/>
      <c r="AM214" s="555"/>
      <c r="AN214" s="469"/>
      <c r="AS214" s="5"/>
      <c r="AT214" s="5"/>
      <c r="AU214" s="5"/>
      <c r="AV214" s="5"/>
      <c r="AW214" s="177"/>
      <c r="AX214" s="177"/>
      <c r="BA214" s="469"/>
      <c r="BB214" s="469"/>
      <c r="BC214" s="5"/>
      <c r="BD214" s="469"/>
      <c r="BQ214" s="538"/>
      <c r="CG214" s="571"/>
    </row>
    <row r="215" spans="5:88" ht="45" customHeight="1" thickBot="1" x14ac:dyDescent="0.25">
      <c r="E215" s="245" t="s">
        <v>25</v>
      </c>
      <c r="F215" s="452" t="s">
        <v>194</v>
      </c>
      <c r="G215" s="264"/>
      <c r="H215" s="537" t="s">
        <v>223</v>
      </c>
      <c r="I215" s="246" t="s">
        <v>419</v>
      </c>
      <c r="J215" s="247" t="s">
        <v>425</v>
      </c>
      <c r="K215" s="537" t="s">
        <v>420</v>
      </c>
      <c r="L215" s="537"/>
      <c r="M215" s="248" t="s">
        <v>48</v>
      </c>
      <c r="N215" s="537" t="s">
        <v>409</v>
      </c>
      <c r="O215" s="537" t="s">
        <v>671</v>
      </c>
      <c r="P215" s="537" t="s">
        <v>410</v>
      </c>
      <c r="Q215" s="537" t="s">
        <v>440</v>
      </c>
      <c r="R215" s="537"/>
      <c r="S215" s="537" t="s">
        <v>672</v>
      </c>
      <c r="T215" s="537" t="s">
        <v>670</v>
      </c>
      <c r="U215" s="537" t="s">
        <v>421</v>
      </c>
      <c r="V215" s="537" t="s">
        <v>473</v>
      </c>
      <c r="W215" s="537" t="s">
        <v>472</v>
      </c>
      <c r="X215" s="556" t="s">
        <v>427</v>
      </c>
      <c r="Y215" s="552" t="s">
        <v>432</v>
      </c>
      <c r="AA215" s="249" t="s">
        <v>424</v>
      </c>
      <c r="AB215" s="249" t="s">
        <v>471</v>
      </c>
      <c r="AC215" s="249" t="s">
        <v>430</v>
      </c>
      <c r="AD215" s="554"/>
      <c r="AE215" s="249" t="s">
        <v>470</v>
      </c>
      <c r="AF215" s="249" t="s">
        <v>433</v>
      </c>
      <c r="AG215" s="249" t="s">
        <v>434</v>
      </c>
      <c r="AH215" s="554"/>
      <c r="AI215" s="249" t="s">
        <v>436</v>
      </c>
      <c r="AJ215" s="557" t="s">
        <v>437</v>
      </c>
      <c r="AK215" s="557" t="s">
        <v>438</v>
      </c>
      <c r="AM215" s="553" t="s">
        <v>274</v>
      </c>
      <c r="AN215" s="553" t="s">
        <v>439</v>
      </c>
      <c r="AP215" s="249" t="s">
        <v>274</v>
      </c>
      <c r="AQ215" s="249" t="s">
        <v>439</v>
      </c>
      <c r="AR215" s="558"/>
      <c r="AS215" s="249" t="s">
        <v>474</v>
      </c>
      <c r="AT215" s="249" t="s">
        <v>468</v>
      </c>
      <c r="AU215" s="249" t="s">
        <v>469</v>
      </c>
      <c r="AV215" s="249" t="s">
        <v>668</v>
      </c>
      <c r="AW215" s="249" t="s">
        <v>48</v>
      </c>
      <c r="AX215" s="558" t="s">
        <v>666</v>
      </c>
      <c r="AY215" s="554" t="s">
        <v>665</v>
      </c>
      <c r="AZ215" s="554" t="s">
        <v>667</v>
      </c>
      <c r="BA215" s="249" t="s">
        <v>489</v>
      </c>
      <c r="BB215" s="249" t="s">
        <v>794</v>
      </c>
      <c r="BC215" s="249" t="s">
        <v>525</v>
      </c>
      <c r="BD215" s="249" t="s">
        <v>795</v>
      </c>
      <c r="BE215" s="554"/>
      <c r="BF215" s="567" t="s">
        <v>463</v>
      </c>
      <c r="BG215" s="249" t="s">
        <v>464</v>
      </c>
      <c r="BH215" s="554"/>
      <c r="BI215" s="567" t="s">
        <v>481</v>
      </c>
      <c r="BJ215" s="249" t="s">
        <v>482</v>
      </c>
      <c r="BK215" s="249" t="s">
        <v>480</v>
      </c>
      <c r="BL215" s="249" t="s">
        <v>476</v>
      </c>
      <c r="BM215" s="249" t="s">
        <v>485</v>
      </c>
      <c r="BN215" s="249"/>
      <c r="BO215" s="249"/>
      <c r="BP215" s="249" t="s">
        <v>500</v>
      </c>
      <c r="BQ215" s="567" t="s">
        <v>483</v>
      </c>
      <c r="BR215" s="249" t="s">
        <v>484</v>
      </c>
      <c r="BS215" s="249" t="s">
        <v>492</v>
      </c>
      <c r="BT215" s="249" t="s">
        <v>496</v>
      </c>
      <c r="BU215" s="567" t="s">
        <v>465</v>
      </c>
      <c r="BV215" s="249" t="s">
        <v>466</v>
      </c>
      <c r="BW215" s="249" t="s">
        <v>475</v>
      </c>
      <c r="BX215" s="249"/>
      <c r="BY215" s="249" t="s">
        <v>493</v>
      </c>
      <c r="BZ215" s="249" t="s">
        <v>495</v>
      </c>
      <c r="CA215" s="567" t="s">
        <v>491</v>
      </c>
      <c r="CB215" s="249" t="s">
        <v>223</v>
      </c>
      <c r="CC215" s="249" t="s">
        <v>47</v>
      </c>
      <c r="CD215" s="249" t="s">
        <v>494</v>
      </c>
      <c r="CE215" s="249"/>
      <c r="CG215" s="571"/>
    </row>
    <row r="216" spans="5:88" x14ac:dyDescent="0.2">
      <c r="E216" s="174">
        <v>0.1</v>
      </c>
      <c r="F216" s="221">
        <v>1.0000000000000001E-9</v>
      </c>
      <c r="G216" s="221"/>
      <c r="H216" s="221">
        <f t="shared" ref="H216:H247" si="404">F216*Vout</f>
        <v>1.55E-8</v>
      </c>
      <c r="I216" s="551">
        <f t="shared" ref="I216:I247" si="405">VIN_max</f>
        <v>16</v>
      </c>
      <c r="J216" s="451">
        <f t="shared" ref="J216:J247" si="406">(T216+Vfwd1)*Nps</f>
        <v>16.399999999999999</v>
      </c>
      <c r="K216" s="451">
        <f t="shared" ref="K216:K247" si="407">(Vout+Vfwd1)*Nps+I216</f>
        <v>32.4</v>
      </c>
      <c r="L216" s="451"/>
      <c r="M216" s="221">
        <f t="shared" ref="M216:M247" si="408">(Vout+Vfwd1)*Nps/((Vout+Vfwd1)*Nps+I216)</f>
        <v>0.50617283950617287</v>
      </c>
      <c r="N216" s="176">
        <f t="shared" ref="N216:N247" si="409">M216*I216*(Isw_max+VIN_max/Lmag*ILIM_delay)*0.5*Efficiency</f>
        <v>15.136592592592594</v>
      </c>
      <c r="O216" s="176">
        <f t="shared" si="363"/>
        <v>1.55E-8</v>
      </c>
      <c r="P216" s="221">
        <f t="shared" ref="P216:P247" si="410">N216/Vout</f>
        <v>0.97655436081242541</v>
      </c>
      <c r="Q216" s="221">
        <f t="shared" ref="Q216:Q247" si="411">MIN(Vout,N216/F216)</f>
        <v>15.5</v>
      </c>
      <c r="R216" s="221"/>
      <c r="S216" s="176">
        <f t="shared" ref="S216:S247" si="412">(SQRT(Isw_max^2*Nps^2*I216^2+4*Isw_max*F216/Efficiency*(Nps^2*Vfwd1*I216-Nps*I216^2)+4*(F216/Efficiency)^2*Nps^2*Vfwd1^2+8*(F216/Efficiency)^2*Nps*Vfwd1*I216+4*(F216/Efficiency)^2*I216^2)-2*F216/Efficiency*I216-2*F216/Efficiency*Nps*Vfwd1+Isw_max*Nps*I216)/(4*F216/Efficiency*Nps)</f>
        <v>29519999983.999996</v>
      </c>
      <c r="T216" s="176">
        <f t="shared" ref="T216:T247" si="413">MIN(Vout, S216)</f>
        <v>15.5</v>
      </c>
      <c r="U216" s="221">
        <f t="shared" ref="U216:U247" si="414">MIN(2*Vout*F216/(Efficiency*I216*M216), Isw_max)</f>
        <v>4.2530487804878044E-9</v>
      </c>
      <c r="V216" s="221">
        <f t="shared" ref="V216:V247" si="415">L*U216/I216*1000000</f>
        <v>2.3923399390243899E-9</v>
      </c>
      <c r="W216" s="221">
        <f t="shared" ref="W216:W247" si="416">L*U216/J216*1000000</f>
        <v>2.3339901844140389E-9</v>
      </c>
      <c r="X216" s="201">
        <f t="shared" ref="X216:X247" si="417">IF(1/((350000*L)*(1/I216+1/J216))&gt;Isw_min, 350, 0.001/((Isw_min*L)*(1/I216+1/J216)))</f>
        <v>350</v>
      </c>
      <c r="Y216" s="451">
        <f t="shared" ref="Y216:Y275" si="418">MIN(1/(V216+W216)*1000, 350)</f>
        <v>350</v>
      </c>
      <c r="AA216" s="221">
        <f t="shared" ref="AA216:AA247" si="419">1/((X216*1000*L)*(1/I216+1/J216))</f>
        <v>2.5710366451107194</v>
      </c>
      <c r="AB216" s="177">
        <f t="shared" ref="AB216:AB247" si="420">L*AA216/J216*1000000</f>
        <v>1.4109347442680777</v>
      </c>
      <c r="AC216" s="177">
        <f t="shared" ref="AC216:AC247" si="421">0.5*AB216*AA216*Nps*X216/1000</f>
        <v>0.63482386299030114</v>
      </c>
      <c r="AD216" s="177"/>
      <c r="AE216" s="177">
        <f t="shared" ref="AE216:AE247" si="422">L*Isw_min/J216*1000000</f>
        <v>0.45</v>
      </c>
      <c r="AF216" s="555">
        <f t="shared" ref="AF216:AF247" si="423">MAX(12000,F216/(0.5*AE216/1000000*Isw_min*Nps))/1000</f>
        <v>12</v>
      </c>
      <c r="AG216" s="538">
        <f t="shared" ref="AG216:AG247" si="424">0.5*AE216/1000000*Isw_min*Nps*X216*1000</f>
        <v>6.4574999999999994E-2</v>
      </c>
      <c r="AI216" s="177">
        <f t="shared" ref="AI216:AI247" si="425">SQRT(F216/(0.5*L/J216*Fsw_DCM*Nps))</f>
        <v>1.0204263036936284E-4</v>
      </c>
      <c r="AJ216" s="177">
        <f t="shared" ref="AJ216:AJ247" si="426">MAX(IF(F216&gt;AC216,U216,AI216),Isw_min)</f>
        <v>0.82</v>
      </c>
      <c r="AK216" s="177">
        <f t="shared" ref="AK216:AK247" si="427">IF(F216&gt;AG216, (AJ216-Isw_min)/1.2*0.8+1.2, AF216*0.2/350+1)</f>
        <v>1.0068571428571429</v>
      </c>
      <c r="AM216" s="555">
        <f t="shared" ref="AM216:AM247" si="428">F216*1000</f>
        <v>1.0000000000000002E-6</v>
      </c>
      <c r="AN216" s="469">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0.46124999999999999</v>
      </c>
      <c r="AU216" s="5">
        <f t="shared" si="304"/>
        <v>82.872083333333322</v>
      </c>
      <c r="AV216" s="5"/>
      <c r="AW216" s="177">
        <f t="shared" si="305"/>
        <v>5.535E-3</v>
      </c>
      <c r="AX216" s="177"/>
      <c r="BA216" s="469">
        <f t="shared" ref="BA216:BA247" si="433">L*Isw_max^2/(2*Vout_ripple*Vout)*1000000000*((1+M216)/2)^2</f>
        <v>17.856916306602201</v>
      </c>
      <c r="BB216" s="469">
        <f t="shared" ref="BB216:BB247" si="434">L*F216^2/(2*Cout*Vout*Nps^2)*1000000000*((1+M216)/(1-M216))^2+F216*RCoutEsr</f>
        <v>2.0000001227602639E-9</v>
      </c>
      <c r="BC216" s="5">
        <f t="shared" si="359"/>
        <v>1.486709828317901E-7</v>
      </c>
      <c r="BD216" s="469">
        <f t="shared" ref="BD216:BD247" si="435">((CB216/I216/Efficiency)*AU216/Cin+(CB216/I216/Efficiency)*RCinEsr)*1000</f>
        <v>0</v>
      </c>
      <c r="BQ216" s="538">
        <f t="shared" ref="BQ216:BQ247" si="436">(Vfwd2*F216+BG216^2*Rdiode)*(1+Diode_TC/1000*(Ta-25))</f>
        <v>9.000000000000001E-10</v>
      </c>
      <c r="CG216" s="571">
        <f t="shared" ref="CG216:CG247" si="437">IF(ABS(F216-Ioutmax_Vinmax)&lt;Iout/200, AN216, -50)</f>
        <v>-50</v>
      </c>
      <c r="CH216">
        <f t="shared" ref="CH216:CH247" si="438">IF(ABS(F216-Ioutmax_Vinmin)&lt;Iout/200, N216*CC216, -50)</f>
        <v>-50</v>
      </c>
    </row>
    <row r="217" spans="5:88" x14ac:dyDescent="0.2">
      <c r="E217" s="174">
        <v>1</v>
      </c>
      <c r="F217" s="221">
        <f t="shared" ref="F217:F248" si="439">IF(PLOT_TYPE=1, E217/100*Iout_max, min_I*EXP(N217*rr/100))</f>
        <v>4.1999999999999997E-3</v>
      </c>
      <c r="G217" s="221"/>
      <c r="H217" s="221">
        <f t="shared" si="404"/>
        <v>6.5099999999999991E-2</v>
      </c>
      <c r="I217" s="551">
        <f t="shared" si="405"/>
        <v>16</v>
      </c>
      <c r="J217" s="451">
        <f t="shared" si="406"/>
        <v>16.399999999999999</v>
      </c>
      <c r="K217" s="451">
        <f t="shared" si="407"/>
        <v>32.4</v>
      </c>
      <c r="L217" s="451"/>
      <c r="M217" s="221">
        <f t="shared" si="408"/>
        <v>0.50617283950617287</v>
      </c>
      <c r="N217" s="176">
        <f t="shared" si="409"/>
        <v>15.136592592592594</v>
      </c>
      <c r="O217" s="176">
        <f t="shared" si="363"/>
        <v>6.5099999999999991E-2</v>
      </c>
      <c r="P217" s="221">
        <f t="shared" si="410"/>
        <v>0.97655436081242541</v>
      </c>
      <c r="Q217" s="221">
        <f t="shared" si="411"/>
        <v>15.5</v>
      </c>
      <c r="R217" s="221"/>
      <c r="S217" s="176">
        <f t="shared" si="412"/>
        <v>7012.5734817623397</v>
      </c>
      <c r="T217" s="176">
        <f t="shared" si="413"/>
        <v>15.5</v>
      </c>
      <c r="U217" s="221">
        <f t="shared" si="414"/>
        <v>1.7862804878048776E-2</v>
      </c>
      <c r="V217" s="221">
        <f t="shared" si="415"/>
        <v>1.0047827743902437E-2</v>
      </c>
      <c r="W217" s="221">
        <f t="shared" si="416"/>
        <v>9.8027587745389624E-3</v>
      </c>
      <c r="X217" s="201">
        <f t="shared" si="417"/>
        <v>350</v>
      </c>
      <c r="Y217" s="451">
        <f t="shared" si="418"/>
        <v>350</v>
      </c>
      <c r="AA217" s="221">
        <f t="shared" si="419"/>
        <v>2.5710366451107194</v>
      </c>
      <c r="AB217" s="177">
        <f t="shared" si="420"/>
        <v>1.4109347442680777</v>
      </c>
      <c r="AC217" s="177">
        <f t="shared" si="421"/>
        <v>0.63482386299030114</v>
      </c>
      <c r="AD217" s="177"/>
      <c r="AE217" s="177">
        <f t="shared" si="422"/>
        <v>0.45</v>
      </c>
      <c r="AF217" s="555">
        <f t="shared" si="423"/>
        <v>22.764227642276424</v>
      </c>
      <c r="AG217" s="538">
        <f t="shared" si="424"/>
        <v>6.4574999999999994E-2</v>
      </c>
      <c r="AI217" s="177">
        <f t="shared" si="425"/>
        <v>0.20912516188477495</v>
      </c>
      <c r="AJ217" s="177">
        <f t="shared" si="426"/>
        <v>0.82</v>
      </c>
      <c r="AK217" s="177">
        <f t="shared" si="427"/>
        <v>1.0130081300813008</v>
      </c>
      <c r="AM217" s="555">
        <f t="shared" si="428"/>
        <v>4.2</v>
      </c>
      <c r="AN217" s="469">
        <f t="shared" si="429"/>
        <v>22.764227642276424</v>
      </c>
      <c r="AP217">
        <f t="shared" si="430"/>
        <v>4.2</v>
      </c>
      <c r="AQ217">
        <f t="shared" si="431"/>
        <v>22.764227642276424</v>
      </c>
      <c r="AS217" s="5">
        <f t="shared" si="364"/>
        <v>43.928571428571431</v>
      </c>
      <c r="AT217" s="5">
        <f t="shared" si="432"/>
        <v>0.46124999999999999</v>
      </c>
      <c r="AU217" s="5">
        <f t="shared" si="304"/>
        <v>43.467321428571431</v>
      </c>
      <c r="AV217" s="5"/>
      <c r="AW217" s="177">
        <f t="shared" si="305"/>
        <v>1.0499999999999999E-2</v>
      </c>
      <c r="AX217" s="177"/>
      <c r="BA217" s="469">
        <f t="shared" si="433"/>
        <v>17.856916306602201</v>
      </c>
      <c r="BB217" s="469">
        <f t="shared" si="434"/>
        <v>1.0565491055718475E-2</v>
      </c>
      <c r="BC217" s="5">
        <f t="shared" si="359"/>
        <v>0.32751419270833321</v>
      </c>
      <c r="BD217" s="469">
        <f t="shared" si="435"/>
        <v>0</v>
      </c>
      <c r="BQ217" s="538">
        <f t="shared" si="436"/>
        <v>3.7799999999999999E-3</v>
      </c>
      <c r="CG217" s="571">
        <f t="shared" si="437"/>
        <v>-50</v>
      </c>
      <c r="CH217">
        <f t="shared" si="438"/>
        <v>-50</v>
      </c>
    </row>
    <row r="218" spans="5:88" x14ac:dyDescent="0.2">
      <c r="E218" s="174">
        <v>2</v>
      </c>
      <c r="F218" s="221">
        <f t="shared" si="439"/>
        <v>8.3999999999999995E-3</v>
      </c>
      <c r="G218" s="221"/>
      <c r="H218" s="221">
        <f t="shared" si="404"/>
        <v>0.13019999999999998</v>
      </c>
      <c r="I218" s="551">
        <f t="shared" si="405"/>
        <v>16</v>
      </c>
      <c r="J218" s="451">
        <f t="shared" si="406"/>
        <v>16.399999999999999</v>
      </c>
      <c r="K218" s="451">
        <f t="shared" si="407"/>
        <v>32.4</v>
      </c>
      <c r="L218" s="451"/>
      <c r="M218" s="221">
        <f t="shared" si="408"/>
        <v>0.50617283950617287</v>
      </c>
      <c r="N218" s="176">
        <f t="shared" si="409"/>
        <v>15.136592592592594</v>
      </c>
      <c r="O218" s="176">
        <f t="shared" si="363"/>
        <v>0.13019999999999998</v>
      </c>
      <c r="P218" s="221">
        <f t="shared" si="410"/>
        <v>0.97655436081242541</v>
      </c>
      <c r="Q218" s="221">
        <f t="shared" si="411"/>
        <v>15.5</v>
      </c>
      <c r="R218" s="221"/>
      <c r="S218" s="176">
        <f t="shared" si="412"/>
        <v>3498.2898295240134</v>
      </c>
      <c r="T218" s="176">
        <f t="shared" si="413"/>
        <v>15.5</v>
      </c>
      <c r="U218" s="221">
        <f t="shared" si="414"/>
        <v>3.5725609756097551E-2</v>
      </c>
      <c r="V218" s="221">
        <f t="shared" si="415"/>
        <v>2.0095655487804873E-2</v>
      </c>
      <c r="W218" s="221">
        <f t="shared" si="416"/>
        <v>1.9605517549077925E-2</v>
      </c>
      <c r="X218" s="201">
        <f t="shared" si="417"/>
        <v>350</v>
      </c>
      <c r="Y218" s="451">
        <f t="shared" si="418"/>
        <v>350</v>
      </c>
      <c r="AA218" s="221">
        <f t="shared" si="419"/>
        <v>2.5710366451107194</v>
      </c>
      <c r="AB218" s="177">
        <f t="shared" si="420"/>
        <v>1.4109347442680777</v>
      </c>
      <c r="AC218" s="177">
        <f t="shared" si="421"/>
        <v>0.63482386299030114</v>
      </c>
      <c r="AD218" s="177"/>
      <c r="AE218" s="177">
        <f t="shared" si="422"/>
        <v>0.45</v>
      </c>
      <c r="AF218" s="555">
        <f t="shared" si="423"/>
        <v>45.528455284552848</v>
      </c>
      <c r="AG218" s="538">
        <f t="shared" si="424"/>
        <v>6.4574999999999994E-2</v>
      </c>
      <c r="AI218" s="177">
        <f t="shared" si="425"/>
        <v>0.29574764017091776</v>
      </c>
      <c r="AJ218" s="177">
        <f t="shared" si="426"/>
        <v>0.82</v>
      </c>
      <c r="AK218" s="177">
        <f t="shared" si="427"/>
        <v>1.0260162601626017</v>
      </c>
      <c r="AM218" s="555">
        <f t="shared" si="428"/>
        <v>8.4</v>
      </c>
      <c r="AN218" s="469">
        <f t="shared" si="429"/>
        <v>45.528455284552848</v>
      </c>
      <c r="AP218">
        <f t="shared" si="430"/>
        <v>8.4</v>
      </c>
      <c r="AQ218">
        <f t="shared" si="431"/>
        <v>45.528455284552848</v>
      </c>
      <c r="AS218" s="5">
        <f t="shared" si="364"/>
        <v>21.964285714285715</v>
      </c>
      <c r="AT218" s="5">
        <f t="shared" si="432"/>
        <v>0.46124999999999999</v>
      </c>
      <c r="AU218" s="5">
        <f t="shared" si="304"/>
        <v>21.503035714285716</v>
      </c>
      <c r="AV218" s="5"/>
      <c r="AW218" s="177">
        <f t="shared" si="305"/>
        <v>2.0999999999999998E-2</v>
      </c>
      <c r="AX218" s="177"/>
      <c r="BA218" s="469">
        <f t="shared" si="433"/>
        <v>17.856916306602201</v>
      </c>
      <c r="BB218" s="469">
        <f t="shared" si="434"/>
        <v>2.5461964222873897E-2</v>
      </c>
      <c r="BC218" s="5">
        <f t="shared" si="359"/>
        <v>0.32403880208333324</v>
      </c>
      <c r="BD218" s="469">
        <f t="shared" si="435"/>
        <v>0</v>
      </c>
      <c r="BQ218" s="538">
        <f t="shared" si="436"/>
        <v>7.5599999999999999E-3</v>
      </c>
      <c r="CG218" s="571">
        <f t="shared" si="437"/>
        <v>-50</v>
      </c>
      <c r="CH218">
        <f t="shared" si="438"/>
        <v>-50</v>
      </c>
    </row>
    <row r="219" spans="5:88" x14ac:dyDescent="0.2">
      <c r="E219" s="174">
        <v>3</v>
      </c>
      <c r="F219" s="221">
        <f t="shared" si="439"/>
        <v>1.2599999999999998E-2</v>
      </c>
      <c r="G219" s="221"/>
      <c r="H219" s="221">
        <f t="shared" si="404"/>
        <v>0.19529999999999997</v>
      </c>
      <c r="I219" s="551">
        <f t="shared" si="405"/>
        <v>16</v>
      </c>
      <c r="J219" s="451">
        <f t="shared" si="406"/>
        <v>16.399999999999999</v>
      </c>
      <c r="K219" s="451">
        <f t="shared" si="407"/>
        <v>32.4</v>
      </c>
      <c r="L219" s="451"/>
      <c r="M219" s="221">
        <f t="shared" si="408"/>
        <v>0.50617283950617287</v>
      </c>
      <c r="N219" s="176">
        <f t="shared" si="409"/>
        <v>15.136592592592594</v>
      </c>
      <c r="O219" s="176">
        <f t="shared" si="363"/>
        <v>0.19529999999999997</v>
      </c>
      <c r="P219" s="221">
        <f t="shared" si="410"/>
        <v>0.97655436081242541</v>
      </c>
      <c r="Q219" s="221">
        <f t="shared" si="411"/>
        <v>15.5</v>
      </c>
      <c r="R219" s="221"/>
      <c r="S219" s="176">
        <f t="shared" si="412"/>
        <v>2326.8633290530593</v>
      </c>
      <c r="T219" s="176">
        <f t="shared" si="413"/>
        <v>15.5</v>
      </c>
      <c r="U219" s="221">
        <f t="shared" si="414"/>
        <v>5.3588414634146327E-2</v>
      </c>
      <c r="V219" s="221">
        <f t="shared" si="415"/>
        <v>3.0143483231707312E-2</v>
      </c>
      <c r="W219" s="221">
        <f t="shared" si="416"/>
        <v>2.9408276323616891E-2</v>
      </c>
      <c r="X219" s="201">
        <f t="shared" si="417"/>
        <v>350</v>
      </c>
      <c r="Y219" s="451">
        <f t="shared" si="418"/>
        <v>350</v>
      </c>
      <c r="AA219" s="221">
        <f t="shared" si="419"/>
        <v>2.5710366451107194</v>
      </c>
      <c r="AB219" s="177">
        <f t="shared" si="420"/>
        <v>1.4109347442680777</v>
      </c>
      <c r="AC219" s="177">
        <f t="shared" si="421"/>
        <v>0.63482386299030114</v>
      </c>
      <c r="AD219" s="177"/>
      <c r="AE219" s="177">
        <f t="shared" si="422"/>
        <v>0.45</v>
      </c>
      <c r="AF219" s="555">
        <f t="shared" si="423"/>
        <v>68.292682926829258</v>
      </c>
      <c r="AG219" s="538">
        <f t="shared" si="424"/>
        <v>6.4574999999999994E-2</v>
      </c>
      <c r="AI219" s="177">
        <f t="shared" si="425"/>
        <v>0.36221540552549658</v>
      </c>
      <c r="AJ219" s="177">
        <f t="shared" si="426"/>
        <v>0.82</v>
      </c>
      <c r="AK219" s="177">
        <f t="shared" si="427"/>
        <v>1.0390243902439025</v>
      </c>
      <c r="AM219" s="555">
        <f t="shared" si="428"/>
        <v>12.599999999999998</v>
      </c>
      <c r="AN219" s="469">
        <f t="shared" si="429"/>
        <v>68.292682926829258</v>
      </c>
      <c r="AP219">
        <f t="shared" si="430"/>
        <v>12.599999999999998</v>
      </c>
      <c r="AQ219">
        <f t="shared" si="431"/>
        <v>68.292682926829258</v>
      </c>
      <c r="AS219" s="5">
        <f t="shared" si="364"/>
        <v>14.642857142857144</v>
      </c>
      <c r="AT219" s="5">
        <f t="shared" si="432"/>
        <v>0.46124999999999999</v>
      </c>
      <c r="AU219" s="5">
        <f t="shared" si="304"/>
        <v>14.181607142857144</v>
      </c>
      <c r="AV219" s="5"/>
      <c r="AW219" s="177">
        <f t="shared" si="305"/>
        <v>3.15E-2</v>
      </c>
      <c r="AX219" s="177"/>
      <c r="BA219" s="469">
        <f t="shared" si="433"/>
        <v>17.856916306602201</v>
      </c>
      <c r="BB219" s="469">
        <f t="shared" si="434"/>
        <v>4.4689419501466265E-2</v>
      </c>
      <c r="BC219" s="5">
        <f t="shared" si="359"/>
        <v>0.32056341145833328</v>
      </c>
      <c r="BD219" s="469">
        <f t="shared" si="435"/>
        <v>0</v>
      </c>
      <c r="BQ219" s="538">
        <f t="shared" si="436"/>
        <v>1.1339999999999999E-2</v>
      </c>
      <c r="CG219" s="571">
        <f t="shared" si="437"/>
        <v>-50</v>
      </c>
      <c r="CH219">
        <f t="shared" si="438"/>
        <v>-50</v>
      </c>
    </row>
    <row r="220" spans="5:88" x14ac:dyDescent="0.2">
      <c r="E220" s="174">
        <v>4</v>
      </c>
      <c r="F220" s="221">
        <f t="shared" si="439"/>
        <v>1.6799999999999999E-2</v>
      </c>
      <c r="G220" s="221"/>
      <c r="H220" s="221">
        <f t="shared" si="404"/>
        <v>0.26039999999999996</v>
      </c>
      <c r="I220" s="551">
        <f t="shared" si="405"/>
        <v>16</v>
      </c>
      <c r="J220" s="451">
        <f t="shared" si="406"/>
        <v>16.399999999999999</v>
      </c>
      <c r="K220" s="451">
        <f t="shared" si="407"/>
        <v>32.4</v>
      </c>
      <c r="L220" s="451"/>
      <c r="M220" s="221">
        <f t="shared" si="408"/>
        <v>0.50617283950617287</v>
      </c>
      <c r="N220" s="176">
        <f t="shared" si="409"/>
        <v>15.136592592592594</v>
      </c>
      <c r="O220" s="176">
        <f t="shared" si="363"/>
        <v>0.26039999999999996</v>
      </c>
      <c r="P220" s="221">
        <f t="shared" si="410"/>
        <v>0.97655436081242541</v>
      </c>
      <c r="Q220" s="221">
        <f t="shared" si="411"/>
        <v>15.5</v>
      </c>
      <c r="R220" s="221"/>
      <c r="S220" s="176">
        <f t="shared" si="412"/>
        <v>1741.1511232607725</v>
      </c>
      <c r="T220" s="176">
        <f t="shared" si="413"/>
        <v>15.5</v>
      </c>
      <c r="U220" s="221">
        <f t="shared" si="414"/>
        <v>7.1451219512195102E-2</v>
      </c>
      <c r="V220" s="221">
        <f t="shared" si="415"/>
        <v>4.0191310975609747E-2</v>
      </c>
      <c r="W220" s="221">
        <f t="shared" si="416"/>
        <v>3.921103509815585E-2</v>
      </c>
      <c r="X220" s="201">
        <f t="shared" si="417"/>
        <v>350</v>
      </c>
      <c r="Y220" s="451">
        <f t="shared" si="418"/>
        <v>350</v>
      </c>
      <c r="AA220" s="221">
        <f t="shared" si="419"/>
        <v>2.5710366451107194</v>
      </c>
      <c r="AB220" s="177">
        <f t="shared" si="420"/>
        <v>1.4109347442680777</v>
      </c>
      <c r="AC220" s="177">
        <f t="shared" si="421"/>
        <v>0.63482386299030114</v>
      </c>
      <c r="AD220" s="177"/>
      <c r="AE220" s="177">
        <f t="shared" si="422"/>
        <v>0.45</v>
      </c>
      <c r="AF220" s="555">
        <f t="shared" si="423"/>
        <v>91.056910569105696</v>
      </c>
      <c r="AG220" s="538">
        <f t="shared" si="424"/>
        <v>6.4574999999999994E-2</v>
      </c>
      <c r="AI220" s="177">
        <f t="shared" si="425"/>
        <v>0.4182503237695499</v>
      </c>
      <c r="AJ220" s="177">
        <f t="shared" si="426"/>
        <v>0.82</v>
      </c>
      <c r="AK220" s="177">
        <f t="shared" si="427"/>
        <v>1.0520325203252032</v>
      </c>
      <c r="AM220" s="555">
        <f t="shared" si="428"/>
        <v>16.8</v>
      </c>
      <c r="AN220" s="469">
        <f t="shared" si="429"/>
        <v>91.056910569105696</v>
      </c>
      <c r="AP220">
        <f t="shared" si="430"/>
        <v>16.8</v>
      </c>
      <c r="AQ220">
        <f t="shared" si="431"/>
        <v>91.056910569105696</v>
      </c>
      <c r="AS220" s="5">
        <f t="shared" si="364"/>
        <v>10.982142857142858</v>
      </c>
      <c r="AT220" s="5">
        <f t="shared" si="432"/>
        <v>0.46124999999999999</v>
      </c>
      <c r="AU220" s="5">
        <f t="shared" si="304"/>
        <v>10.520892857142858</v>
      </c>
      <c r="AV220" s="5"/>
      <c r="AW220" s="177">
        <f t="shared" si="305"/>
        <v>4.1999999999999996E-2</v>
      </c>
      <c r="AX220" s="177"/>
      <c r="BA220" s="469">
        <f t="shared" si="433"/>
        <v>17.856916306602201</v>
      </c>
      <c r="BB220" s="469">
        <f t="shared" si="434"/>
        <v>6.8247856891495595E-2</v>
      </c>
      <c r="BC220" s="5">
        <f t="shared" si="359"/>
        <v>0.31708802083333326</v>
      </c>
      <c r="BD220" s="469">
        <f t="shared" si="435"/>
        <v>0</v>
      </c>
      <c r="BQ220" s="538">
        <f t="shared" si="436"/>
        <v>1.512E-2</v>
      </c>
      <c r="CG220" s="571">
        <f t="shared" si="437"/>
        <v>-50</v>
      </c>
      <c r="CH220">
        <f t="shared" si="438"/>
        <v>-50</v>
      </c>
    </row>
    <row r="221" spans="5:88" x14ac:dyDescent="0.2">
      <c r="E221" s="174">
        <v>5</v>
      </c>
      <c r="F221" s="221">
        <f t="shared" si="439"/>
        <v>2.1000000000000001E-2</v>
      </c>
      <c r="G221" s="221"/>
      <c r="H221" s="221">
        <f t="shared" si="404"/>
        <v>0.32550000000000001</v>
      </c>
      <c r="I221" s="551">
        <f t="shared" si="405"/>
        <v>16</v>
      </c>
      <c r="J221" s="451">
        <f t="shared" si="406"/>
        <v>16.399999999999999</v>
      </c>
      <c r="K221" s="451">
        <f t="shared" si="407"/>
        <v>32.4</v>
      </c>
      <c r="L221" s="451"/>
      <c r="M221" s="221">
        <f t="shared" si="408"/>
        <v>0.50617283950617287</v>
      </c>
      <c r="N221" s="176">
        <f t="shared" si="409"/>
        <v>15.136592592592594</v>
      </c>
      <c r="O221" s="176">
        <f t="shared" si="363"/>
        <v>0.32550000000000001</v>
      </c>
      <c r="P221" s="221">
        <f t="shared" si="410"/>
        <v>0.97655436081242541</v>
      </c>
      <c r="Q221" s="221">
        <f t="shared" si="411"/>
        <v>15.5</v>
      </c>
      <c r="R221" s="221"/>
      <c r="S221" s="176">
        <f t="shared" si="412"/>
        <v>1389.7246407731402</v>
      </c>
      <c r="T221" s="176">
        <f t="shared" si="413"/>
        <v>15.5</v>
      </c>
      <c r="U221" s="221">
        <f t="shared" si="414"/>
        <v>8.9314024390243898E-2</v>
      </c>
      <c r="V221" s="221">
        <f t="shared" si="415"/>
        <v>5.0239138719512189E-2</v>
      </c>
      <c r="W221" s="221">
        <f t="shared" si="416"/>
        <v>4.9013793872694826E-2</v>
      </c>
      <c r="X221" s="201">
        <f t="shared" si="417"/>
        <v>350</v>
      </c>
      <c r="Y221" s="451">
        <f t="shared" si="418"/>
        <v>350</v>
      </c>
      <c r="AA221" s="221">
        <f t="shared" si="419"/>
        <v>2.5710366451107194</v>
      </c>
      <c r="AB221" s="177">
        <f t="shared" si="420"/>
        <v>1.4109347442680777</v>
      </c>
      <c r="AC221" s="177">
        <f t="shared" si="421"/>
        <v>0.63482386299030114</v>
      </c>
      <c r="AD221" s="177"/>
      <c r="AE221" s="177">
        <f t="shared" si="422"/>
        <v>0.45</v>
      </c>
      <c r="AF221" s="555">
        <f t="shared" si="423"/>
        <v>113.82113821138213</v>
      </c>
      <c r="AG221" s="538">
        <f t="shared" si="424"/>
        <v>6.4574999999999994E-2</v>
      </c>
      <c r="AI221" s="177">
        <f t="shared" si="425"/>
        <v>0.4676180777800048</v>
      </c>
      <c r="AJ221" s="177">
        <f t="shared" si="426"/>
        <v>0.82</v>
      </c>
      <c r="AK221" s="177">
        <f t="shared" si="427"/>
        <v>1.065040650406504</v>
      </c>
      <c r="AM221" s="555">
        <f t="shared" si="428"/>
        <v>21</v>
      </c>
      <c r="AN221" s="469">
        <f t="shared" si="429"/>
        <v>113.82113821138213</v>
      </c>
      <c r="AP221">
        <f t="shared" si="430"/>
        <v>21</v>
      </c>
      <c r="AQ221">
        <f t="shared" si="431"/>
        <v>113.82113821138213</v>
      </c>
      <c r="AS221" s="5">
        <f t="shared" si="364"/>
        <v>8.7857142857142847</v>
      </c>
      <c r="AT221" s="5">
        <f t="shared" si="432"/>
        <v>0.46124999999999999</v>
      </c>
      <c r="AU221" s="5">
        <f t="shared" si="304"/>
        <v>8.324464285714285</v>
      </c>
      <c r="AV221" s="5"/>
      <c r="AW221" s="177">
        <f t="shared" si="305"/>
        <v>5.2500000000000005E-2</v>
      </c>
      <c r="AX221" s="177"/>
      <c r="BA221" s="469">
        <f t="shared" si="433"/>
        <v>17.856916306602201</v>
      </c>
      <c r="BB221" s="469">
        <f t="shared" si="434"/>
        <v>9.6137276392961907E-2</v>
      </c>
      <c r="BC221" s="5">
        <f t="shared" si="359"/>
        <v>0.31361263020833324</v>
      </c>
      <c r="BD221" s="469">
        <f t="shared" si="435"/>
        <v>0</v>
      </c>
      <c r="BQ221" s="538">
        <f t="shared" si="436"/>
        <v>1.89E-2</v>
      </c>
      <c r="CG221" s="571">
        <f t="shared" si="437"/>
        <v>-50</v>
      </c>
      <c r="CH221">
        <f t="shared" si="438"/>
        <v>-50</v>
      </c>
    </row>
    <row r="222" spans="5:88" x14ac:dyDescent="0.2">
      <c r="E222" s="174">
        <v>6</v>
      </c>
      <c r="F222" s="221">
        <f t="shared" si="439"/>
        <v>2.5199999999999997E-2</v>
      </c>
      <c r="G222" s="221"/>
      <c r="H222" s="221">
        <f t="shared" si="404"/>
        <v>0.39059999999999995</v>
      </c>
      <c r="I222" s="551">
        <f t="shared" si="405"/>
        <v>16</v>
      </c>
      <c r="J222" s="451">
        <f t="shared" si="406"/>
        <v>16.399999999999999</v>
      </c>
      <c r="K222" s="451">
        <f t="shared" si="407"/>
        <v>32.4</v>
      </c>
      <c r="L222" s="451"/>
      <c r="M222" s="221">
        <f t="shared" si="408"/>
        <v>0.50617283950617287</v>
      </c>
      <c r="N222" s="176">
        <f t="shared" si="409"/>
        <v>15.136592592592594</v>
      </c>
      <c r="O222" s="176">
        <f t="shared" si="363"/>
        <v>0.39059999999999995</v>
      </c>
      <c r="P222" s="221">
        <f t="shared" si="410"/>
        <v>0.97655436081242541</v>
      </c>
      <c r="Q222" s="221">
        <f t="shared" si="411"/>
        <v>15.5</v>
      </c>
      <c r="R222" s="221"/>
      <c r="S222" s="176">
        <f t="shared" si="412"/>
        <v>1155.4410245022709</v>
      </c>
      <c r="T222" s="176">
        <f t="shared" si="413"/>
        <v>15.5</v>
      </c>
      <c r="U222" s="221">
        <f t="shared" si="414"/>
        <v>0.10717682926829265</v>
      </c>
      <c r="V222" s="221">
        <f t="shared" si="415"/>
        <v>6.0286966463414624E-2</v>
      </c>
      <c r="W222" s="221">
        <f t="shared" si="416"/>
        <v>5.8816552647233782E-2</v>
      </c>
      <c r="X222" s="201">
        <f t="shared" si="417"/>
        <v>350</v>
      </c>
      <c r="Y222" s="451">
        <f t="shared" si="418"/>
        <v>350</v>
      </c>
      <c r="AA222" s="221">
        <f t="shared" si="419"/>
        <v>2.5710366451107194</v>
      </c>
      <c r="AB222" s="177">
        <f t="shared" si="420"/>
        <v>1.4109347442680777</v>
      </c>
      <c r="AC222" s="177">
        <f t="shared" si="421"/>
        <v>0.63482386299030114</v>
      </c>
      <c r="AD222" s="177"/>
      <c r="AE222" s="177">
        <f t="shared" si="422"/>
        <v>0.45</v>
      </c>
      <c r="AF222" s="555">
        <f t="shared" si="423"/>
        <v>136.58536585365852</v>
      </c>
      <c r="AG222" s="538">
        <f t="shared" si="424"/>
        <v>6.4574999999999994E-2</v>
      </c>
      <c r="AI222" s="177">
        <f t="shared" si="425"/>
        <v>0.51224993899462778</v>
      </c>
      <c r="AJ222" s="177">
        <f t="shared" si="426"/>
        <v>0.82</v>
      </c>
      <c r="AK222" s="177">
        <f t="shared" si="427"/>
        <v>1.0780487804878049</v>
      </c>
      <c r="AM222" s="555">
        <f t="shared" si="428"/>
        <v>25.199999999999996</v>
      </c>
      <c r="AN222" s="469">
        <f t="shared" si="429"/>
        <v>136.58536585365852</v>
      </c>
      <c r="AP222">
        <f t="shared" si="430"/>
        <v>25.199999999999996</v>
      </c>
      <c r="AQ222">
        <f t="shared" si="431"/>
        <v>136.58536585365852</v>
      </c>
      <c r="AS222" s="5">
        <f t="shared" si="364"/>
        <v>7.3214285714285721</v>
      </c>
      <c r="AT222" s="5">
        <f t="shared" si="432"/>
        <v>0.46124999999999999</v>
      </c>
      <c r="AU222" s="5">
        <f t="shared" si="304"/>
        <v>6.8601785714285723</v>
      </c>
      <c r="AV222" s="5"/>
      <c r="AW222" s="177">
        <f t="shared" si="305"/>
        <v>6.3E-2</v>
      </c>
      <c r="AX222" s="177"/>
      <c r="BA222" s="469">
        <f t="shared" si="433"/>
        <v>17.856916306602201</v>
      </c>
      <c r="BB222" s="469">
        <f t="shared" si="434"/>
        <v>0.12835767800586509</v>
      </c>
      <c r="BC222" s="5">
        <f t="shared" si="359"/>
        <v>0.31013723958333328</v>
      </c>
      <c r="BD222" s="469">
        <f t="shared" si="435"/>
        <v>0</v>
      </c>
      <c r="BQ222" s="538">
        <f t="shared" si="436"/>
        <v>2.2679999999999999E-2</v>
      </c>
      <c r="CG222" s="571">
        <f t="shared" si="437"/>
        <v>-50</v>
      </c>
      <c r="CH222">
        <f t="shared" si="438"/>
        <v>-50</v>
      </c>
    </row>
    <row r="223" spans="5:88" x14ac:dyDescent="0.2">
      <c r="E223" s="174">
        <v>7</v>
      </c>
      <c r="F223" s="221">
        <f t="shared" si="439"/>
        <v>2.9400000000000003E-2</v>
      </c>
      <c r="G223" s="221"/>
      <c r="H223" s="221">
        <f t="shared" si="404"/>
        <v>0.45570000000000005</v>
      </c>
      <c r="I223" s="551">
        <f t="shared" si="405"/>
        <v>16</v>
      </c>
      <c r="J223" s="451">
        <f t="shared" si="406"/>
        <v>16.399999999999999</v>
      </c>
      <c r="K223" s="451">
        <f t="shared" si="407"/>
        <v>32.4</v>
      </c>
      <c r="L223" s="451"/>
      <c r="M223" s="221">
        <f t="shared" si="408"/>
        <v>0.50617283950617287</v>
      </c>
      <c r="N223" s="176">
        <f t="shared" si="409"/>
        <v>15.136592592592594</v>
      </c>
      <c r="O223" s="176">
        <f t="shared" si="363"/>
        <v>0.45570000000000005</v>
      </c>
      <c r="P223" s="221">
        <f t="shared" si="410"/>
        <v>0.97655436081242541</v>
      </c>
      <c r="Q223" s="221">
        <f t="shared" si="411"/>
        <v>15.5</v>
      </c>
      <c r="R223" s="221"/>
      <c r="S223" s="176">
        <f t="shared" si="412"/>
        <v>988.09619287088981</v>
      </c>
      <c r="T223" s="176">
        <f t="shared" si="413"/>
        <v>15.5</v>
      </c>
      <c r="U223" s="221">
        <f t="shared" si="414"/>
        <v>0.12503963414634148</v>
      </c>
      <c r="V223" s="221">
        <f t="shared" si="415"/>
        <v>7.0334794207317072E-2</v>
      </c>
      <c r="W223" s="221">
        <f t="shared" si="416"/>
        <v>6.8619311421772772E-2</v>
      </c>
      <c r="X223" s="201">
        <f t="shared" si="417"/>
        <v>350</v>
      </c>
      <c r="Y223" s="451">
        <f t="shared" si="418"/>
        <v>350</v>
      </c>
      <c r="AA223" s="221">
        <f t="shared" si="419"/>
        <v>2.5710366451107194</v>
      </c>
      <c r="AB223" s="177">
        <f t="shared" si="420"/>
        <v>1.4109347442680777</v>
      </c>
      <c r="AC223" s="177">
        <f t="shared" si="421"/>
        <v>0.63482386299030114</v>
      </c>
      <c r="AD223" s="177"/>
      <c r="AE223" s="177">
        <f t="shared" si="422"/>
        <v>0.45</v>
      </c>
      <c r="AF223" s="555">
        <f t="shared" si="423"/>
        <v>159.34959349593498</v>
      </c>
      <c r="AG223" s="538">
        <f t="shared" si="424"/>
        <v>6.4574999999999994E-2</v>
      </c>
      <c r="AI223" s="177">
        <f t="shared" si="425"/>
        <v>0.55329317123323807</v>
      </c>
      <c r="AJ223" s="177">
        <f t="shared" si="426"/>
        <v>0.82</v>
      </c>
      <c r="AK223" s="177">
        <f t="shared" si="427"/>
        <v>1.0910569105691057</v>
      </c>
      <c r="AM223" s="555">
        <f t="shared" si="428"/>
        <v>29.400000000000002</v>
      </c>
      <c r="AN223" s="469">
        <f t="shared" si="429"/>
        <v>159.34959349593498</v>
      </c>
      <c r="AP223">
        <f t="shared" si="430"/>
        <v>29.400000000000002</v>
      </c>
      <c r="AQ223">
        <f t="shared" si="431"/>
        <v>159.34959349593498</v>
      </c>
      <c r="AS223" s="5">
        <f t="shared" si="364"/>
        <v>6.2755102040816313</v>
      </c>
      <c r="AT223" s="5">
        <f t="shared" si="432"/>
        <v>0.46124999999999999</v>
      </c>
      <c r="AU223" s="5">
        <f t="shared" si="304"/>
        <v>5.8142602040816316</v>
      </c>
      <c r="AV223" s="5"/>
      <c r="AW223" s="177">
        <f t="shared" si="305"/>
        <v>7.350000000000001E-2</v>
      </c>
      <c r="AX223" s="177"/>
      <c r="BA223" s="469">
        <f t="shared" si="433"/>
        <v>17.856916306602201</v>
      </c>
      <c r="BB223" s="469">
        <f t="shared" si="434"/>
        <v>0.16490906173020531</v>
      </c>
      <c r="BC223" s="5">
        <f t="shared" si="359"/>
        <v>0.30666184895833326</v>
      </c>
      <c r="BD223" s="469">
        <f t="shared" si="435"/>
        <v>0</v>
      </c>
      <c r="BQ223" s="538">
        <f t="shared" si="436"/>
        <v>2.6460000000000004E-2</v>
      </c>
      <c r="CG223" s="571">
        <f t="shared" si="437"/>
        <v>-50</v>
      </c>
      <c r="CH223">
        <f t="shared" si="438"/>
        <v>-50</v>
      </c>
    </row>
    <row r="224" spans="5:88" x14ac:dyDescent="0.2">
      <c r="E224" s="174">
        <v>8</v>
      </c>
      <c r="F224" s="221">
        <f t="shared" si="439"/>
        <v>3.3599999999999998E-2</v>
      </c>
      <c r="G224" s="221"/>
      <c r="H224" s="221">
        <f t="shared" si="404"/>
        <v>0.52079999999999993</v>
      </c>
      <c r="I224" s="551">
        <f t="shared" si="405"/>
        <v>16</v>
      </c>
      <c r="J224" s="451">
        <f t="shared" si="406"/>
        <v>16.399999999999999</v>
      </c>
      <c r="K224" s="451">
        <f t="shared" si="407"/>
        <v>32.4</v>
      </c>
      <c r="L224" s="451"/>
      <c r="M224" s="221">
        <f t="shared" si="408"/>
        <v>0.50617283950617287</v>
      </c>
      <c r="N224" s="176">
        <f t="shared" si="409"/>
        <v>15.136592592592594</v>
      </c>
      <c r="O224" s="176">
        <f t="shared" si="363"/>
        <v>0.52079999999999993</v>
      </c>
      <c r="P224" s="221">
        <f t="shared" si="410"/>
        <v>0.97655436081242541</v>
      </c>
      <c r="Q224" s="221">
        <f t="shared" si="411"/>
        <v>15.5</v>
      </c>
      <c r="R224" s="221"/>
      <c r="S224" s="176">
        <f t="shared" si="412"/>
        <v>862.58810511846468</v>
      </c>
      <c r="T224" s="176">
        <f t="shared" si="413"/>
        <v>15.5</v>
      </c>
      <c r="U224" s="221">
        <f t="shared" si="414"/>
        <v>0.1429024390243902</v>
      </c>
      <c r="V224" s="221">
        <f t="shared" si="415"/>
        <v>8.0382621951219493E-2</v>
      </c>
      <c r="W224" s="221">
        <f t="shared" si="416"/>
        <v>7.84220701963117E-2</v>
      </c>
      <c r="X224" s="201">
        <f t="shared" si="417"/>
        <v>350</v>
      </c>
      <c r="Y224" s="451">
        <f t="shared" si="418"/>
        <v>350</v>
      </c>
      <c r="AA224" s="221">
        <f t="shared" si="419"/>
        <v>2.5710366451107194</v>
      </c>
      <c r="AB224" s="177">
        <f t="shared" si="420"/>
        <v>1.4109347442680777</v>
      </c>
      <c r="AC224" s="177">
        <f t="shared" si="421"/>
        <v>0.63482386299030114</v>
      </c>
      <c r="AD224" s="177"/>
      <c r="AE224" s="177">
        <f t="shared" si="422"/>
        <v>0.45</v>
      </c>
      <c r="AF224" s="555">
        <f t="shared" si="423"/>
        <v>182.11382113821139</v>
      </c>
      <c r="AG224" s="538">
        <f t="shared" si="424"/>
        <v>6.4574999999999994E-2</v>
      </c>
      <c r="AI224" s="177">
        <f t="shared" si="425"/>
        <v>0.59149528034183552</v>
      </c>
      <c r="AJ224" s="177">
        <f t="shared" si="426"/>
        <v>0.82</v>
      </c>
      <c r="AK224" s="177">
        <f t="shared" si="427"/>
        <v>1.1040650406504064</v>
      </c>
      <c r="AM224" s="555">
        <f t="shared" si="428"/>
        <v>33.6</v>
      </c>
      <c r="AN224" s="469">
        <f t="shared" si="429"/>
        <v>182.11382113821139</v>
      </c>
      <c r="AP224">
        <f t="shared" si="430"/>
        <v>33.6</v>
      </c>
      <c r="AQ224">
        <f t="shared" si="431"/>
        <v>182.11382113821139</v>
      </c>
      <c r="AS224" s="5">
        <f t="shared" si="364"/>
        <v>5.4910714285714288</v>
      </c>
      <c r="AT224" s="5">
        <f t="shared" si="432"/>
        <v>0.46124999999999999</v>
      </c>
      <c r="AU224" s="5">
        <f t="shared" si="304"/>
        <v>5.0298214285714291</v>
      </c>
      <c r="AV224" s="5"/>
      <c r="AW224" s="177">
        <f t="shared" si="305"/>
        <v>8.3999999999999991E-2</v>
      </c>
      <c r="AX224" s="177"/>
      <c r="BA224" s="469">
        <f t="shared" si="433"/>
        <v>17.856916306602201</v>
      </c>
      <c r="BB224" s="469">
        <f t="shared" si="434"/>
        <v>0.2057914275659824</v>
      </c>
      <c r="BC224" s="5">
        <f t="shared" si="359"/>
        <v>0.30318645833333324</v>
      </c>
      <c r="BD224" s="469">
        <f t="shared" si="435"/>
        <v>0</v>
      </c>
      <c r="BQ224" s="538">
        <f t="shared" si="436"/>
        <v>3.024E-2</v>
      </c>
      <c r="CG224" s="571">
        <f t="shared" si="437"/>
        <v>-50</v>
      </c>
      <c r="CH224">
        <f t="shared" si="438"/>
        <v>-50</v>
      </c>
    </row>
    <row r="225" spans="5:86" x14ac:dyDescent="0.2">
      <c r="E225" s="174">
        <v>9</v>
      </c>
      <c r="F225" s="221">
        <f t="shared" si="439"/>
        <v>3.78E-2</v>
      </c>
      <c r="G225" s="221"/>
      <c r="H225" s="221">
        <f t="shared" si="404"/>
        <v>0.58589999999999998</v>
      </c>
      <c r="I225" s="551">
        <f t="shared" si="405"/>
        <v>16</v>
      </c>
      <c r="J225" s="451">
        <f t="shared" si="406"/>
        <v>16.399999999999999</v>
      </c>
      <c r="K225" s="451">
        <f t="shared" si="407"/>
        <v>32.4</v>
      </c>
      <c r="L225" s="451"/>
      <c r="M225" s="221">
        <f t="shared" si="408"/>
        <v>0.50617283950617287</v>
      </c>
      <c r="N225" s="176">
        <f t="shared" si="409"/>
        <v>15.136592592592594</v>
      </c>
      <c r="O225" s="176">
        <f t="shared" si="363"/>
        <v>0.58589999999999998</v>
      </c>
      <c r="P225" s="221">
        <f t="shared" si="410"/>
        <v>0.97655436081242541</v>
      </c>
      <c r="Q225" s="221">
        <f t="shared" si="411"/>
        <v>15.5</v>
      </c>
      <c r="R225" s="221"/>
      <c r="S225" s="176">
        <f t="shared" si="412"/>
        <v>764.97118306991479</v>
      </c>
      <c r="T225" s="176">
        <f t="shared" si="413"/>
        <v>15.5</v>
      </c>
      <c r="U225" s="221">
        <f t="shared" si="414"/>
        <v>0.16076524390243901</v>
      </c>
      <c r="V225" s="221">
        <f t="shared" si="415"/>
        <v>9.0430449695121956E-2</v>
      </c>
      <c r="W225" s="221">
        <f t="shared" si="416"/>
        <v>8.8224828970850697E-2</v>
      </c>
      <c r="X225" s="201">
        <f t="shared" si="417"/>
        <v>350</v>
      </c>
      <c r="Y225" s="451">
        <f t="shared" si="418"/>
        <v>350</v>
      </c>
      <c r="AA225" s="221">
        <f t="shared" si="419"/>
        <v>2.5710366451107194</v>
      </c>
      <c r="AB225" s="177">
        <f t="shared" si="420"/>
        <v>1.4109347442680777</v>
      </c>
      <c r="AC225" s="177">
        <f t="shared" si="421"/>
        <v>0.63482386299030114</v>
      </c>
      <c r="AD225" s="177"/>
      <c r="AE225" s="177">
        <f t="shared" si="422"/>
        <v>0.45</v>
      </c>
      <c r="AF225" s="555">
        <f t="shared" si="423"/>
        <v>204.87804878048783</v>
      </c>
      <c r="AG225" s="538">
        <f t="shared" si="424"/>
        <v>6.4574999999999994E-2</v>
      </c>
      <c r="AI225" s="177">
        <f t="shared" si="425"/>
        <v>0.62737548565432488</v>
      </c>
      <c r="AJ225" s="177">
        <f t="shared" si="426"/>
        <v>0.82</v>
      </c>
      <c r="AK225" s="177">
        <f t="shared" si="427"/>
        <v>1.1170731707317074</v>
      </c>
      <c r="AM225" s="555">
        <f t="shared" si="428"/>
        <v>37.799999999999997</v>
      </c>
      <c r="AN225" s="469">
        <f t="shared" si="429"/>
        <v>204.87804878048783</v>
      </c>
      <c r="AP225">
        <f t="shared" si="430"/>
        <v>37.799999999999997</v>
      </c>
      <c r="AQ225">
        <f t="shared" si="431"/>
        <v>204.87804878048783</v>
      </c>
      <c r="AS225" s="5">
        <f t="shared" si="364"/>
        <v>4.8809523809523796</v>
      </c>
      <c r="AT225" s="5">
        <f t="shared" si="432"/>
        <v>0.46124999999999999</v>
      </c>
      <c r="AU225" s="5">
        <f t="shared" si="304"/>
        <v>4.4197023809523799</v>
      </c>
      <c r="AV225" s="5"/>
      <c r="AW225" s="177">
        <f t="shared" si="305"/>
        <v>9.4500000000000028E-2</v>
      </c>
      <c r="AX225" s="177"/>
      <c r="BA225" s="469">
        <f t="shared" si="433"/>
        <v>17.856916306602201</v>
      </c>
      <c r="BB225" s="469">
        <f t="shared" si="434"/>
        <v>0.25100477551319655</v>
      </c>
      <c r="BC225" s="5">
        <f t="shared" si="359"/>
        <v>0.29971106770833317</v>
      </c>
      <c r="BD225" s="469">
        <f t="shared" si="435"/>
        <v>0</v>
      </c>
      <c r="BQ225" s="538">
        <f t="shared" si="436"/>
        <v>3.4020000000000002E-2</v>
      </c>
      <c r="CG225" s="571">
        <f t="shared" si="437"/>
        <v>-50</v>
      </c>
      <c r="CH225">
        <f t="shared" si="438"/>
        <v>-50</v>
      </c>
    </row>
    <row r="226" spans="5:86" x14ac:dyDescent="0.2">
      <c r="E226" s="174">
        <v>10</v>
      </c>
      <c r="F226" s="221">
        <f t="shared" si="439"/>
        <v>4.2000000000000003E-2</v>
      </c>
      <c r="G226" s="221"/>
      <c r="H226" s="221">
        <f t="shared" si="404"/>
        <v>0.65100000000000002</v>
      </c>
      <c r="I226" s="551">
        <f t="shared" si="405"/>
        <v>16</v>
      </c>
      <c r="J226" s="451">
        <f t="shared" si="406"/>
        <v>16.399999999999999</v>
      </c>
      <c r="K226" s="451">
        <f t="shared" si="407"/>
        <v>32.4</v>
      </c>
      <c r="L226" s="451"/>
      <c r="M226" s="221">
        <f t="shared" si="408"/>
        <v>0.50617283950617287</v>
      </c>
      <c r="N226" s="176">
        <f t="shared" si="409"/>
        <v>15.136592592592594</v>
      </c>
      <c r="O226" s="176">
        <f t="shared" si="363"/>
        <v>0.65100000000000002</v>
      </c>
      <c r="P226" s="221">
        <f t="shared" si="410"/>
        <v>0.97655436081242541</v>
      </c>
      <c r="Q226" s="221">
        <f t="shared" si="411"/>
        <v>15.5</v>
      </c>
      <c r="R226" s="221"/>
      <c r="S226" s="176">
        <f t="shared" si="412"/>
        <v>686.87807984310098</v>
      </c>
      <c r="T226" s="176">
        <f t="shared" si="413"/>
        <v>15.5</v>
      </c>
      <c r="U226" s="221">
        <f t="shared" si="414"/>
        <v>0.1786280487804878</v>
      </c>
      <c r="V226" s="221">
        <f t="shared" si="415"/>
        <v>0.10047827743902438</v>
      </c>
      <c r="W226" s="221">
        <f t="shared" si="416"/>
        <v>9.8027587745389652E-2</v>
      </c>
      <c r="X226" s="201">
        <f t="shared" si="417"/>
        <v>350</v>
      </c>
      <c r="Y226" s="451">
        <f t="shared" si="418"/>
        <v>350</v>
      </c>
      <c r="AA226" s="221">
        <f t="shared" si="419"/>
        <v>2.5710366451107194</v>
      </c>
      <c r="AB226" s="177">
        <f t="shared" si="420"/>
        <v>1.4109347442680777</v>
      </c>
      <c r="AC226" s="177">
        <f t="shared" si="421"/>
        <v>0.63482386299030114</v>
      </c>
      <c r="AD226" s="177"/>
      <c r="AE226" s="177">
        <f t="shared" si="422"/>
        <v>0.45</v>
      </c>
      <c r="AF226" s="555">
        <f t="shared" si="423"/>
        <v>227.64227642276427</v>
      </c>
      <c r="AG226" s="538">
        <f t="shared" si="424"/>
        <v>6.4574999999999994E-2</v>
      </c>
      <c r="AI226" s="177">
        <f t="shared" si="425"/>
        <v>0.66131182760731966</v>
      </c>
      <c r="AJ226" s="177">
        <f t="shared" si="426"/>
        <v>0.82</v>
      </c>
      <c r="AK226" s="177">
        <f t="shared" si="427"/>
        <v>1.1300813008130082</v>
      </c>
      <c r="AM226" s="555">
        <f t="shared" si="428"/>
        <v>42</v>
      </c>
      <c r="AN226" s="469">
        <f t="shared" si="429"/>
        <v>227.64227642276427</v>
      </c>
      <c r="AP226">
        <f t="shared" si="430"/>
        <v>42</v>
      </c>
      <c r="AQ226">
        <f t="shared" si="431"/>
        <v>227.64227642276427</v>
      </c>
      <c r="AS226" s="5">
        <f t="shared" si="364"/>
        <v>4.3928571428571423</v>
      </c>
      <c r="AT226" s="5">
        <f t="shared" si="432"/>
        <v>0.46124999999999999</v>
      </c>
      <c r="AU226" s="5">
        <f t="shared" si="304"/>
        <v>3.9316071428571422</v>
      </c>
      <c r="AV226" s="5"/>
      <c r="AW226" s="177">
        <f t="shared" si="305"/>
        <v>0.10500000000000001</v>
      </c>
      <c r="AX226" s="177"/>
      <c r="BA226" s="469">
        <f t="shared" si="433"/>
        <v>17.856916306602201</v>
      </c>
      <c r="BB226" s="469">
        <f t="shared" si="434"/>
        <v>0.30054910557184761</v>
      </c>
      <c r="BC226" s="5">
        <f t="shared" si="359"/>
        <v>0.29623567708333326</v>
      </c>
      <c r="BD226" s="469">
        <f t="shared" si="435"/>
        <v>0</v>
      </c>
      <c r="BQ226" s="538">
        <f t="shared" si="436"/>
        <v>3.78E-2</v>
      </c>
      <c r="CG226" s="571">
        <f t="shared" si="437"/>
        <v>-50</v>
      </c>
      <c r="CH226">
        <f t="shared" si="438"/>
        <v>-50</v>
      </c>
    </row>
    <row r="227" spans="5:86" x14ac:dyDescent="0.2">
      <c r="E227" s="174">
        <v>11</v>
      </c>
      <c r="F227" s="221">
        <f t="shared" si="439"/>
        <v>4.6199999999999998E-2</v>
      </c>
      <c r="G227" s="221"/>
      <c r="H227" s="221">
        <f t="shared" si="404"/>
        <v>0.71609999999999996</v>
      </c>
      <c r="I227" s="551">
        <f t="shared" si="405"/>
        <v>16</v>
      </c>
      <c r="J227" s="451">
        <f t="shared" si="406"/>
        <v>16.399999999999999</v>
      </c>
      <c r="K227" s="451">
        <f t="shared" si="407"/>
        <v>32.4</v>
      </c>
      <c r="L227" s="451"/>
      <c r="M227" s="221">
        <f t="shared" si="408"/>
        <v>0.50617283950617287</v>
      </c>
      <c r="N227" s="176">
        <f t="shared" si="409"/>
        <v>15.136592592592594</v>
      </c>
      <c r="O227" s="176">
        <f t="shared" si="363"/>
        <v>0.71609999999999996</v>
      </c>
      <c r="P227" s="221">
        <f t="shared" si="410"/>
        <v>0.97655436081242541</v>
      </c>
      <c r="Q227" s="221">
        <f t="shared" si="411"/>
        <v>15.5</v>
      </c>
      <c r="R227" s="221"/>
      <c r="S227" s="176">
        <f t="shared" si="412"/>
        <v>622.98412017040857</v>
      </c>
      <c r="T227" s="176">
        <f t="shared" si="413"/>
        <v>15.5</v>
      </c>
      <c r="U227" s="221">
        <f t="shared" si="414"/>
        <v>0.19649085365853655</v>
      </c>
      <c r="V227" s="221">
        <f t="shared" si="415"/>
        <v>0.11052610518292681</v>
      </c>
      <c r="W227" s="221">
        <f t="shared" si="416"/>
        <v>0.10783034651992861</v>
      </c>
      <c r="X227" s="201">
        <f t="shared" si="417"/>
        <v>350</v>
      </c>
      <c r="Y227" s="451">
        <f t="shared" si="418"/>
        <v>350</v>
      </c>
      <c r="AA227" s="221">
        <f t="shared" si="419"/>
        <v>2.5710366451107194</v>
      </c>
      <c r="AB227" s="177">
        <f t="shared" si="420"/>
        <v>1.4109347442680777</v>
      </c>
      <c r="AC227" s="177">
        <f t="shared" si="421"/>
        <v>0.63482386299030114</v>
      </c>
      <c r="AD227" s="177"/>
      <c r="AE227" s="177">
        <f t="shared" si="422"/>
        <v>0.45</v>
      </c>
      <c r="AF227" s="555">
        <f t="shared" si="423"/>
        <v>250.40650406504065</v>
      </c>
      <c r="AG227" s="538">
        <f t="shared" si="424"/>
        <v>6.4574999999999994E-2</v>
      </c>
      <c r="AI227" s="177">
        <f t="shared" si="425"/>
        <v>0.6935896961941308</v>
      </c>
      <c r="AJ227" s="177">
        <f t="shared" si="426"/>
        <v>0.82</v>
      </c>
      <c r="AK227" s="177">
        <f t="shared" si="427"/>
        <v>1.1430894308943089</v>
      </c>
      <c r="AM227" s="555">
        <f t="shared" si="428"/>
        <v>46.199999999999996</v>
      </c>
      <c r="AN227" s="469">
        <f t="shared" si="429"/>
        <v>250.40650406504065</v>
      </c>
      <c r="AP227">
        <f t="shared" si="430"/>
        <v>46.199999999999996</v>
      </c>
      <c r="AQ227">
        <f t="shared" si="431"/>
        <v>250.40650406504065</v>
      </c>
      <c r="AS227" s="5">
        <f t="shared" si="364"/>
        <v>3.9935064935064934</v>
      </c>
      <c r="AT227" s="5">
        <f t="shared" si="432"/>
        <v>0.46124999999999999</v>
      </c>
      <c r="AU227" s="5">
        <f t="shared" si="304"/>
        <v>3.5322564935064933</v>
      </c>
      <c r="AV227" s="5"/>
      <c r="AW227" s="177">
        <f t="shared" si="305"/>
        <v>0.11550000000000001</v>
      </c>
      <c r="AX227" s="177"/>
      <c r="BA227" s="469">
        <f t="shared" si="433"/>
        <v>17.856916306602201</v>
      </c>
      <c r="BB227" s="469">
        <f t="shared" si="434"/>
        <v>0.3544244177419355</v>
      </c>
      <c r="BC227" s="5">
        <f t="shared" si="359"/>
        <v>0.2927602864583333</v>
      </c>
      <c r="BD227" s="469">
        <f t="shared" si="435"/>
        <v>0</v>
      </c>
      <c r="BQ227" s="538">
        <f t="shared" si="436"/>
        <v>4.1579999999999999E-2</v>
      </c>
      <c r="CG227" s="571">
        <f t="shared" si="437"/>
        <v>-50</v>
      </c>
      <c r="CH227">
        <f t="shared" si="438"/>
        <v>-50</v>
      </c>
    </row>
    <row r="228" spans="5:86" x14ac:dyDescent="0.2">
      <c r="E228" s="174">
        <v>12</v>
      </c>
      <c r="F228" s="221">
        <f t="shared" si="439"/>
        <v>5.0399999999999993E-2</v>
      </c>
      <c r="G228" s="221"/>
      <c r="H228" s="221">
        <f t="shared" si="404"/>
        <v>0.78119999999999989</v>
      </c>
      <c r="I228" s="551">
        <f t="shared" si="405"/>
        <v>16</v>
      </c>
      <c r="J228" s="451">
        <f t="shared" si="406"/>
        <v>16.399999999999999</v>
      </c>
      <c r="K228" s="451">
        <f t="shared" si="407"/>
        <v>32.4</v>
      </c>
      <c r="L228" s="451"/>
      <c r="M228" s="221">
        <f t="shared" si="408"/>
        <v>0.50617283950617287</v>
      </c>
      <c r="N228" s="176">
        <f t="shared" si="409"/>
        <v>15.136592592592594</v>
      </c>
      <c r="O228" s="176">
        <f t="shared" si="363"/>
        <v>0.78119999999999989</v>
      </c>
      <c r="P228" s="221">
        <f t="shared" si="410"/>
        <v>0.97655436081242541</v>
      </c>
      <c r="Q228" s="221">
        <f t="shared" si="411"/>
        <v>15.5</v>
      </c>
      <c r="R228" s="221"/>
      <c r="S228" s="176">
        <f t="shared" si="412"/>
        <v>569.73952055954464</v>
      </c>
      <c r="T228" s="176">
        <f t="shared" si="413"/>
        <v>15.5</v>
      </c>
      <c r="U228" s="221">
        <f t="shared" si="414"/>
        <v>0.21435365853658531</v>
      </c>
      <c r="V228" s="221">
        <f t="shared" si="415"/>
        <v>0.12057393292682925</v>
      </c>
      <c r="W228" s="221">
        <f t="shared" si="416"/>
        <v>0.11763310529446756</v>
      </c>
      <c r="X228" s="201">
        <f t="shared" si="417"/>
        <v>350</v>
      </c>
      <c r="Y228" s="451">
        <f t="shared" si="418"/>
        <v>350</v>
      </c>
      <c r="AA228" s="221">
        <f t="shared" si="419"/>
        <v>2.5710366451107194</v>
      </c>
      <c r="AB228" s="177">
        <f t="shared" si="420"/>
        <v>1.4109347442680777</v>
      </c>
      <c r="AC228" s="177">
        <f t="shared" si="421"/>
        <v>0.63482386299030114</v>
      </c>
      <c r="AD228" s="177"/>
      <c r="AE228" s="177">
        <f t="shared" si="422"/>
        <v>0.45</v>
      </c>
      <c r="AF228" s="555">
        <f t="shared" si="423"/>
        <v>273.17073170731703</v>
      </c>
      <c r="AG228" s="538">
        <f t="shared" si="424"/>
        <v>6.4574999999999994E-2</v>
      </c>
      <c r="AI228" s="177">
        <f t="shared" si="425"/>
        <v>0.72443081105099316</v>
      </c>
      <c r="AJ228" s="177">
        <f t="shared" si="426"/>
        <v>0.82</v>
      </c>
      <c r="AK228" s="177">
        <f t="shared" si="427"/>
        <v>1.1560975609756097</v>
      </c>
      <c r="AM228" s="555">
        <f t="shared" si="428"/>
        <v>50.399999999999991</v>
      </c>
      <c r="AN228" s="469">
        <f t="shared" si="429"/>
        <v>273.17073170731703</v>
      </c>
      <c r="AP228">
        <f t="shared" si="430"/>
        <v>50.399999999999991</v>
      </c>
      <c r="AQ228">
        <f t="shared" si="431"/>
        <v>273.17073170731703</v>
      </c>
      <c r="AS228" s="5">
        <f t="shared" si="364"/>
        <v>3.660714285714286</v>
      </c>
      <c r="AT228" s="5">
        <f t="shared" si="432"/>
        <v>0.46124999999999999</v>
      </c>
      <c r="AU228" s="5">
        <f t="shared" si="304"/>
        <v>3.1994642857142859</v>
      </c>
      <c r="AV228" s="5"/>
      <c r="AW228" s="177">
        <f t="shared" si="305"/>
        <v>0.126</v>
      </c>
      <c r="AX228" s="177"/>
      <c r="BA228" s="469">
        <f t="shared" si="433"/>
        <v>17.856916306602201</v>
      </c>
      <c r="BB228" s="469">
        <f t="shared" si="434"/>
        <v>0.41263071202346036</v>
      </c>
      <c r="BC228" s="5">
        <f t="shared" si="359"/>
        <v>0.28928489583333328</v>
      </c>
      <c r="BD228" s="469">
        <f t="shared" si="435"/>
        <v>0</v>
      </c>
      <c r="BQ228" s="538">
        <f t="shared" si="436"/>
        <v>4.5359999999999998E-2</v>
      </c>
      <c r="CG228" s="571">
        <f t="shared" si="437"/>
        <v>-50</v>
      </c>
      <c r="CH228">
        <f t="shared" si="438"/>
        <v>-50</v>
      </c>
    </row>
    <row r="229" spans="5:86" x14ac:dyDescent="0.2">
      <c r="E229" s="174">
        <v>13</v>
      </c>
      <c r="F229" s="221">
        <f t="shared" si="439"/>
        <v>5.4600000000000003E-2</v>
      </c>
      <c r="G229" s="221"/>
      <c r="H229" s="221">
        <f t="shared" si="404"/>
        <v>0.84630000000000005</v>
      </c>
      <c r="I229" s="551">
        <f t="shared" si="405"/>
        <v>16</v>
      </c>
      <c r="J229" s="451">
        <f t="shared" si="406"/>
        <v>16.399999999999999</v>
      </c>
      <c r="K229" s="451">
        <f t="shared" si="407"/>
        <v>32.4</v>
      </c>
      <c r="L229" s="451"/>
      <c r="M229" s="221">
        <f t="shared" si="408"/>
        <v>0.50617283950617287</v>
      </c>
      <c r="N229" s="176">
        <f t="shared" si="409"/>
        <v>15.136592592592594</v>
      </c>
      <c r="O229" s="176">
        <f t="shared" si="363"/>
        <v>0.84630000000000005</v>
      </c>
      <c r="P229" s="221">
        <f t="shared" si="410"/>
        <v>0.97655436081242541</v>
      </c>
      <c r="Q229" s="221">
        <f t="shared" si="411"/>
        <v>15.5</v>
      </c>
      <c r="R229" s="221"/>
      <c r="S229" s="176">
        <f t="shared" si="412"/>
        <v>524.6867386108911</v>
      </c>
      <c r="T229" s="176">
        <f t="shared" si="413"/>
        <v>15.5</v>
      </c>
      <c r="U229" s="221">
        <f t="shared" si="414"/>
        <v>0.23221646341463414</v>
      </c>
      <c r="V229" s="221">
        <f t="shared" si="415"/>
        <v>0.13062176067073172</v>
      </c>
      <c r="W229" s="221">
        <f t="shared" si="416"/>
        <v>0.12743586406900656</v>
      </c>
      <c r="X229" s="201">
        <f t="shared" si="417"/>
        <v>350</v>
      </c>
      <c r="Y229" s="451">
        <f t="shared" si="418"/>
        <v>350</v>
      </c>
      <c r="AA229" s="221">
        <f t="shared" si="419"/>
        <v>2.5710366451107194</v>
      </c>
      <c r="AB229" s="177">
        <f t="shared" si="420"/>
        <v>1.4109347442680777</v>
      </c>
      <c r="AC229" s="177">
        <f t="shared" si="421"/>
        <v>0.63482386299030114</v>
      </c>
      <c r="AD229" s="177"/>
      <c r="AE229" s="177">
        <f t="shared" si="422"/>
        <v>0.45</v>
      </c>
      <c r="AF229" s="555">
        <f t="shared" si="423"/>
        <v>295.9349593495935</v>
      </c>
      <c r="AG229" s="538">
        <f t="shared" si="424"/>
        <v>6.4574999999999994E-2</v>
      </c>
      <c r="AI229" s="177">
        <f t="shared" si="425"/>
        <v>0.75401149416526347</v>
      </c>
      <c r="AJ229" s="177">
        <f t="shared" si="426"/>
        <v>0.82</v>
      </c>
      <c r="AK229" s="177">
        <f t="shared" si="427"/>
        <v>1.1691056910569106</v>
      </c>
      <c r="AM229" s="555">
        <f t="shared" si="428"/>
        <v>54.6</v>
      </c>
      <c r="AN229" s="469">
        <f t="shared" si="429"/>
        <v>295.9349593495935</v>
      </c>
      <c r="AP229">
        <f t="shared" si="430"/>
        <v>54.6</v>
      </c>
      <c r="AQ229">
        <f t="shared" si="431"/>
        <v>295.9349593495935</v>
      </c>
      <c r="AS229" s="5">
        <f t="shared" si="364"/>
        <v>3.3791208791208791</v>
      </c>
      <c r="AT229" s="5">
        <f t="shared" si="432"/>
        <v>0.46124999999999999</v>
      </c>
      <c r="AU229" s="5">
        <f t="shared" si="304"/>
        <v>2.9178708791208789</v>
      </c>
      <c r="AV229" s="5"/>
      <c r="AW229" s="177">
        <f t="shared" si="305"/>
        <v>0.13650000000000001</v>
      </c>
      <c r="AX229" s="177"/>
      <c r="BA229" s="469">
        <f t="shared" si="433"/>
        <v>17.856916306602201</v>
      </c>
      <c r="BB229" s="469">
        <f t="shared" si="434"/>
        <v>0.47516798841642244</v>
      </c>
      <c r="BC229" s="5">
        <f t="shared" si="359"/>
        <v>0.28580950520833331</v>
      </c>
      <c r="BD229" s="469">
        <f t="shared" si="435"/>
        <v>0</v>
      </c>
      <c r="BQ229" s="538">
        <f t="shared" si="436"/>
        <v>4.9140000000000003E-2</v>
      </c>
      <c r="CG229" s="571">
        <f t="shared" si="437"/>
        <v>-50</v>
      </c>
      <c r="CH229">
        <f t="shared" si="438"/>
        <v>-50</v>
      </c>
    </row>
    <row r="230" spans="5:86" x14ac:dyDescent="0.2">
      <c r="E230" s="174">
        <v>14</v>
      </c>
      <c r="F230" s="221">
        <f t="shared" si="439"/>
        <v>5.8800000000000005E-2</v>
      </c>
      <c r="G230" s="221"/>
      <c r="H230" s="221">
        <f t="shared" si="404"/>
        <v>0.9114000000000001</v>
      </c>
      <c r="I230" s="551">
        <f t="shared" si="405"/>
        <v>16</v>
      </c>
      <c r="J230" s="451">
        <f t="shared" si="406"/>
        <v>16.399999999999999</v>
      </c>
      <c r="K230" s="451">
        <f t="shared" si="407"/>
        <v>32.4</v>
      </c>
      <c r="L230" s="451"/>
      <c r="M230" s="221">
        <f t="shared" si="408"/>
        <v>0.50617283950617287</v>
      </c>
      <c r="N230" s="176">
        <f t="shared" si="409"/>
        <v>15.136592592592594</v>
      </c>
      <c r="O230" s="176">
        <f t="shared" si="363"/>
        <v>0.9114000000000001</v>
      </c>
      <c r="P230" s="221">
        <f t="shared" si="410"/>
        <v>0.97655436081242541</v>
      </c>
      <c r="Q230" s="221">
        <f t="shared" si="411"/>
        <v>15.5</v>
      </c>
      <c r="R230" s="221"/>
      <c r="S230" s="176">
        <f t="shared" si="412"/>
        <v>486.070386913135</v>
      </c>
      <c r="T230" s="176">
        <f t="shared" si="413"/>
        <v>15.5</v>
      </c>
      <c r="U230" s="221">
        <f t="shared" si="414"/>
        <v>0.25007926829268295</v>
      </c>
      <c r="V230" s="221">
        <f t="shared" si="415"/>
        <v>0.14066958841463414</v>
      </c>
      <c r="W230" s="221">
        <f t="shared" si="416"/>
        <v>0.13723862284354554</v>
      </c>
      <c r="X230" s="201">
        <f t="shared" si="417"/>
        <v>350</v>
      </c>
      <c r="Y230" s="451">
        <f t="shared" si="418"/>
        <v>350</v>
      </c>
      <c r="AA230" s="221">
        <f t="shared" si="419"/>
        <v>2.5710366451107194</v>
      </c>
      <c r="AB230" s="177">
        <f t="shared" si="420"/>
        <v>1.4109347442680777</v>
      </c>
      <c r="AC230" s="177">
        <f t="shared" si="421"/>
        <v>0.63482386299030114</v>
      </c>
      <c r="AD230" s="177"/>
      <c r="AE230" s="177">
        <f t="shared" si="422"/>
        <v>0.45</v>
      </c>
      <c r="AF230" s="555">
        <f t="shared" si="423"/>
        <v>318.69918699186996</v>
      </c>
      <c r="AG230" s="538">
        <f t="shared" si="424"/>
        <v>6.4574999999999994E-2</v>
      </c>
      <c r="AI230" s="177">
        <f t="shared" si="425"/>
        <v>0.78247470672646446</v>
      </c>
      <c r="AJ230" s="177">
        <f t="shared" si="426"/>
        <v>0.82</v>
      </c>
      <c r="AK230" s="177">
        <f t="shared" si="427"/>
        <v>1.1821138211382114</v>
      </c>
      <c r="AM230" s="555">
        <f t="shared" si="428"/>
        <v>58.800000000000004</v>
      </c>
      <c r="AN230" s="469">
        <f t="shared" si="429"/>
        <v>318.69918699186996</v>
      </c>
      <c r="AP230">
        <f t="shared" si="430"/>
        <v>58.800000000000004</v>
      </c>
      <c r="AQ230">
        <f t="shared" si="431"/>
        <v>318.69918699186996</v>
      </c>
      <c r="AS230" s="5">
        <f t="shared" si="364"/>
        <v>3.1377551020408156</v>
      </c>
      <c r="AT230" s="5">
        <f t="shared" si="432"/>
        <v>0.46124999999999999</v>
      </c>
      <c r="AU230" s="5">
        <f t="shared" si="304"/>
        <v>2.6765051020408155</v>
      </c>
      <c r="AV230" s="5"/>
      <c r="AW230" s="177">
        <f t="shared" si="305"/>
        <v>0.14700000000000002</v>
      </c>
      <c r="AX230" s="177"/>
      <c r="BA230" s="469">
        <f t="shared" si="433"/>
        <v>17.856916306602201</v>
      </c>
      <c r="BB230" s="469">
        <f t="shared" si="434"/>
        <v>0.54203624692082131</v>
      </c>
      <c r="BC230" s="5">
        <f t="shared" si="359"/>
        <v>0.28233411458333324</v>
      </c>
      <c r="BD230" s="469">
        <f t="shared" si="435"/>
        <v>0</v>
      </c>
      <c r="BQ230" s="538">
        <f t="shared" si="436"/>
        <v>5.2920000000000009E-2</v>
      </c>
      <c r="CG230" s="571">
        <f t="shared" si="437"/>
        <v>-50</v>
      </c>
      <c r="CH230">
        <f t="shared" si="438"/>
        <v>-50</v>
      </c>
    </row>
    <row r="231" spans="5:86" x14ac:dyDescent="0.2">
      <c r="E231" s="174">
        <v>15</v>
      </c>
      <c r="F231" s="221">
        <f t="shared" si="439"/>
        <v>6.3E-2</v>
      </c>
      <c r="G231" s="221"/>
      <c r="H231" s="221">
        <f t="shared" si="404"/>
        <v>0.97650000000000003</v>
      </c>
      <c r="I231" s="551">
        <f t="shared" si="405"/>
        <v>16</v>
      </c>
      <c r="J231" s="451">
        <f t="shared" si="406"/>
        <v>16.399999999999999</v>
      </c>
      <c r="K231" s="451">
        <f t="shared" si="407"/>
        <v>32.4</v>
      </c>
      <c r="L231" s="451"/>
      <c r="M231" s="221">
        <f t="shared" si="408"/>
        <v>0.50617283950617287</v>
      </c>
      <c r="N231" s="176">
        <f t="shared" si="409"/>
        <v>15.136592592592594</v>
      </c>
      <c r="O231" s="176">
        <f t="shared" si="363"/>
        <v>0.97650000000000003</v>
      </c>
      <c r="P231" s="221">
        <f t="shared" si="410"/>
        <v>0.97655436081242541</v>
      </c>
      <c r="Q231" s="221">
        <f t="shared" si="411"/>
        <v>15.5</v>
      </c>
      <c r="R231" s="221"/>
      <c r="S231" s="176">
        <f t="shared" si="412"/>
        <v>452.60318138065071</v>
      </c>
      <c r="T231" s="176">
        <f t="shared" si="413"/>
        <v>15.5</v>
      </c>
      <c r="U231" s="221">
        <f t="shared" si="414"/>
        <v>0.26794207317073171</v>
      </c>
      <c r="V231" s="221">
        <f t="shared" si="415"/>
        <v>0.15071741615853659</v>
      </c>
      <c r="W231" s="221">
        <f t="shared" si="416"/>
        <v>0.1470413816180845</v>
      </c>
      <c r="X231" s="201">
        <f t="shared" si="417"/>
        <v>350</v>
      </c>
      <c r="Y231" s="451">
        <f t="shared" si="418"/>
        <v>350</v>
      </c>
      <c r="AA231" s="221">
        <f t="shared" si="419"/>
        <v>2.5710366451107194</v>
      </c>
      <c r="AB231" s="177">
        <f t="shared" si="420"/>
        <v>1.4109347442680777</v>
      </c>
      <c r="AC231" s="177">
        <f t="shared" si="421"/>
        <v>0.63482386299030114</v>
      </c>
      <c r="AD231" s="177"/>
      <c r="AE231" s="177">
        <f t="shared" si="422"/>
        <v>0.45</v>
      </c>
      <c r="AF231" s="555">
        <f t="shared" si="423"/>
        <v>341.46341463414637</v>
      </c>
      <c r="AG231" s="538">
        <f t="shared" si="424"/>
        <v>6.4574999999999994E-2</v>
      </c>
      <c r="AI231" s="177">
        <f t="shared" si="425"/>
        <v>0.80993826925266343</v>
      </c>
      <c r="AJ231" s="177">
        <f t="shared" si="426"/>
        <v>0.82</v>
      </c>
      <c r="AK231" s="177">
        <f t="shared" si="427"/>
        <v>1.1951219512195121</v>
      </c>
      <c r="AM231" s="555">
        <f t="shared" si="428"/>
        <v>63</v>
      </c>
      <c r="AN231" s="469">
        <f t="shared" si="429"/>
        <v>341.46341463414637</v>
      </c>
      <c r="AP231">
        <f t="shared" si="430"/>
        <v>63</v>
      </c>
      <c r="AQ231">
        <f t="shared" si="431"/>
        <v>341.46341463414637</v>
      </c>
      <c r="AS231" s="5">
        <f t="shared" si="364"/>
        <v>2.9285714285714284</v>
      </c>
      <c r="AT231" s="5">
        <f t="shared" si="432"/>
        <v>0.46124999999999999</v>
      </c>
      <c r="AU231" s="5">
        <f t="shared" si="304"/>
        <v>2.4673214285714282</v>
      </c>
      <c r="AV231" s="5"/>
      <c r="AW231" s="177">
        <f t="shared" si="305"/>
        <v>0.1575</v>
      </c>
      <c r="AX231" s="177"/>
      <c r="BA231" s="469">
        <f t="shared" si="433"/>
        <v>17.856916306602201</v>
      </c>
      <c r="BB231" s="469">
        <f t="shared" si="434"/>
        <v>0.61323548753665702</v>
      </c>
      <c r="BC231" s="5">
        <f t="shared" si="359"/>
        <v>0.27885872395833328</v>
      </c>
      <c r="BD231" s="469">
        <f t="shared" si="435"/>
        <v>0</v>
      </c>
      <c r="BQ231" s="538">
        <f t="shared" si="436"/>
        <v>5.67E-2</v>
      </c>
      <c r="CG231" s="571">
        <f t="shared" si="437"/>
        <v>-50</v>
      </c>
      <c r="CH231">
        <f t="shared" si="438"/>
        <v>-50</v>
      </c>
    </row>
    <row r="232" spans="5:86" x14ac:dyDescent="0.2">
      <c r="E232" s="174">
        <v>16</v>
      </c>
      <c r="F232" s="221">
        <f t="shared" si="439"/>
        <v>6.7199999999999996E-2</v>
      </c>
      <c r="G232" s="221"/>
      <c r="H232" s="221">
        <f t="shared" si="404"/>
        <v>1.0415999999999999</v>
      </c>
      <c r="I232" s="551">
        <f t="shared" si="405"/>
        <v>16</v>
      </c>
      <c r="J232" s="451">
        <f t="shared" si="406"/>
        <v>16.399999999999999</v>
      </c>
      <c r="K232" s="451">
        <f t="shared" si="407"/>
        <v>32.4</v>
      </c>
      <c r="L232" s="451"/>
      <c r="M232" s="221">
        <f t="shared" si="408"/>
        <v>0.50617283950617287</v>
      </c>
      <c r="N232" s="176">
        <f t="shared" si="409"/>
        <v>15.136592592592594</v>
      </c>
      <c r="O232" s="176">
        <f t="shared" si="363"/>
        <v>1.0415999999999999</v>
      </c>
      <c r="P232" s="221">
        <f t="shared" si="410"/>
        <v>0.97655436081242541</v>
      </c>
      <c r="Q232" s="221">
        <f t="shared" si="411"/>
        <v>15.5</v>
      </c>
      <c r="R232" s="221"/>
      <c r="S232" s="176">
        <f t="shared" si="412"/>
        <v>423.31965896436299</v>
      </c>
      <c r="T232" s="176">
        <f t="shared" si="413"/>
        <v>15.5</v>
      </c>
      <c r="U232" s="221">
        <f t="shared" si="414"/>
        <v>0.28580487804878041</v>
      </c>
      <c r="V232" s="221">
        <f t="shared" si="415"/>
        <v>0.16076524390243899</v>
      </c>
      <c r="W232" s="221">
        <f t="shared" si="416"/>
        <v>0.1568441403926234</v>
      </c>
      <c r="X232" s="201">
        <f t="shared" si="417"/>
        <v>350</v>
      </c>
      <c r="Y232" s="451">
        <f t="shared" si="418"/>
        <v>350</v>
      </c>
      <c r="AA232" s="221">
        <f t="shared" si="419"/>
        <v>2.5710366451107194</v>
      </c>
      <c r="AB232" s="177">
        <f t="shared" si="420"/>
        <v>1.4109347442680777</v>
      </c>
      <c r="AC232" s="177">
        <f t="shared" si="421"/>
        <v>0.63482386299030114</v>
      </c>
      <c r="AD232" s="177"/>
      <c r="AE232" s="177">
        <f t="shared" si="422"/>
        <v>0.45</v>
      </c>
      <c r="AF232" s="555">
        <f t="shared" si="423"/>
        <v>364.22764227642278</v>
      </c>
      <c r="AG232" s="538">
        <f t="shared" si="424"/>
        <v>6.4574999999999994E-2</v>
      </c>
      <c r="AI232" s="177">
        <f t="shared" si="425"/>
        <v>0.83650064753909981</v>
      </c>
      <c r="AJ232" s="177">
        <f t="shared" si="426"/>
        <v>0.83650064753909981</v>
      </c>
      <c r="AK232" s="177">
        <f t="shared" si="427"/>
        <v>1.2110004316927332</v>
      </c>
      <c r="AM232" s="555">
        <f t="shared" si="428"/>
        <v>67.2</v>
      </c>
      <c r="AN232" s="469">
        <f t="shared" si="429"/>
        <v>350</v>
      </c>
      <c r="AP232">
        <f t="shared" si="430"/>
        <v>67.2</v>
      </c>
      <c r="AQ232">
        <f t="shared" si="431"/>
        <v>350</v>
      </c>
      <c r="AS232" s="5">
        <f t="shared" si="364"/>
        <v>2.8571428571428572</v>
      </c>
      <c r="AT232" s="5">
        <f t="shared" si="432"/>
        <v>0.47053161424074363</v>
      </c>
      <c r="AU232" s="5">
        <f t="shared" si="304"/>
        <v>2.3866112429021138</v>
      </c>
      <c r="AV232" s="5"/>
      <c r="AW232" s="177">
        <f t="shared" si="305"/>
        <v>0.16468606498426028</v>
      </c>
      <c r="AX232" s="177"/>
      <c r="BA232" s="469">
        <f t="shared" si="433"/>
        <v>17.856916306602201</v>
      </c>
      <c r="BB232" s="469">
        <f t="shared" si="434"/>
        <v>0.68876571026392952</v>
      </c>
      <c r="BC232" s="5">
        <f t="shared" si="359"/>
        <v>0.28771924428319917</v>
      </c>
      <c r="BD232" s="469">
        <f t="shared" si="435"/>
        <v>0</v>
      </c>
      <c r="BQ232" s="538">
        <f t="shared" si="436"/>
        <v>6.0479999999999999E-2</v>
      </c>
      <c r="CG232" s="571">
        <f t="shared" si="437"/>
        <v>-50</v>
      </c>
      <c r="CH232">
        <f t="shared" si="438"/>
        <v>-50</v>
      </c>
    </row>
    <row r="233" spans="5:86" x14ac:dyDescent="0.2">
      <c r="E233" s="174">
        <v>17</v>
      </c>
      <c r="F233" s="221">
        <f t="shared" si="439"/>
        <v>7.1400000000000005E-2</v>
      </c>
      <c r="G233" s="221"/>
      <c r="H233" s="221">
        <f t="shared" si="404"/>
        <v>1.1067</v>
      </c>
      <c r="I233" s="551">
        <f t="shared" si="405"/>
        <v>16</v>
      </c>
      <c r="J233" s="451">
        <f t="shared" si="406"/>
        <v>16.399999999999999</v>
      </c>
      <c r="K233" s="451">
        <f t="shared" si="407"/>
        <v>32.4</v>
      </c>
      <c r="L233" s="451"/>
      <c r="M233" s="221">
        <f t="shared" si="408"/>
        <v>0.50617283950617287</v>
      </c>
      <c r="N233" s="176">
        <f t="shared" si="409"/>
        <v>15.136592592592594</v>
      </c>
      <c r="O233" s="176">
        <f t="shared" si="363"/>
        <v>1.1067</v>
      </c>
      <c r="P233" s="221">
        <f t="shared" si="410"/>
        <v>0.97655436081242541</v>
      </c>
      <c r="Q233" s="221">
        <f t="shared" si="411"/>
        <v>15.5</v>
      </c>
      <c r="R233" s="221"/>
      <c r="S233" s="176">
        <f t="shared" si="412"/>
        <v>397.48152440583755</v>
      </c>
      <c r="T233" s="176">
        <f t="shared" si="413"/>
        <v>15.5</v>
      </c>
      <c r="U233" s="221">
        <f t="shared" si="414"/>
        <v>0.30366768292682922</v>
      </c>
      <c r="V233" s="221">
        <f t="shared" si="415"/>
        <v>0.17081307164634144</v>
      </c>
      <c r="W233" s="221">
        <f t="shared" si="416"/>
        <v>0.16664689916716241</v>
      </c>
      <c r="X233" s="201">
        <f t="shared" si="417"/>
        <v>350</v>
      </c>
      <c r="Y233" s="451">
        <f t="shared" si="418"/>
        <v>350</v>
      </c>
      <c r="AA233" s="221">
        <f t="shared" si="419"/>
        <v>2.5710366451107194</v>
      </c>
      <c r="AB233" s="177">
        <f t="shared" si="420"/>
        <v>1.4109347442680777</v>
      </c>
      <c r="AC233" s="177">
        <f t="shared" si="421"/>
        <v>0.63482386299030114</v>
      </c>
      <c r="AD233" s="177"/>
      <c r="AE233" s="177">
        <f t="shared" si="422"/>
        <v>0.45</v>
      </c>
      <c r="AF233" s="555">
        <f t="shared" si="423"/>
        <v>386.99186991869925</v>
      </c>
      <c r="AG233" s="538">
        <f t="shared" si="424"/>
        <v>6.4574999999999994E-2</v>
      </c>
      <c r="AI233" s="177">
        <f t="shared" si="425"/>
        <v>0.86224513142531956</v>
      </c>
      <c r="AJ233" s="177">
        <f t="shared" si="426"/>
        <v>0.86224513142531956</v>
      </c>
      <c r="AK233" s="177">
        <f t="shared" si="427"/>
        <v>1.228163420950213</v>
      </c>
      <c r="AM233" s="555">
        <f t="shared" si="428"/>
        <v>71.400000000000006</v>
      </c>
      <c r="AN233" s="469">
        <f t="shared" si="429"/>
        <v>350</v>
      </c>
      <c r="AP233">
        <f t="shared" si="430"/>
        <v>71.400000000000006</v>
      </c>
      <c r="AQ233">
        <f t="shared" si="431"/>
        <v>350</v>
      </c>
      <c r="AS233" s="5">
        <f t="shared" si="364"/>
        <v>2.8571428571428572</v>
      </c>
      <c r="AT233" s="5">
        <f t="shared" si="432"/>
        <v>0.48501288642674223</v>
      </c>
      <c r="AU233" s="5">
        <f t="shared" si="304"/>
        <v>2.3721299707161148</v>
      </c>
      <c r="AV233" s="5"/>
      <c r="AW233" s="177">
        <f t="shared" si="305"/>
        <v>0.16975451024935978</v>
      </c>
      <c r="AX233" s="177"/>
      <c r="BA233" s="469">
        <f t="shared" si="433"/>
        <v>17.856916306602201</v>
      </c>
      <c r="BB233" s="469">
        <f t="shared" si="434"/>
        <v>0.76862691510263947</v>
      </c>
      <c r="BC233" s="5">
        <f t="shared" si="359"/>
        <v>0.303846786874019</v>
      </c>
      <c r="BD233" s="469">
        <f t="shared" si="435"/>
        <v>0</v>
      </c>
      <c r="BQ233" s="538">
        <f t="shared" si="436"/>
        <v>6.4260000000000012E-2</v>
      </c>
      <c r="CG233" s="571">
        <f t="shared" si="437"/>
        <v>-50</v>
      </c>
      <c r="CH233">
        <f t="shared" si="438"/>
        <v>-50</v>
      </c>
    </row>
    <row r="234" spans="5:86" x14ac:dyDescent="0.2">
      <c r="E234" s="174">
        <v>18</v>
      </c>
      <c r="F234" s="221">
        <f t="shared" si="439"/>
        <v>7.5600000000000001E-2</v>
      </c>
      <c r="G234" s="221"/>
      <c r="H234" s="221">
        <f t="shared" si="404"/>
        <v>1.1718</v>
      </c>
      <c r="I234" s="551">
        <f t="shared" si="405"/>
        <v>16</v>
      </c>
      <c r="J234" s="451">
        <f t="shared" si="406"/>
        <v>16.399999999999999</v>
      </c>
      <c r="K234" s="451">
        <f t="shared" si="407"/>
        <v>32.4</v>
      </c>
      <c r="L234" s="451"/>
      <c r="M234" s="221">
        <f t="shared" si="408"/>
        <v>0.50617283950617287</v>
      </c>
      <c r="N234" s="176">
        <f t="shared" si="409"/>
        <v>15.136592592592594</v>
      </c>
      <c r="O234" s="176">
        <f t="shared" si="363"/>
        <v>1.1718</v>
      </c>
      <c r="P234" s="221">
        <f t="shared" si="410"/>
        <v>0.97655436081242541</v>
      </c>
      <c r="Q234" s="221">
        <f t="shared" si="411"/>
        <v>15.5</v>
      </c>
      <c r="R234" s="221"/>
      <c r="S234" s="176">
        <f t="shared" si="412"/>
        <v>374.51454807334238</v>
      </c>
      <c r="T234" s="176">
        <f t="shared" si="413"/>
        <v>15.5</v>
      </c>
      <c r="U234" s="221">
        <f t="shared" si="414"/>
        <v>0.32153048780487803</v>
      </c>
      <c r="V234" s="221">
        <f t="shared" si="415"/>
        <v>0.18086089939024391</v>
      </c>
      <c r="W234" s="221">
        <f t="shared" si="416"/>
        <v>0.17644965794170139</v>
      </c>
      <c r="X234" s="201">
        <f t="shared" si="417"/>
        <v>350</v>
      </c>
      <c r="Y234" s="451">
        <f t="shared" si="418"/>
        <v>350</v>
      </c>
      <c r="AA234" s="221">
        <f t="shared" si="419"/>
        <v>2.5710366451107194</v>
      </c>
      <c r="AB234" s="177">
        <f t="shared" si="420"/>
        <v>1.4109347442680777</v>
      </c>
      <c r="AC234" s="177">
        <f t="shared" si="421"/>
        <v>0.63482386299030114</v>
      </c>
      <c r="AD234" s="177"/>
      <c r="AE234" s="177">
        <f t="shared" si="422"/>
        <v>0.45</v>
      </c>
      <c r="AF234" s="555">
        <f t="shared" si="423"/>
        <v>409.75609756097566</v>
      </c>
      <c r="AG234" s="538">
        <f t="shared" si="424"/>
        <v>6.4574999999999994E-2</v>
      </c>
      <c r="AI234" s="177">
        <f t="shared" si="425"/>
        <v>0.88724292051275333</v>
      </c>
      <c r="AJ234" s="177">
        <f t="shared" si="426"/>
        <v>0.88724292051275333</v>
      </c>
      <c r="AK234" s="177">
        <f t="shared" si="427"/>
        <v>1.2448286136751689</v>
      </c>
      <c r="AM234" s="555">
        <f t="shared" si="428"/>
        <v>75.599999999999994</v>
      </c>
      <c r="AN234" s="469">
        <f t="shared" si="429"/>
        <v>350</v>
      </c>
      <c r="AP234">
        <f t="shared" si="430"/>
        <v>75.599999999999994</v>
      </c>
      <c r="AQ234">
        <f t="shared" si="431"/>
        <v>350</v>
      </c>
      <c r="AS234" s="5">
        <f t="shared" si="364"/>
        <v>2.8571428571428572</v>
      </c>
      <c r="AT234" s="5">
        <f t="shared" si="432"/>
        <v>0.49907414278842382</v>
      </c>
      <c r="AU234" s="5">
        <f t="shared" ref="AU234:AU297" si="440">AS234-AT234</f>
        <v>2.3580687143544332</v>
      </c>
      <c r="AV234" s="5"/>
      <c r="AW234" s="177">
        <f t="shared" ref="AW234:AW297" si="441">AT234/AS234</f>
        <v>0.17467594997594835</v>
      </c>
      <c r="AX234" s="177"/>
      <c r="BA234" s="469">
        <f t="shared" si="433"/>
        <v>17.856916306602201</v>
      </c>
      <c r="BB234" s="469">
        <f t="shared" si="434"/>
        <v>0.8528191020527861</v>
      </c>
      <c r="BC234" s="5">
        <f t="shared" si="359"/>
        <v>0.31981306938431991</v>
      </c>
      <c r="BD234" s="469">
        <f t="shared" si="435"/>
        <v>0</v>
      </c>
      <c r="BQ234" s="538">
        <f t="shared" si="436"/>
        <v>6.8040000000000003E-2</v>
      </c>
      <c r="CG234" s="571">
        <f t="shared" si="437"/>
        <v>-50</v>
      </c>
      <c r="CH234">
        <f t="shared" si="438"/>
        <v>-50</v>
      </c>
    </row>
    <row r="235" spans="5:86" x14ac:dyDescent="0.2">
      <c r="E235" s="174">
        <v>19</v>
      </c>
      <c r="F235" s="221">
        <f t="shared" si="439"/>
        <v>7.9799999999999996E-2</v>
      </c>
      <c r="G235" s="221"/>
      <c r="H235" s="221">
        <f t="shared" si="404"/>
        <v>1.2368999999999999</v>
      </c>
      <c r="I235" s="551">
        <f t="shared" si="405"/>
        <v>16</v>
      </c>
      <c r="J235" s="451">
        <f t="shared" si="406"/>
        <v>16.399999999999999</v>
      </c>
      <c r="K235" s="451">
        <f t="shared" si="407"/>
        <v>32.4</v>
      </c>
      <c r="L235" s="451"/>
      <c r="M235" s="221">
        <f t="shared" si="408"/>
        <v>0.50617283950617287</v>
      </c>
      <c r="N235" s="176">
        <f t="shared" si="409"/>
        <v>15.136592592592594</v>
      </c>
      <c r="O235" s="176">
        <f t="shared" si="363"/>
        <v>1.2368999999999999</v>
      </c>
      <c r="P235" s="221">
        <f t="shared" si="410"/>
        <v>0.97655436081242541</v>
      </c>
      <c r="Q235" s="221">
        <f t="shared" si="411"/>
        <v>15.5</v>
      </c>
      <c r="R235" s="221"/>
      <c r="S235" s="176">
        <f t="shared" si="412"/>
        <v>353.96539079704837</v>
      </c>
      <c r="T235" s="176">
        <f t="shared" si="413"/>
        <v>15.5</v>
      </c>
      <c r="U235" s="221">
        <f t="shared" si="414"/>
        <v>0.33939329268292678</v>
      </c>
      <c r="V235" s="221">
        <f t="shared" si="415"/>
        <v>0.19090872713414633</v>
      </c>
      <c r="W235" s="221">
        <f t="shared" si="416"/>
        <v>0.18625241671624032</v>
      </c>
      <c r="X235" s="201">
        <f t="shared" si="417"/>
        <v>350</v>
      </c>
      <c r="Y235" s="451">
        <f t="shared" si="418"/>
        <v>350</v>
      </c>
      <c r="AA235" s="221">
        <f t="shared" si="419"/>
        <v>2.5710366451107194</v>
      </c>
      <c r="AB235" s="177">
        <f t="shared" si="420"/>
        <v>1.4109347442680777</v>
      </c>
      <c r="AC235" s="177">
        <f t="shared" si="421"/>
        <v>0.63482386299030114</v>
      </c>
      <c r="AD235" s="177"/>
      <c r="AE235" s="177">
        <f t="shared" si="422"/>
        <v>0.45</v>
      </c>
      <c r="AF235" s="555">
        <f t="shared" si="423"/>
        <v>432.52032520325201</v>
      </c>
      <c r="AG235" s="538">
        <f t="shared" si="424"/>
        <v>6.4574999999999994E-2</v>
      </c>
      <c r="AI235" s="177">
        <f t="shared" si="425"/>
        <v>0.91155544720731785</v>
      </c>
      <c r="AJ235" s="177">
        <f t="shared" si="426"/>
        <v>0.91155544720731785</v>
      </c>
      <c r="AK235" s="177">
        <f t="shared" si="427"/>
        <v>1.2610369648048785</v>
      </c>
      <c r="AM235" s="555">
        <f t="shared" si="428"/>
        <v>79.8</v>
      </c>
      <c r="AN235" s="469">
        <f t="shared" si="429"/>
        <v>350</v>
      </c>
      <c r="AP235">
        <f t="shared" si="430"/>
        <v>79.8</v>
      </c>
      <c r="AQ235">
        <f t="shared" si="431"/>
        <v>350</v>
      </c>
      <c r="AS235" s="5">
        <f t="shared" si="364"/>
        <v>2.8571428571428572</v>
      </c>
      <c r="AT235" s="5">
        <f t="shared" si="432"/>
        <v>0.51274993905411625</v>
      </c>
      <c r="AU235" s="5">
        <f t="shared" si="440"/>
        <v>2.3443929180887411</v>
      </c>
      <c r="AV235" s="5"/>
      <c r="AW235" s="177">
        <f t="shared" si="441"/>
        <v>0.17946247866894069</v>
      </c>
      <c r="AX235" s="177"/>
      <c r="BA235" s="469">
        <f t="shared" si="433"/>
        <v>17.856916306602201</v>
      </c>
      <c r="BB235" s="469">
        <f t="shared" si="434"/>
        <v>0.94134227111436963</v>
      </c>
      <c r="BC235" s="5">
        <f t="shared" si="359"/>
        <v>0.33562263893332905</v>
      </c>
      <c r="BD235" s="469">
        <f t="shared" si="435"/>
        <v>0</v>
      </c>
      <c r="BQ235" s="538">
        <f t="shared" si="436"/>
        <v>7.1819999999999995E-2</v>
      </c>
      <c r="CG235" s="571">
        <f t="shared" si="437"/>
        <v>-50</v>
      </c>
      <c r="CH235">
        <f t="shared" si="438"/>
        <v>-50</v>
      </c>
    </row>
    <row r="236" spans="5:86" x14ac:dyDescent="0.2">
      <c r="E236" s="174">
        <v>20</v>
      </c>
      <c r="F236" s="221">
        <f t="shared" si="439"/>
        <v>8.4000000000000005E-2</v>
      </c>
      <c r="G236" s="221"/>
      <c r="H236" s="221">
        <f t="shared" si="404"/>
        <v>1.302</v>
      </c>
      <c r="I236" s="551">
        <f t="shared" si="405"/>
        <v>16</v>
      </c>
      <c r="J236" s="451">
        <f t="shared" si="406"/>
        <v>16.399999999999999</v>
      </c>
      <c r="K236" s="451">
        <f t="shared" si="407"/>
        <v>32.4</v>
      </c>
      <c r="L236" s="451"/>
      <c r="M236" s="221">
        <f t="shared" si="408"/>
        <v>0.50617283950617287</v>
      </c>
      <c r="N236" s="176">
        <f t="shared" si="409"/>
        <v>15.136592592592594</v>
      </c>
      <c r="O236" s="176">
        <f t="shared" si="363"/>
        <v>1.302</v>
      </c>
      <c r="P236" s="221">
        <f t="shared" si="410"/>
        <v>0.97655436081242541</v>
      </c>
      <c r="Q236" s="221">
        <f t="shared" si="411"/>
        <v>15.5</v>
      </c>
      <c r="R236" s="221"/>
      <c r="S236" s="176">
        <f t="shared" si="412"/>
        <v>335.47138125367104</v>
      </c>
      <c r="T236" s="176">
        <f t="shared" si="413"/>
        <v>15.5</v>
      </c>
      <c r="U236" s="221">
        <f t="shared" si="414"/>
        <v>0.35725609756097559</v>
      </c>
      <c r="V236" s="221">
        <f t="shared" si="415"/>
        <v>0.20095655487804875</v>
      </c>
      <c r="W236" s="221">
        <f t="shared" si="416"/>
        <v>0.1960551754907793</v>
      </c>
      <c r="X236" s="201">
        <f t="shared" si="417"/>
        <v>350</v>
      </c>
      <c r="Y236" s="451">
        <f t="shared" si="418"/>
        <v>350</v>
      </c>
      <c r="AA236" s="221">
        <f t="shared" si="419"/>
        <v>2.5710366451107194</v>
      </c>
      <c r="AB236" s="177">
        <f t="shared" si="420"/>
        <v>1.4109347442680777</v>
      </c>
      <c r="AC236" s="177">
        <f t="shared" si="421"/>
        <v>0.63482386299030114</v>
      </c>
      <c r="AD236" s="177"/>
      <c r="AE236" s="177">
        <f t="shared" si="422"/>
        <v>0.45</v>
      </c>
      <c r="AF236" s="555">
        <f t="shared" si="423"/>
        <v>455.28455284552854</v>
      </c>
      <c r="AG236" s="538">
        <f t="shared" si="424"/>
        <v>6.4574999999999994E-2</v>
      </c>
      <c r="AI236" s="177">
        <f t="shared" si="425"/>
        <v>0.93523615556000961</v>
      </c>
      <c r="AJ236" s="177">
        <f t="shared" si="426"/>
        <v>0.93523615556000961</v>
      </c>
      <c r="AK236" s="177">
        <f t="shared" si="427"/>
        <v>1.276824103706673</v>
      </c>
      <c r="AM236" s="555">
        <f t="shared" si="428"/>
        <v>84</v>
      </c>
      <c r="AN236" s="469">
        <f t="shared" si="429"/>
        <v>350</v>
      </c>
      <c r="AP236">
        <f t="shared" si="430"/>
        <v>84</v>
      </c>
      <c r="AQ236">
        <f t="shared" si="431"/>
        <v>350</v>
      </c>
      <c r="AS236" s="5">
        <f t="shared" si="364"/>
        <v>2.8571428571428572</v>
      </c>
      <c r="AT236" s="5">
        <f t="shared" si="432"/>
        <v>0.52607033750250543</v>
      </c>
      <c r="AU236" s="5">
        <f t="shared" si="440"/>
        <v>2.3310725196403519</v>
      </c>
      <c r="AV236" s="5"/>
      <c r="AW236" s="177">
        <f t="shared" si="441"/>
        <v>0.18412461812587688</v>
      </c>
      <c r="AX236" s="177"/>
      <c r="BA236" s="469">
        <f t="shared" si="433"/>
        <v>17.856916306602201</v>
      </c>
      <c r="BB236" s="469">
        <f t="shared" si="434"/>
        <v>1.0341964222873903</v>
      </c>
      <c r="BC236" s="5">
        <f t="shared" si="359"/>
        <v>0.35127967830691409</v>
      </c>
      <c r="BD236" s="469">
        <f t="shared" si="435"/>
        <v>0</v>
      </c>
      <c r="BQ236" s="538">
        <f t="shared" si="436"/>
        <v>7.5600000000000001E-2</v>
      </c>
      <c r="CG236" s="571">
        <f t="shared" si="437"/>
        <v>-50</v>
      </c>
      <c r="CH236">
        <f t="shared" si="438"/>
        <v>-50</v>
      </c>
    </row>
    <row r="237" spans="5:86" x14ac:dyDescent="0.2">
      <c r="E237" s="174">
        <v>21</v>
      </c>
      <c r="F237" s="221">
        <f t="shared" si="439"/>
        <v>8.8199999999999987E-2</v>
      </c>
      <c r="G237" s="221"/>
      <c r="H237" s="221">
        <f t="shared" si="404"/>
        <v>1.3670999999999998</v>
      </c>
      <c r="I237" s="551">
        <f t="shared" si="405"/>
        <v>16</v>
      </c>
      <c r="J237" s="451">
        <f t="shared" si="406"/>
        <v>16.399999999999999</v>
      </c>
      <c r="K237" s="451">
        <f t="shared" si="407"/>
        <v>32.4</v>
      </c>
      <c r="L237" s="451"/>
      <c r="M237" s="221">
        <f t="shared" si="408"/>
        <v>0.50617283950617287</v>
      </c>
      <c r="N237" s="176">
        <f t="shared" si="409"/>
        <v>15.136592592592594</v>
      </c>
      <c r="O237" s="176">
        <f t="shared" si="363"/>
        <v>1.3670999999999998</v>
      </c>
      <c r="P237" s="221">
        <f t="shared" si="410"/>
        <v>0.97655436081242541</v>
      </c>
      <c r="Q237" s="221">
        <f t="shared" si="411"/>
        <v>15.5</v>
      </c>
      <c r="R237" s="221"/>
      <c r="S237" s="176">
        <f t="shared" si="412"/>
        <v>318.73892838407386</v>
      </c>
      <c r="T237" s="176">
        <f t="shared" si="413"/>
        <v>15.5</v>
      </c>
      <c r="U237" s="221">
        <f t="shared" si="414"/>
        <v>0.37511890243902429</v>
      </c>
      <c r="V237" s="221">
        <f t="shared" si="415"/>
        <v>0.21100438262195115</v>
      </c>
      <c r="W237" s="221">
        <f t="shared" si="416"/>
        <v>0.2058579342653182</v>
      </c>
      <c r="X237" s="201">
        <f t="shared" si="417"/>
        <v>350</v>
      </c>
      <c r="Y237" s="451">
        <f t="shared" si="418"/>
        <v>350</v>
      </c>
      <c r="AA237" s="221">
        <f t="shared" si="419"/>
        <v>2.5710366451107194</v>
      </c>
      <c r="AB237" s="177">
        <f t="shared" si="420"/>
        <v>1.4109347442680777</v>
      </c>
      <c r="AC237" s="177">
        <f t="shared" si="421"/>
        <v>0.63482386299030114</v>
      </c>
      <c r="AD237" s="177"/>
      <c r="AE237" s="177">
        <f t="shared" si="422"/>
        <v>0.45</v>
      </c>
      <c r="AF237" s="555">
        <f t="shared" si="423"/>
        <v>478.04878048780483</v>
      </c>
      <c r="AG237" s="538">
        <f t="shared" si="424"/>
        <v>6.4574999999999994E-2</v>
      </c>
      <c r="AI237" s="177">
        <f t="shared" si="425"/>
        <v>0.95833188405687497</v>
      </c>
      <c r="AJ237" s="177">
        <f t="shared" si="426"/>
        <v>0.95833188405687497</v>
      </c>
      <c r="AK237" s="177">
        <f t="shared" si="427"/>
        <v>1.2922212560379167</v>
      </c>
      <c r="AM237" s="555">
        <f t="shared" si="428"/>
        <v>88.199999999999989</v>
      </c>
      <c r="AN237" s="469">
        <f t="shared" si="429"/>
        <v>350</v>
      </c>
      <c r="AP237">
        <f t="shared" si="430"/>
        <v>88.199999999999989</v>
      </c>
      <c r="AQ237">
        <f t="shared" si="431"/>
        <v>350</v>
      </c>
      <c r="AS237" s="5">
        <f t="shared" si="364"/>
        <v>2.8571428571428572</v>
      </c>
      <c r="AT237" s="5">
        <f t="shared" si="432"/>
        <v>0.53906168478199223</v>
      </c>
      <c r="AU237" s="5">
        <f t="shared" si="440"/>
        <v>2.318081172360865</v>
      </c>
      <c r="AV237" s="5"/>
      <c r="AW237" s="177">
        <f t="shared" si="441"/>
        <v>0.18867158967369727</v>
      </c>
      <c r="AX237" s="177"/>
      <c r="BA237" s="469">
        <f t="shared" si="433"/>
        <v>17.856916306602201</v>
      </c>
      <c r="BB237" s="469">
        <f t="shared" si="434"/>
        <v>1.1313815555718474</v>
      </c>
      <c r="BC237" s="5">
        <f t="shared" si="359"/>
        <v>0.36678805216834925</v>
      </c>
      <c r="BD237" s="469">
        <f t="shared" si="435"/>
        <v>0</v>
      </c>
      <c r="BQ237" s="538">
        <f t="shared" si="436"/>
        <v>7.9379999999999992E-2</v>
      </c>
      <c r="CG237" s="571">
        <f t="shared" si="437"/>
        <v>-50</v>
      </c>
      <c r="CH237">
        <f t="shared" si="438"/>
        <v>-50</v>
      </c>
    </row>
    <row r="238" spans="5:86" x14ac:dyDescent="0.2">
      <c r="E238" s="174">
        <v>22</v>
      </c>
      <c r="F238" s="221">
        <f t="shared" si="439"/>
        <v>9.2399999999999996E-2</v>
      </c>
      <c r="G238" s="221"/>
      <c r="H238" s="221">
        <f t="shared" si="404"/>
        <v>1.4321999999999999</v>
      </c>
      <c r="I238" s="551">
        <f t="shared" si="405"/>
        <v>16</v>
      </c>
      <c r="J238" s="451">
        <f t="shared" si="406"/>
        <v>16.399999999999999</v>
      </c>
      <c r="K238" s="451">
        <f t="shared" si="407"/>
        <v>32.4</v>
      </c>
      <c r="L238" s="451"/>
      <c r="M238" s="221">
        <f t="shared" si="408"/>
        <v>0.50617283950617287</v>
      </c>
      <c r="N238" s="176">
        <f t="shared" si="409"/>
        <v>15.136592592592594</v>
      </c>
      <c r="O238" s="176">
        <f t="shared" si="363"/>
        <v>1.4321999999999999</v>
      </c>
      <c r="P238" s="221">
        <f t="shared" si="410"/>
        <v>0.97655436081242541</v>
      </c>
      <c r="Q238" s="221">
        <f t="shared" si="411"/>
        <v>15.5</v>
      </c>
      <c r="R238" s="221"/>
      <c r="S238" s="176">
        <f t="shared" si="412"/>
        <v>303.52782133334267</v>
      </c>
      <c r="T238" s="176">
        <f t="shared" si="413"/>
        <v>15.5</v>
      </c>
      <c r="U238" s="221">
        <f t="shared" si="414"/>
        <v>0.3929817073170731</v>
      </c>
      <c r="V238" s="221">
        <f t="shared" si="415"/>
        <v>0.22105221036585362</v>
      </c>
      <c r="W238" s="221">
        <f t="shared" si="416"/>
        <v>0.21566069303985722</v>
      </c>
      <c r="X238" s="201">
        <f t="shared" si="417"/>
        <v>350</v>
      </c>
      <c r="Y238" s="451">
        <f t="shared" si="418"/>
        <v>350</v>
      </c>
      <c r="AA238" s="221">
        <f t="shared" si="419"/>
        <v>2.5710366451107194</v>
      </c>
      <c r="AB238" s="177">
        <f t="shared" si="420"/>
        <v>1.4109347442680777</v>
      </c>
      <c r="AC238" s="177">
        <f t="shared" si="421"/>
        <v>0.63482386299030114</v>
      </c>
      <c r="AD238" s="177"/>
      <c r="AE238" s="177">
        <f t="shared" si="422"/>
        <v>0.45</v>
      </c>
      <c r="AF238" s="555">
        <f t="shared" si="423"/>
        <v>500.8130081300813</v>
      </c>
      <c r="AG238" s="538">
        <f t="shared" si="424"/>
        <v>6.4574999999999994E-2</v>
      </c>
      <c r="AI238" s="177">
        <f t="shared" si="425"/>
        <v>0.98088395507997439</v>
      </c>
      <c r="AJ238" s="177">
        <f t="shared" si="426"/>
        <v>0.98088395507997439</v>
      </c>
      <c r="AK238" s="177">
        <f t="shared" si="427"/>
        <v>1.3072559700533162</v>
      </c>
      <c r="AM238" s="555">
        <f t="shared" si="428"/>
        <v>92.399999999999991</v>
      </c>
      <c r="AN238" s="469">
        <f t="shared" si="429"/>
        <v>350</v>
      </c>
      <c r="AP238">
        <f t="shared" si="430"/>
        <v>92.399999999999991</v>
      </c>
      <c r="AQ238">
        <f t="shared" si="431"/>
        <v>350</v>
      </c>
      <c r="AS238" s="5">
        <f t="shared" si="364"/>
        <v>2.8571428571428572</v>
      </c>
      <c r="AT238" s="5">
        <f t="shared" si="432"/>
        <v>0.55174722473248561</v>
      </c>
      <c r="AU238" s="5">
        <f t="shared" si="440"/>
        <v>2.3053956324103715</v>
      </c>
      <c r="AV238" s="5"/>
      <c r="AW238" s="177">
        <f t="shared" si="441"/>
        <v>0.19311152865636996</v>
      </c>
      <c r="AX238" s="177"/>
      <c r="BA238" s="469">
        <f t="shared" si="433"/>
        <v>17.856916306602201</v>
      </c>
      <c r="BB238" s="469">
        <f t="shared" si="434"/>
        <v>1.2328976709677422</v>
      </c>
      <c r="BC238" s="5">
        <f t="shared" si="359"/>
        <v>0.38215134545580248</v>
      </c>
      <c r="BD238" s="469">
        <f t="shared" si="435"/>
        <v>0</v>
      </c>
      <c r="BQ238" s="538">
        <f t="shared" si="436"/>
        <v>8.3159999999999998E-2</v>
      </c>
      <c r="CG238" s="571">
        <f t="shared" si="437"/>
        <v>-50</v>
      </c>
      <c r="CH238">
        <f t="shared" si="438"/>
        <v>-50</v>
      </c>
    </row>
    <row r="239" spans="5:86" x14ac:dyDescent="0.2">
      <c r="E239" s="174">
        <v>23</v>
      </c>
      <c r="F239" s="221">
        <f t="shared" si="439"/>
        <v>9.6600000000000005E-2</v>
      </c>
      <c r="G239" s="221"/>
      <c r="H239" s="221">
        <f t="shared" si="404"/>
        <v>1.4973000000000001</v>
      </c>
      <c r="I239" s="551">
        <f t="shared" si="405"/>
        <v>16</v>
      </c>
      <c r="J239" s="451">
        <f t="shared" si="406"/>
        <v>16.399999999999999</v>
      </c>
      <c r="K239" s="451">
        <f t="shared" si="407"/>
        <v>32.4</v>
      </c>
      <c r="L239" s="451"/>
      <c r="M239" s="221">
        <f t="shared" si="408"/>
        <v>0.50617283950617287</v>
      </c>
      <c r="N239" s="176">
        <f t="shared" si="409"/>
        <v>15.136592592592594</v>
      </c>
      <c r="O239" s="176">
        <f t="shared" si="363"/>
        <v>1.4973000000000001</v>
      </c>
      <c r="P239" s="221">
        <f t="shared" si="410"/>
        <v>0.97655436081242541</v>
      </c>
      <c r="Q239" s="221">
        <f t="shared" si="411"/>
        <v>15.5</v>
      </c>
      <c r="R239" s="221"/>
      <c r="S239" s="176">
        <f t="shared" si="412"/>
        <v>289.63962505866982</v>
      </c>
      <c r="T239" s="176">
        <f t="shared" si="413"/>
        <v>15.5</v>
      </c>
      <c r="U239" s="221">
        <f t="shared" si="414"/>
        <v>0.41084451219512191</v>
      </c>
      <c r="V239" s="221">
        <f t="shared" si="415"/>
        <v>0.23110003810975607</v>
      </c>
      <c r="W239" s="221">
        <f t="shared" si="416"/>
        <v>0.2254634518143962</v>
      </c>
      <c r="X239" s="201">
        <f t="shared" si="417"/>
        <v>350</v>
      </c>
      <c r="Y239" s="451">
        <f t="shared" si="418"/>
        <v>350</v>
      </c>
      <c r="AA239" s="221">
        <f t="shared" si="419"/>
        <v>2.5710366451107194</v>
      </c>
      <c r="AB239" s="177">
        <f t="shared" si="420"/>
        <v>1.4109347442680777</v>
      </c>
      <c r="AC239" s="177">
        <f t="shared" si="421"/>
        <v>0.63482386299030114</v>
      </c>
      <c r="AD239" s="177"/>
      <c r="AE239" s="177">
        <f t="shared" si="422"/>
        <v>0.45</v>
      </c>
      <c r="AF239" s="555">
        <f t="shared" si="423"/>
        <v>523.57723577235777</v>
      </c>
      <c r="AG239" s="538">
        <f t="shared" si="424"/>
        <v>6.4574999999999994E-2</v>
      </c>
      <c r="AI239" s="177">
        <f t="shared" si="425"/>
        <v>1.0029290436848792</v>
      </c>
      <c r="AJ239" s="177">
        <f t="shared" si="426"/>
        <v>1.0029290436848792</v>
      </c>
      <c r="AK239" s="177">
        <f t="shared" si="427"/>
        <v>1.3219526957899195</v>
      </c>
      <c r="AM239" s="555">
        <f t="shared" si="428"/>
        <v>96.600000000000009</v>
      </c>
      <c r="AN239" s="469">
        <f t="shared" si="429"/>
        <v>350</v>
      </c>
      <c r="AP239">
        <f t="shared" si="430"/>
        <v>96.600000000000009</v>
      </c>
      <c r="AQ239">
        <f t="shared" si="431"/>
        <v>350</v>
      </c>
      <c r="AS239" s="5">
        <f t="shared" si="364"/>
        <v>2.8571428571428572</v>
      </c>
      <c r="AT239" s="5">
        <f t="shared" si="432"/>
        <v>0.56414758707274459</v>
      </c>
      <c r="AU239" s="5">
        <f t="shared" si="440"/>
        <v>2.2929952700701124</v>
      </c>
      <c r="AV239" s="5"/>
      <c r="AW239" s="177">
        <f t="shared" si="441"/>
        <v>0.19745165547546059</v>
      </c>
      <c r="AX239" s="177"/>
      <c r="BA239" s="469">
        <f t="shared" si="433"/>
        <v>17.856916306602201</v>
      </c>
      <c r="BB239" s="469">
        <f t="shared" si="434"/>
        <v>1.3387447684750735</v>
      </c>
      <c r="BC239" s="5">
        <f t="shared" si="359"/>
        <v>0.39737289558749755</v>
      </c>
      <c r="BD239" s="469">
        <f t="shared" si="435"/>
        <v>0</v>
      </c>
      <c r="BQ239" s="538">
        <f t="shared" si="436"/>
        <v>8.6940000000000003E-2</v>
      </c>
      <c r="CG239" s="571">
        <f t="shared" si="437"/>
        <v>-50</v>
      </c>
      <c r="CH239">
        <f t="shared" si="438"/>
        <v>-50</v>
      </c>
    </row>
    <row r="240" spans="5:86" x14ac:dyDescent="0.2">
      <c r="E240" s="174">
        <v>24</v>
      </c>
      <c r="F240" s="221">
        <f t="shared" si="439"/>
        <v>0.10079999999999999</v>
      </c>
      <c r="G240" s="221"/>
      <c r="H240" s="221">
        <f t="shared" si="404"/>
        <v>1.5623999999999998</v>
      </c>
      <c r="I240" s="551">
        <f t="shared" si="405"/>
        <v>16</v>
      </c>
      <c r="J240" s="451">
        <f t="shared" si="406"/>
        <v>16.399999999999999</v>
      </c>
      <c r="K240" s="451">
        <f t="shared" si="407"/>
        <v>32.4</v>
      </c>
      <c r="L240" s="451"/>
      <c r="M240" s="221">
        <f t="shared" si="408"/>
        <v>0.50617283950617287</v>
      </c>
      <c r="N240" s="176">
        <f t="shared" si="409"/>
        <v>15.136592592592594</v>
      </c>
      <c r="O240" s="176">
        <f t="shared" si="363"/>
        <v>1.5623999999999998</v>
      </c>
      <c r="P240" s="221">
        <f t="shared" si="410"/>
        <v>0.97655436081242541</v>
      </c>
      <c r="Q240" s="221">
        <f t="shared" si="411"/>
        <v>15.5</v>
      </c>
      <c r="R240" s="221"/>
      <c r="S240" s="176">
        <f t="shared" si="412"/>
        <v>276.90897703526656</v>
      </c>
      <c r="T240" s="176">
        <f t="shared" si="413"/>
        <v>15.5</v>
      </c>
      <c r="U240" s="221">
        <f t="shared" si="414"/>
        <v>0.42870731707317061</v>
      </c>
      <c r="V240" s="221">
        <f t="shared" si="415"/>
        <v>0.24114786585365849</v>
      </c>
      <c r="W240" s="221">
        <f t="shared" si="416"/>
        <v>0.23526621058893513</v>
      </c>
      <c r="X240" s="201">
        <f t="shared" si="417"/>
        <v>350</v>
      </c>
      <c r="Y240" s="451">
        <f t="shared" si="418"/>
        <v>350</v>
      </c>
      <c r="AA240" s="221">
        <f t="shared" si="419"/>
        <v>2.5710366451107194</v>
      </c>
      <c r="AB240" s="177">
        <f t="shared" si="420"/>
        <v>1.4109347442680777</v>
      </c>
      <c r="AC240" s="177">
        <f t="shared" si="421"/>
        <v>0.63482386299030114</v>
      </c>
      <c r="AD240" s="177"/>
      <c r="AE240" s="177">
        <f t="shared" si="422"/>
        <v>0.45</v>
      </c>
      <c r="AF240" s="555">
        <f t="shared" si="423"/>
        <v>546.34146341463406</v>
      </c>
      <c r="AG240" s="538">
        <f t="shared" si="424"/>
        <v>6.4574999999999994E-2</v>
      </c>
      <c r="AI240" s="177">
        <f t="shared" si="425"/>
        <v>1.0244998779892556</v>
      </c>
      <c r="AJ240" s="177">
        <f t="shared" si="426"/>
        <v>1.0244998779892556</v>
      </c>
      <c r="AK240" s="177">
        <f t="shared" si="427"/>
        <v>1.336333251992837</v>
      </c>
      <c r="AM240" s="555">
        <f t="shared" si="428"/>
        <v>100.79999999999998</v>
      </c>
      <c r="AN240" s="469">
        <f t="shared" si="429"/>
        <v>350</v>
      </c>
      <c r="AP240">
        <f t="shared" si="430"/>
        <v>100.79999999999998</v>
      </c>
      <c r="AQ240">
        <f t="shared" si="431"/>
        <v>350</v>
      </c>
      <c r="AS240" s="5">
        <f t="shared" si="364"/>
        <v>2.8571428571428572</v>
      </c>
      <c r="AT240" s="5">
        <f t="shared" si="432"/>
        <v>0.57628118136895623</v>
      </c>
      <c r="AU240" s="5">
        <f t="shared" si="440"/>
        <v>2.2808616757739011</v>
      </c>
      <c r="AV240" s="5"/>
      <c r="AW240" s="177">
        <f t="shared" si="441"/>
        <v>0.20169841347913467</v>
      </c>
      <c r="AX240" s="177"/>
      <c r="BA240" s="469">
        <f t="shared" si="433"/>
        <v>17.856916306602201</v>
      </c>
      <c r="BB240" s="469">
        <f t="shared" si="434"/>
        <v>1.4489228480938414</v>
      </c>
      <c r="BC240" s="5">
        <f t="shared" si="359"/>
        <v>0.41245581970244699</v>
      </c>
      <c r="BD240" s="469">
        <f t="shared" si="435"/>
        <v>0</v>
      </c>
      <c r="BQ240" s="538">
        <f t="shared" si="436"/>
        <v>9.0719999999999995E-2</v>
      </c>
      <c r="CG240" s="571">
        <f t="shared" si="437"/>
        <v>-50</v>
      </c>
      <c r="CH240">
        <f t="shared" si="438"/>
        <v>-50</v>
      </c>
    </row>
    <row r="241" spans="5:86" x14ac:dyDescent="0.2">
      <c r="E241" s="174">
        <v>25</v>
      </c>
      <c r="F241" s="221">
        <f t="shared" si="439"/>
        <v>0.105</v>
      </c>
      <c r="G241" s="221"/>
      <c r="H241" s="221">
        <f t="shared" si="404"/>
        <v>1.6274999999999999</v>
      </c>
      <c r="I241" s="551">
        <f t="shared" si="405"/>
        <v>16</v>
      </c>
      <c r="J241" s="451">
        <f t="shared" si="406"/>
        <v>16.399999999999999</v>
      </c>
      <c r="K241" s="451">
        <f t="shared" si="407"/>
        <v>32.4</v>
      </c>
      <c r="L241" s="451"/>
      <c r="M241" s="221">
        <f t="shared" si="408"/>
        <v>0.50617283950617287</v>
      </c>
      <c r="N241" s="176">
        <f t="shared" si="409"/>
        <v>15.136592592592594</v>
      </c>
      <c r="O241" s="176">
        <f t="shared" si="363"/>
        <v>1.6274999999999999</v>
      </c>
      <c r="P241" s="221">
        <f t="shared" si="410"/>
        <v>0.97655436081242541</v>
      </c>
      <c r="Q241" s="221">
        <f t="shared" si="411"/>
        <v>15.5</v>
      </c>
      <c r="R241" s="221"/>
      <c r="S241" s="176">
        <f t="shared" si="412"/>
        <v>265.19697275285836</v>
      </c>
      <c r="T241" s="176">
        <f t="shared" si="413"/>
        <v>15.5</v>
      </c>
      <c r="U241" s="221">
        <f t="shared" si="414"/>
        <v>0.44657012195121948</v>
      </c>
      <c r="V241" s="221">
        <f t="shared" si="415"/>
        <v>0.25119569359756094</v>
      </c>
      <c r="W241" s="221">
        <f t="shared" si="416"/>
        <v>0.24506896936347414</v>
      </c>
      <c r="X241" s="201">
        <f t="shared" si="417"/>
        <v>350</v>
      </c>
      <c r="Y241" s="451">
        <f t="shared" si="418"/>
        <v>350</v>
      </c>
      <c r="AA241" s="221">
        <f t="shared" si="419"/>
        <v>2.5710366451107194</v>
      </c>
      <c r="AB241" s="177">
        <f t="shared" si="420"/>
        <v>1.4109347442680777</v>
      </c>
      <c r="AC241" s="177">
        <f t="shared" si="421"/>
        <v>0.63482386299030114</v>
      </c>
      <c r="AD241" s="177"/>
      <c r="AE241" s="177">
        <f t="shared" si="422"/>
        <v>0.45</v>
      </c>
      <c r="AF241" s="555">
        <f t="shared" si="423"/>
        <v>569.10569105691059</v>
      </c>
      <c r="AG241" s="538">
        <f t="shared" si="424"/>
        <v>6.4574999999999994E-2</v>
      </c>
      <c r="AI241" s="177">
        <f t="shared" si="425"/>
        <v>1.0456258094238746</v>
      </c>
      <c r="AJ241" s="177">
        <f t="shared" si="426"/>
        <v>1.0456258094238746</v>
      </c>
      <c r="AK241" s="177">
        <f t="shared" si="427"/>
        <v>1.3504172062825832</v>
      </c>
      <c r="AM241" s="555">
        <f t="shared" si="428"/>
        <v>105</v>
      </c>
      <c r="AN241" s="469">
        <f t="shared" si="429"/>
        <v>350</v>
      </c>
      <c r="AP241">
        <f t="shared" si="430"/>
        <v>105</v>
      </c>
      <c r="AQ241">
        <f t="shared" si="431"/>
        <v>350</v>
      </c>
      <c r="AS241" s="5">
        <f t="shared" si="364"/>
        <v>2.8571428571428572</v>
      </c>
      <c r="AT241" s="5">
        <f t="shared" si="432"/>
        <v>0.58816451780092949</v>
      </c>
      <c r="AU241" s="5">
        <f t="shared" si="440"/>
        <v>2.2689783393419276</v>
      </c>
      <c r="AV241" s="5"/>
      <c r="AW241" s="177">
        <f t="shared" si="441"/>
        <v>0.20585758123032533</v>
      </c>
      <c r="AX241" s="177"/>
      <c r="BA241" s="469">
        <f t="shared" si="433"/>
        <v>17.856916306602201</v>
      </c>
      <c r="BB241" s="469">
        <f t="shared" si="434"/>
        <v>1.563431909824047</v>
      </c>
      <c r="BC241" s="5">
        <f t="shared" si="359"/>
        <v>0.42740303787951234</v>
      </c>
      <c r="BD241" s="469">
        <f t="shared" si="435"/>
        <v>0</v>
      </c>
      <c r="BQ241" s="538">
        <f t="shared" si="436"/>
        <v>9.4500000000000001E-2</v>
      </c>
      <c r="CG241" s="571">
        <f t="shared" si="437"/>
        <v>-50</v>
      </c>
      <c r="CH241">
        <f t="shared" si="438"/>
        <v>-50</v>
      </c>
    </row>
    <row r="242" spans="5:86" x14ac:dyDescent="0.2">
      <c r="E242" s="174">
        <v>26</v>
      </c>
      <c r="F242" s="221">
        <f t="shared" si="439"/>
        <v>0.10920000000000001</v>
      </c>
      <c r="G242" s="221"/>
      <c r="H242" s="221">
        <f t="shared" si="404"/>
        <v>1.6926000000000001</v>
      </c>
      <c r="I242" s="551">
        <f t="shared" si="405"/>
        <v>16</v>
      </c>
      <c r="J242" s="451">
        <f t="shared" si="406"/>
        <v>16.399999999999999</v>
      </c>
      <c r="K242" s="451">
        <f t="shared" si="407"/>
        <v>32.4</v>
      </c>
      <c r="L242" s="451"/>
      <c r="M242" s="221">
        <f t="shared" si="408"/>
        <v>0.50617283950617287</v>
      </c>
      <c r="N242" s="176">
        <f t="shared" si="409"/>
        <v>15.136592592592594</v>
      </c>
      <c r="O242" s="176">
        <f t="shared" si="363"/>
        <v>1.6926000000000001</v>
      </c>
      <c r="P242" s="221">
        <f t="shared" si="410"/>
        <v>0.97655436081242541</v>
      </c>
      <c r="Q242" s="221">
        <f t="shared" si="411"/>
        <v>15.5</v>
      </c>
      <c r="R242" s="221"/>
      <c r="S242" s="176">
        <f t="shared" si="412"/>
        <v>254.38607763606689</v>
      </c>
      <c r="T242" s="176">
        <f t="shared" si="413"/>
        <v>15.5</v>
      </c>
      <c r="U242" s="221">
        <f t="shared" si="414"/>
        <v>0.46443292682926829</v>
      </c>
      <c r="V242" s="221">
        <f t="shared" si="415"/>
        <v>0.26124352134146345</v>
      </c>
      <c r="W242" s="221">
        <f t="shared" si="416"/>
        <v>0.25487172813801312</v>
      </c>
      <c r="X242" s="201">
        <f t="shared" si="417"/>
        <v>350</v>
      </c>
      <c r="Y242" s="451">
        <f t="shared" si="418"/>
        <v>350</v>
      </c>
      <c r="AA242" s="221">
        <f t="shared" si="419"/>
        <v>2.5710366451107194</v>
      </c>
      <c r="AB242" s="177">
        <f t="shared" si="420"/>
        <v>1.4109347442680777</v>
      </c>
      <c r="AC242" s="177">
        <f t="shared" si="421"/>
        <v>0.63482386299030114</v>
      </c>
      <c r="AD242" s="177"/>
      <c r="AE242" s="177">
        <f t="shared" si="422"/>
        <v>0.45</v>
      </c>
      <c r="AF242" s="555">
        <f t="shared" si="423"/>
        <v>591.869918699187</v>
      </c>
      <c r="AG242" s="538">
        <f t="shared" si="424"/>
        <v>6.4574999999999994E-2</v>
      </c>
      <c r="AI242" s="177">
        <f t="shared" si="425"/>
        <v>1.0663332812337174</v>
      </c>
      <c r="AJ242" s="177">
        <f t="shared" si="426"/>
        <v>1.0663332812337174</v>
      </c>
      <c r="AK242" s="177">
        <f t="shared" si="427"/>
        <v>1.3642221874891449</v>
      </c>
      <c r="AM242" s="555">
        <f t="shared" si="428"/>
        <v>109.2</v>
      </c>
      <c r="AN242" s="469">
        <f t="shared" si="429"/>
        <v>350</v>
      </c>
      <c r="AP242">
        <f t="shared" si="430"/>
        <v>109.2</v>
      </c>
      <c r="AQ242">
        <f t="shared" si="431"/>
        <v>350</v>
      </c>
      <c r="AS242" s="5">
        <f t="shared" si="364"/>
        <v>2.8571428571428572</v>
      </c>
      <c r="AT242" s="5">
        <f t="shared" si="432"/>
        <v>0.59981247069396604</v>
      </c>
      <c r="AU242" s="5">
        <f t="shared" si="440"/>
        <v>2.2573303864488912</v>
      </c>
      <c r="AV242" s="5"/>
      <c r="AW242" s="177">
        <f t="shared" si="441"/>
        <v>0.2099343647428881</v>
      </c>
      <c r="AX242" s="177"/>
      <c r="BA242" s="469">
        <f t="shared" si="433"/>
        <v>17.856916306602201</v>
      </c>
      <c r="BB242" s="469">
        <f t="shared" si="434"/>
        <v>1.6822719536656896</v>
      </c>
      <c r="BC242" s="5">
        <f t="shared" si="359"/>
        <v>0.44221729306752233</v>
      </c>
      <c r="BD242" s="469">
        <f t="shared" si="435"/>
        <v>0</v>
      </c>
      <c r="BQ242" s="538">
        <f t="shared" si="436"/>
        <v>9.8280000000000006E-2</v>
      </c>
      <c r="CG242" s="571">
        <f t="shared" si="437"/>
        <v>-50</v>
      </c>
      <c r="CH242">
        <f t="shared" si="438"/>
        <v>-50</v>
      </c>
    </row>
    <row r="243" spans="5:86" x14ac:dyDescent="0.2">
      <c r="E243" s="174">
        <v>27</v>
      </c>
      <c r="F243" s="221">
        <f t="shared" si="439"/>
        <v>0.1134</v>
      </c>
      <c r="G243" s="221"/>
      <c r="H243" s="221">
        <f t="shared" si="404"/>
        <v>1.7577</v>
      </c>
      <c r="I243" s="551">
        <f t="shared" si="405"/>
        <v>16</v>
      </c>
      <c r="J243" s="451">
        <f t="shared" si="406"/>
        <v>16.399999999999999</v>
      </c>
      <c r="K243" s="451">
        <f t="shared" si="407"/>
        <v>32.4</v>
      </c>
      <c r="L243" s="451"/>
      <c r="M243" s="221">
        <f t="shared" si="408"/>
        <v>0.50617283950617287</v>
      </c>
      <c r="N243" s="176">
        <f t="shared" si="409"/>
        <v>15.136592592592594</v>
      </c>
      <c r="O243" s="176">
        <f t="shared" si="363"/>
        <v>1.7577</v>
      </c>
      <c r="P243" s="221">
        <f t="shared" si="410"/>
        <v>0.97655436081242541</v>
      </c>
      <c r="Q243" s="221">
        <f t="shared" si="411"/>
        <v>15.5</v>
      </c>
      <c r="R243" s="221"/>
      <c r="S243" s="176">
        <f t="shared" si="412"/>
        <v>244.37616964915202</v>
      </c>
      <c r="T243" s="176">
        <f t="shared" si="413"/>
        <v>15.5</v>
      </c>
      <c r="U243" s="221">
        <f t="shared" si="414"/>
        <v>0.48229573170731704</v>
      </c>
      <c r="V243" s="221">
        <f t="shared" si="415"/>
        <v>0.27129134908536584</v>
      </c>
      <c r="W243" s="221">
        <f t="shared" si="416"/>
        <v>0.26467448691255208</v>
      </c>
      <c r="X243" s="201">
        <f t="shared" si="417"/>
        <v>350</v>
      </c>
      <c r="Y243" s="451">
        <f t="shared" si="418"/>
        <v>350</v>
      </c>
      <c r="AA243" s="221">
        <f t="shared" si="419"/>
        <v>2.5710366451107194</v>
      </c>
      <c r="AB243" s="177">
        <f t="shared" si="420"/>
        <v>1.4109347442680777</v>
      </c>
      <c r="AC243" s="177">
        <f t="shared" si="421"/>
        <v>0.63482386299030114</v>
      </c>
      <c r="AD243" s="177"/>
      <c r="AE243" s="177">
        <f t="shared" si="422"/>
        <v>0.45</v>
      </c>
      <c r="AF243" s="555">
        <f t="shared" si="423"/>
        <v>614.63414634146341</v>
      </c>
      <c r="AG243" s="538">
        <f t="shared" si="424"/>
        <v>6.4574999999999994E-2</v>
      </c>
      <c r="AI243" s="177">
        <f t="shared" si="425"/>
        <v>1.0866462165764899</v>
      </c>
      <c r="AJ243" s="177">
        <f t="shared" si="426"/>
        <v>1.0866462165764899</v>
      </c>
      <c r="AK243" s="177">
        <f t="shared" si="427"/>
        <v>1.3777641443843267</v>
      </c>
      <c r="AM243" s="555">
        <f t="shared" si="428"/>
        <v>113.4</v>
      </c>
      <c r="AN243" s="469">
        <f t="shared" si="429"/>
        <v>350</v>
      </c>
      <c r="AP243">
        <f t="shared" si="430"/>
        <v>113.4</v>
      </c>
      <c r="AQ243">
        <f t="shared" si="431"/>
        <v>350</v>
      </c>
      <c r="AS243" s="5">
        <f t="shared" si="364"/>
        <v>2.8571428571428572</v>
      </c>
      <c r="AT243" s="5">
        <f t="shared" si="432"/>
        <v>0.61123849682427556</v>
      </c>
      <c r="AU243" s="5">
        <f t="shared" si="440"/>
        <v>2.2459043603185815</v>
      </c>
      <c r="AV243" s="5"/>
      <c r="AW243" s="177">
        <f t="shared" si="441"/>
        <v>0.21393347388849643</v>
      </c>
      <c r="AX243" s="177"/>
      <c r="BA243" s="469">
        <f t="shared" si="433"/>
        <v>17.856916306602201</v>
      </c>
      <c r="BB243" s="469">
        <f t="shared" si="434"/>
        <v>1.8054429796187685</v>
      </c>
      <c r="BC243" s="5">
        <f t="shared" si="359"/>
        <v>0.45690116830231137</v>
      </c>
      <c r="BD243" s="469">
        <f t="shared" si="435"/>
        <v>0</v>
      </c>
      <c r="BQ243" s="538">
        <f t="shared" si="436"/>
        <v>0.10206</v>
      </c>
      <c r="CG243" s="571">
        <f t="shared" si="437"/>
        <v>-50</v>
      </c>
      <c r="CH243">
        <f t="shared" si="438"/>
        <v>-50</v>
      </c>
    </row>
    <row r="244" spans="5:86" x14ac:dyDescent="0.2">
      <c r="E244" s="174">
        <v>28</v>
      </c>
      <c r="F244" s="221">
        <f t="shared" si="439"/>
        <v>0.11760000000000001</v>
      </c>
      <c r="G244" s="221"/>
      <c r="H244" s="221">
        <f t="shared" si="404"/>
        <v>1.8228000000000002</v>
      </c>
      <c r="I244" s="551">
        <f t="shared" si="405"/>
        <v>16</v>
      </c>
      <c r="J244" s="451">
        <f t="shared" si="406"/>
        <v>16.399999999999999</v>
      </c>
      <c r="K244" s="451">
        <f t="shared" si="407"/>
        <v>32.4</v>
      </c>
      <c r="L244" s="451"/>
      <c r="M244" s="221">
        <f t="shared" si="408"/>
        <v>0.50617283950617287</v>
      </c>
      <c r="N244" s="176">
        <f t="shared" si="409"/>
        <v>15.136592592592594</v>
      </c>
      <c r="O244" s="176">
        <f t="shared" si="363"/>
        <v>1.8228000000000002</v>
      </c>
      <c r="P244" s="221">
        <f t="shared" si="410"/>
        <v>0.97655436081242541</v>
      </c>
      <c r="Q244" s="221">
        <f t="shared" si="411"/>
        <v>15.5</v>
      </c>
      <c r="R244" s="221"/>
      <c r="S244" s="176">
        <f t="shared" si="412"/>
        <v>235.0814299140244</v>
      </c>
      <c r="T244" s="176">
        <f t="shared" si="413"/>
        <v>15.5</v>
      </c>
      <c r="U244" s="221">
        <f t="shared" si="414"/>
        <v>0.50015853658536591</v>
      </c>
      <c r="V244" s="221">
        <f t="shared" si="415"/>
        <v>0.28133917682926829</v>
      </c>
      <c r="W244" s="221">
        <f t="shared" si="416"/>
        <v>0.27447724568709109</v>
      </c>
      <c r="X244" s="201">
        <f t="shared" si="417"/>
        <v>350</v>
      </c>
      <c r="Y244" s="451">
        <f t="shared" si="418"/>
        <v>350</v>
      </c>
      <c r="AA244" s="221">
        <f t="shared" si="419"/>
        <v>2.5710366451107194</v>
      </c>
      <c r="AB244" s="177">
        <f t="shared" si="420"/>
        <v>1.4109347442680777</v>
      </c>
      <c r="AC244" s="177">
        <f t="shared" si="421"/>
        <v>0.63482386299030114</v>
      </c>
      <c r="AD244" s="177"/>
      <c r="AE244" s="177">
        <f t="shared" si="422"/>
        <v>0.45</v>
      </c>
      <c r="AF244" s="555">
        <f t="shared" si="423"/>
        <v>637.39837398373993</v>
      </c>
      <c r="AG244" s="538">
        <f t="shared" si="424"/>
        <v>6.4574999999999994E-2</v>
      </c>
      <c r="AI244" s="177">
        <f t="shared" si="425"/>
        <v>1.1065863424664761</v>
      </c>
      <c r="AJ244" s="177">
        <f t="shared" si="426"/>
        <v>1.1065863424664761</v>
      </c>
      <c r="AK244" s="177">
        <f t="shared" si="427"/>
        <v>1.3910575616443175</v>
      </c>
      <c r="AM244" s="555">
        <f t="shared" si="428"/>
        <v>117.60000000000001</v>
      </c>
      <c r="AN244" s="469">
        <f t="shared" si="429"/>
        <v>350</v>
      </c>
      <c r="AP244">
        <f t="shared" si="430"/>
        <v>117.60000000000001</v>
      </c>
      <c r="AQ244">
        <f t="shared" si="431"/>
        <v>350</v>
      </c>
      <c r="AS244" s="5">
        <f t="shared" si="364"/>
        <v>2.8571428571428572</v>
      </c>
      <c r="AT244" s="5">
        <f t="shared" si="432"/>
        <v>0.62245481763739274</v>
      </c>
      <c r="AU244" s="5">
        <f t="shared" si="440"/>
        <v>2.2346880395054645</v>
      </c>
      <c r="AV244" s="5"/>
      <c r="AW244" s="177">
        <f t="shared" si="441"/>
        <v>0.21785918617308744</v>
      </c>
      <c r="AX244" s="177"/>
      <c r="BA244" s="469">
        <f t="shared" si="433"/>
        <v>17.856916306602201</v>
      </c>
      <c r="BB244" s="469">
        <f t="shared" si="434"/>
        <v>1.9329449876832852</v>
      </c>
      <c r="BC244" s="5">
        <f t="shared" si="359"/>
        <v>0.47145710166788896</v>
      </c>
      <c r="BD244" s="469">
        <f t="shared" si="435"/>
        <v>0</v>
      </c>
      <c r="BQ244" s="538">
        <f t="shared" si="436"/>
        <v>0.10584000000000002</v>
      </c>
      <c r="CG244" s="571">
        <f t="shared" si="437"/>
        <v>-50</v>
      </c>
      <c r="CH244">
        <f t="shared" si="438"/>
        <v>-50</v>
      </c>
    </row>
    <row r="245" spans="5:86" x14ac:dyDescent="0.2">
      <c r="E245" s="174">
        <v>29</v>
      </c>
      <c r="F245" s="221">
        <f t="shared" si="439"/>
        <v>0.12179999999999999</v>
      </c>
      <c r="G245" s="221"/>
      <c r="H245" s="221">
        <f t="shared" si="404"/>
        <v>1.8878999999999999</v>
      </c>
      <c r="I245" s="551">
        <f t="shared" si="405"/>
        <v>16</v>
      </c>
      <c r="J245" s="451">
        <f t="shared" si="406"/>
        <v>16.399999999999999</v>
      </c>
      <c r="K245" s="451">
        <f t="shared" si="407"/>
        <v>32.4</v>
      </c>
      <c r="L245" s="451"/>
      <c r="M245" s="221">
        <f t="shared" si="408"/>
        <v>0.50617283950617287</v>
      </c>
      <c r="N245" s="176">
        <f t="shared" si="409"/>
        <v>15.136592592592594</v>
      </c>
      <c r="O245" s="176">
        <f t="shared" si="363"/>
        <v>1.8878999999999999</v>
      </c>
      <c r="P245" s="221">
        <f t="shared" si="410"/>
        <v>0.97655436081242541</v>
      </c>
      <c r="Q245" s="221">
        <f t="shared" si="411"/>
        <v>15.5</v>
      </c>
      <c r="R245" s="221"/>
      <c r="S245" s="176">
        <f t="shared" si="412"/>
        <v>226.42787664867069</v>
      </c>
      <c r="T245" s="176">
        <f t="shared" si="413"/>
        <v>15.5</v>
      </c>
      <c r="U245" s="221">
        <f t="shared" si="414"/>
        <v>0.51802134146341461</v>
      </c>
      <c r="V245" s="221">
        <f t="shared" si="415"/>
        <v>0.29138700457317074</v>
      </c>
      <c r="W245" s="221">
        <f t="shared" si="416"/>
        <v>0.28428000446162999</v>
      </c>
      <c r="X245" s="201">
        <f t="shared" si="417"/>
        <v>350</v>
      </c>
      <c r="Y245" s="451">
        <f t="shared" si="418"/>
        <v>350</v>
      </c>
      <c r="AA245" s="221">
        <f t="shared" si="419"/>
        <v>2.5710366451107194</v>
      </c>
      <c r="AB245" s="177">
        <f t="shared" si="420"/>
        <v>1.4109347442680777</v>
      </c>
      <c r="AC245" s="177">
        <f t="shared" si="421"/>
        <v>0.63482386299030114</v>
      </c>
      <c r="AD245" s="177"/>
      <c r="AE245" s="177">
        <f t="shared" si="422"/>
        <v>0.45</v>
      </c>
      <c r="AF245" s="555">
        <f t="shared" si="423"/>
        <v>660.16260162601623</v>
      </c>
      <c r="AG245" s="538">
        <f t="shared" si="424"/>
        <v>6.4574999999999994E-2</v>
      </c>
      <c r="AI245" s="177">
        <f t="shared" si="425"/>
        <v>1.126173462068196</v>
      </c>
      <c r="AJ245" s="177">
        <f t="shared" si="426"/>
        <v>1.126173462068196</v>
      </c>
      <c r="AK245" s="177">
        <f t="shared" si="427"/>
        <v>1.4041156413787974</v>
      </c>
      <c r="AM245" s="555">
        <f t="shared" si="428"/>
        <v>121.8</v>
      </c>
      <c r="AN245" s="469">
        <f t="shared" si="429"/>
        <v>350</v>
      </c>
      <c r="AP245">
        <f t="shared" si="430"/>
        <v>121.8</v>
      </c>
      <c r="AQ245">
        <f t="shared" si="431"/>
        <v>350</v>
      </c>
      <c r="AS245" s="5">
        <f t="shared" si="364"/>
        <v>2.8571428571428572</v>
      </c>
      <c r="AT245" s="5">
        <f t="shared" si="432"/>
        <v>0.6334725724133603</v>
      </c>
      <c r="AU245" s="5">
        <f t="shared" si="440"/>
        <v>2.2236702847294971</v>
      </c>
      <c r="AV245" s="5"/>
      <c r="AW245" s="177">
        <f t="shared" si="441"/>
        <v>0.2217154003446761</v>
      </c>
      <c r="AX245" s="177"/>
      <c r="BA245" s="469">
        <f t="shared" si="433"/>
        <v>17.856916306602201</v>
      </c>
      <c r="BB245" s="469">
        <f t="shared" si="434"/>
        <v>2.0647779778592374</v>
      </c>
      <c r="BC245" s="5">
        <f t="shared" ref="BC245:BC308" si="442">H245/Efficiency/I245*AU245/Vinripple1</f>
        <v>0.48588739936815006</v>
      </c>
      <c r="BD245" s="469">
        <f t="shared" si="435"/>
        <v>0</v>
      </c>
      <c r="BQ245" s="538">
        <f t="shared" si="436"/>
        <v>0.10962</v>
      </c>
      <c r="CG245" s="571">
        <f t="shared" si="437"/>
        <v>-50</v>
      </c>
      <c r="CH245">
        <f t="shared" si="438"/>
        <v>-50</v>
      </c>
    </row>
    <row r="246" spans="5:86" x14ac:dyDescent="0.2">
      <c r="E246" s="174">
        <v>30</v>
      </c>
      <c r="F246" s="221">
        <f t="shared" si="439"/>
        <v>0.126</v>
      </c>
      <c r="G246" s="221"/>
      <c r="H246" s="221">
        <f t="shared" si="404"/>
        <v>1.9530000000000001</v>
      </c>
      <c r="I246" s="551">
        <f t="shared" si="405"/>
        <v>16</v>
      </c>
      <c r="J246" s="451">
        <f t="shared" si="406"/>
        <v>16.399999999999999</v>
      </c>
      <c r="K246" s="451">
        <f t="shared" si="407"/>
        <v>32.4</v>
      </c>
      <c r="L246" s="451"/>
      <c r="M246" s="221">
        <f t="shared" si="408"/>
        <v>0.50617283950617287</v>
      </c>
      <c r="N246" s="176">
        <f t="shared" si="409"/>
        <v>15.136592592592594</v>
      </c>
      <c r="O246" s="176">
        <f t="shared" si="363"/>
        <v>1.9530000000000001</v>
      </c>
      <c r="P246" s="221">
        <f t="shared" si="410"/>
        <v>0.97655436081242541</v>
      </c>
      <c r="Q246" s="221">
        <f t="shared" si="411"/>
        <v>15.5</v>
      </c>
      <c r="R246" s="221"/>
      <c r="S246" s="176">
        <f t="shared" si="412"/>
        <v>218.35139231789356</v>
      </c>
      <c r="T246" s="176">
        <f t="shared" si="413"/>
        <v>15.5</v>
      </c>
      <c r="U246" s="221">
        <f t="shared" si="414"/>
        <v>0.53588414634146342</v>
      </c>
      <c r="V246" s="221">
        <f t="shared" si="415"/>
        <v>0.30143483231707319</v>
      </c>
      <c r="W246" s="221">
        <f t="shared" si="416"/>
        <v>0.294082763236169</v>
      </c>
      <c r="X246" s="201">
        <f t="shared" si="417"/>
        <v>350</v>
      </c>
      <c r="Y246" s="451">
        <f t="shared" si="418"/>
        <v>350</v>
      </c>
      <c r="AA246" s="221">
        <f t="shared" si="419"/>
        <v>2.5710366451107194</v>
      </c>
      <c r="AB246" s="177">
        <f t="shared" si="420"/>
        <v>1.4109347442680777</v>
      </c>
      <c r="AC246" s="177">
        <f t="shared" si="421"/>
        <v>0.63482386299030114</v>
      </c>
      <c r="AD246" s="177"/>
      <c r="AE246" s="177">
        <f t="shared" si="422"/>
        <v>0.45</v>
      </c>
      <c r="AF246" s="555">
        <f t="shared" si="423"/>
        <v>682.92682926829275</v>
      </c>
      <c r="AG246" s="538">
        <f t="shared" si="424"/>
        <v>6.4574999999999994E-2</v>
      </c>
      <c r="AI246" s="177">
        <f t="shared" si="425"/>
        <v>1.1454256850621083</v>
      </c>
      <c r="AJ246" s="177">
        <f t="shared" si="426"/>
        <v>1.1454256850621083</v>
      </c>
      <c r="AK246" s="177">
        <f t="shared" si="427"/>
        <v>1.4169504567080722</v>
      </c>
      <c r="AM246" s="555">
        <f t="shared" si="428"/>
        <v>126</v>
      </c>
      <c r="AN246" s="469">
        <f t="shared" si="429"/>
        <v>350</v>
      </c>
      <c r="AP246">
        <f t="shared" si="430"/>
        <v>126</v>
      </c>
      <c r="AQ246">
        <f t="shared" si="431"/>
        <v>350</v>
      </c>
      <c r="AS246" s="5">
        <f t="shared" si="364"/>
        <v>2.8571428571428572</v>
      </c>
      <c r="AT246" s="5">
        <f t="shared" si="432"/>
        <v>0.64430194784743589</v>
      </c>
      <c r="AU246" s="5">
        <f t="shared" si="440"/>
        <v>2.2128409092954211</v>
      </c>
      <c r="AV246" s="5"/>
      <c r="AW246" s="177">
        <f t="shared" si="441"/>
        <v>0.22550568174660254</v>
      </c>
      <c r="AX246" s="177"/>
      <c r="BA246" s="469">
        <f t="shared" si="433"/>
        <v>17.856916306602201</v>
      </c>
      <c r="BB246" s="469">
        <f t="shared" si="434"/>
        <v>2.2009419501466283</v>
      </c>
      <c r="BC246" s="5">
        <f t="shared" si="442"/>
        <v>0.50019424720531902</v>
      </c>
      <c r="BD246" s="469">
        <f t="shared" si="435"/>
        <v>0</v>
      </c>
      <c r="BQ246" s="538">
        <f t="shared" si="436"/>
        <v>0.1134</v>
      </c>
      <c r="CG246" s="571">
        <f t="shared" si="437"/>
        <v>-50</v>
      </c>
      <c r="CH246">
        <f t="shared" si="438"/>
        <v>-50</v>
      </c>
    </row>
    <row r="247" spans="5:86" x14ac:dyDescent="0.2">
      <c r="E247" s="174">
        <v>31</v>
      </c>
      <c r="F247" s="221">
        <f t="shared" si="439"/>
        <v>0.13019999999999998</v>
      </c>
      <c r="G247" s="221"/>
      <c r="H247" s="221">
        <f t="shared" si="404"/>
        <v>2.0180999999999996</v>
      </c>
      <c r="I247" s="551">
        <f t="shared" si="405"/>
        <v>16</v>
      </c>
      <c r="J247" s="451">
        <f t="shared" si="406"/>
        <v>16.399999999999999</v>
      </c>
      <c r="K247" s="451">
        <f t="shared" si="407"/>
        <v>32.4</v>
      </c>
      <c r="L247" s="451"/>
      <c r="M247" s="221">
        <f t="shared" si="408"/>
        <v>0.50617283950617287</v>
      </c>
      <c r="N247" s="176">
        <f t="shared" si="409"/>
        <v>15.136592592592594</v>
      </c>
      <c r="O247" s="176">
        <f t="shared" si="363"/>
        <v>2.0180999999999996</v>
      </c>
      <c r="P247" s="221">
        <f t="shared" si="410"/>
        <v>0.97655436081242541</v>
      </c>
      <c r="Q247" s="221">
        <f t="shared" si="411"/>
        <v>15.5</v>
      </c>
      <c r="R247" s="221"/>
      <c r="S247" s="176">
        <f t="shared" si="412"/>
        <v>210.79613262584564</v>
      </c>
      <c r="T247" s="176">
        <f t="shared" si="413"/>
        <v>15.5</v>
      </c>
      <c r="U247" s="221">
        <f t="shared" si="414"/>
        <v>0.55374695121951201</v>
      </c>
      <c r="V247" s="221">
        <f t="shared" si="415"/>
        <v>0.31148266006097552</v>
      </c>
      <c r="W247" s="221">
        <f t="shared" si="416"/>
        <v>0.30388552201070784</v>
      </c>
      <c r="X247" s="201">
        <f t="shared" si="417"/>
        <v>350</v>
      </c>
      <c r="Y247" s="451">
        <f t="shared" si="418"/>
        <v>350</v>
      </c>
      <c r="AA247" s="221">
        <f t="shared" si="419"/>
        <v>2.5710366451107194</v>
      </c>
      <c r="AB247" s="177">
        <f t="shared" si="420"/>
        <v>1.4109347442680777</v>
      </c>
      <c r="AC247" s="177">
        <f t="shared" si="421"/>
        <v>0.63482386299030114</v>
      </c>
      <c r="AD247" s="177"/>
      <c r="AE247" s="177">
        <f t="shared" si="422"/>
        <v>0.45</v>
      </c>
      <c r="AF247" s="555">
        <f t="shared" si="423"/>
        <v>705.69105691056905</v>
      </c>
      <c r="AG247" s="538">
        <f t="shared" si="424"/>
        <v>6.4574999999999994E-2</v>
      </c>
      <c r="AI247" s="177">
        <f t="shared" si="425"/>
        <v>1.1643596237131091</v>
      </c>
      <c r="AJ247" s="177">
        <f t="shared" si="426"/>
        <v>1.1643596237131091</v>
      </c>
      <c r="AK247" s="177">
        <f t="shared" si="427"/>
        <v>1.429573082475406</v>
      </c>
      <c r="AM247" s="555">
        <f t="shared" si="428"/>
        <v>130.19999999999999</v>
      </c>
      <c r="AN247" s="469">
        <f t="shared" si="429"/>
        <v>350</v>
      </c>
      <c r="AP247">
        <f t="shared" si="430"/>
        <v>130.19999999999999</v>
      </c>
      <c r="AQ247">
        <f t="shared" si="431"/>
        <v>350</v>
      </c>
      <c r="AS247" s="5">
        <f t="shared" si="364"/>
        <v>2.8571428571428572</v>
      </c>
      <c r="AT247" s="5">
        <f t="shared" si="432"/>
        <v>0.65495228833862384</v>
      </c>
      <c r="AU247" s="5">
        <f t="shared" si="440"/>
        <v>2.2021905688042334</v>
      </c>
      <c r="AV247" s="5"/>
      <c r="AW247" s="177">
        <f t="shared" si="441"/>
        <v>0.22923330091851835</v>
      </c>
      <c r="AX247" s="177"/>
      <c r="BA247" s="469">
        <f t="shared" si="433"/>
        <v>17.856916306602201</v>
      </c>
      <c r="BB247" s="469">
        <f t="shared" si="434"/>
        <v>2.3414369045454544</v>
      </c>
      <c r="BC247" s="5">
        <f t="shared" si="442"/>
        <v>0.51437972070646076</v>
      </c>
      <c r="BD247" s="469">
        <f t="shared" si="435"/>
        <v>0</v>
      </c>
      <c r="BQ247" s="538">
        <f t="shared" si="436"/>
        <v>0.11717999999999999</v>
      </c>
      <c r="CG247" s="571">
        <f t="shared" si="437"/>
        <v>-50</v>
      </c>
      <c r="CH247">
        <f t="shared" si="438"/>
        <v>-50</v>
      </c>
    </row>
    <row r="248" spans="5:86" x14ac:dyDescent="0.2">
      <c r="E248" s="174">
        <v>32</v>
      </c>
      <c r="F248" s="221">
        <f t="shared" si="439"/>
        <v>0.13439999999999999</v>
      </c>
      <c r="G248" s="221"/>
      <c r="H248" s="221">
        <f t="shared" ref="H248:H279" si="443">F248*Vout</f>
        <v>2.0831999999999997</v>
      </c>
      <c r="I248" s="551">
        <f t="shared" ref="I248:I279" si="444">VIN_max</f>
        <v>16</v>
      </c>
      <c r="J248" s="451">
        <f t="shared" ref="J248:J279" si="445">(T248+Vfwd1)*Nps</f>
        <v>16.399999999999999</v>
      </c>
      <c r="K248" s="451">
        <f t="shared" ref="K248:K279" si="446">(Vout+Vfwd1)*Nps+I248</f>
        <v>32.4</v>
      </c>
      <c r="L248" s="451"/>
      <c r="M248" s="221">
        <f t="shared" ref="M248:M279" si="447">(Vout+Vfwd1)*Nps/((Vout+Vfwd1)*Nps+I248)</f>
        <v>0.50617283950617287</v>
      </c>
      <c r="N248" s="176">
        <f t="shared" ref="N248:N279" si="448">M248*I248*(Isw_max+VIN_max/Lmag*ILIM_delay)*0.5*Efficiency</f>
        <v>15.136592592592594</v>
      </c>
      <c r="O248" s="176">
        <f t="shared" si="363"/>
        <v>2.0831999999999997</v>
      </c>
      <c r="P248" s="221">
        <f t="shared" ref="P248:P279" si="449">N248/Vout</f>
        <v>0.97655436081242541</v>
      </c>
      <c r="Q248" s="221">
        <f t="shared" ref="Q248:Q279" si="450">MIN(Vout,N248/F248)</f>
        <v>15.5</v>
      </c>
      <c r="R248" s="221"/>
      <c r="S248" s="176">
        <f t="shared" ref="S248:S279" si="451">(SQRT(Isw_max^2*Nps^2*I248^2+4*Isw_max*F248/Efficiency*(Nps^2*Vfwd1*I248-Nps*I248^2)+4*(F248/Efficiency)^2*Nps^2*Vfwd1^2+8*(F248/Efficiency)^2*Nps*Vfwd1*I248+4*(F248/Efficiency)^2*I248^2)-2*F248/Efficiency*I248-2*F248/Efficiency*Nps*Vfwd1+Isw_max*Nps*I248)/(4*F248/Efficiency*Nps)</f>
        <v>203.71323382246379</v>
      </c>
      <c r="T248" s="176">
        <f t="shared" ref="T248:T279" si="452">MIN(Vout, S248)</f>
        <v>15.5</v>
      </c>
      <c r="U248" s="221">
        <f t="shared" ref="U248:U279" si="453">MIN(2*Vout*F248/(Efficiency*I248*M248), Isw_max)</f>
        <v>0.57160975609756082</v>
      </c>
      <c r="V248" s="221">
        <f t="shared" ref="V248:V279" si="454">L*U248/I248*1000000</f>
        <v>0.32153048780487797</v>
      </c>
      <c r="W248" s="221">
        <f t="shared" ref="W248:W279" si="455">L*U248/J248*1000000</f>
        <v>0.3136882807852468</v>
      </c>
      <c r="X248" s="201">
        <f t="shared" ref="X248:X279" si="456">IF(1/((350000*L)*(1/I248+1/J248))&gt;Isw_min, 350, 0.001/((Isw_min*L)*(1/I248+1/J248)))</f>
        <v>350</v>
      </c>
      <c r="Y248" s="451">
        <f t="shared" si="418"/>
        <v>350</v>
      </c>
      <c r="AA248" s="221">
        <f t="shared" ref="AA248:AA279" si="457">1/((X248*1000*L)*(1/I248+1/J248))</f>
        <v>2.5710366451107194</v>
      </c>
      <c r="AB248" s="177">
        <f t="shared" ref="AB248:AB279" si="458">L*AA248/J248*1000000</f>
        <v>1.4109347442680777</v>
      </c>
      <c r="AC248" s="177">
        <f t="shared" ref="AC248:AC279" si="459">0.5*AB248*AA248*Nps*X248/1000</f>
        <v>0.63482386299030114</v>
      </c>
      <c r="AD248" s="177"/>
      <c r="AE248" s="177">
        <f t="shared" ref="AE248:AE279" si="460">L*Isw_min/J248*1000000</f>
        <v>0.45</v>
      </c>
      <c r="AF248" s="555">
        <f t="shared" ref="AF248:AF279" si="461">MAX(12000,F248/(0.5*AE248/1000000*Isw_min*Nps))/1000</f>
        <v>728.45528455284557</v>
      </c>
      <c r="AG248" s="538">
        <f t="shared" ref="AG248:AG279" si="462">0.5*AE248/1000000*Isw_min*Nps*X248*1000</f>
        <v>6.4574999999999994E-2</v>
      </c>
      <c r="AI248" s="177">
        <f t="shared" ref="AI248:AI279" si="463">SQRT(F248/(0.5*L/J248*Fsw_DCM*Nps))</f>
        <v>1.182990560683671</v>
      </c>
      <c r="AJ248" s="177">
        <f t="shared" ref="AJ248:AJ279" si="464">MAX(IF(F248&gt;AC248,U248,AI248),Isw_min)</f>
        <v>1.182990560683671</v>
      </c>
      <c r="AK248" s="177">
        <f t="shared" ref="AK248:AK279" si="465">IF(F248&gt;AG248, (AJ248-Isw_min)/1.2*0.8+1.2, AF248*0.2/350+1)</f>
        <v>1.4419937071224473</v>
      </c>
      <c r="AM248" s="555">
        <f t="shared" ref="AM248:AM279" si="466">F248*1000</f>
        <v>134.4</v>
      </c>
      <c r="AN248" s="469">
        <f t="shared" ref="AN248:AN279" si="467">IF(F248&gt;AG248, Y248, AF248)</f>
        <v>350</v>
      </c>
      <c r="AP248">
        <f t="shared" ref="AP248:AP279" si="468">IF(H248&gt;N248, "",AM248)</f>
        <v>134.4</v>
      </c>
      <c r="AQ248">
        <f t="shared" ref="AQ248:AQ279" si="469">IF(H248&gt;N248, "",AN248)</f>
        <v>350</v>
      </c>
      <c r="AS248" s="5">
        <f t="shared" si="364"/>
        <v>2.8571428571428572</v>
      </c>
      <c r="AT248" s="5">
        <f t="shared" ref="AT248:AT279" si="470">L*AJ248/I248*1000000</f>
        <v>0.66543219038456491</v>
      </c>
      <c r="AU248" s="5">
        <f t="shared" si="440"/>
        <v>2.1917106667582922</v>
      </c>
      <c r="AV248" s="5"/>
      <c r="AW248" s="177">
        <f t="shared" si="441"/>
        <v>0.2329012666345977</v>
      </c>
      <c r="AX248" s="177"/>
      <c r="BA248" s="469">
        <f t="shared" ref="BA248:BA279" si="471">L*Isw_max^2/(2*Vout_ripple*Vout)*1000000000*((1+M248)/2)^2</f>
        <v>17.856916306602201</v>
      </c>
      <c r="BB248" s="469">
        <f t="shared" ref="BB248:BB279" si="472">L*F248^2/(2*Cout*Vout*Nps^2)*1000000000*((1+M248)/(1-M248))^2+F248*RCoutEsr</f>
        <v>2.4862628410557184</v>
      </c>
      <c r="BC248" s="5">
        <f t="shared" si="442"/>
        <v>0.52844579409616588</v>
      </c>
      <c r="BD248" s="469">
        <f t="shared" ref="BD248:BD279" si="473">((CB248/I248/Efficiency)*AU248/Cin+(CB248/I248/Efficiency)*RCinEsr)*1000</f>
        <v>0</v>
      </c>
      <c r="BQ248" s="538">
        <f t="shared" ref="BQ248:BQ279" si="474">(Vfwd2*F248+BG248^2*Rdiode)*(1+Diode_TC/1000*(Ta-25))</f>
        <v>0.12096</v>
      </c>
      <c r="CG248" s="571">
        <f t="shared" ref="CG248:CG279" si="475">IF(ABS(F248-Ioutmax_Vinmax)&lt;Iout/200, AN248, -50)</f>
        <v>-50</v>
      </c>
      <c r="CH248">
        <f t="shared" ref="CH248:CH279" si="476">IF(ABS(F248-Ioutmax_Vinmin)&lt;Iout/200, N248*CC248, -50)</f>
        <v>-50</v>
      </c>
    </row>
    <row r="249" spans="5:86" x14ac:dyDescent="0.2">
      <c r="E249" s="174">
        <v>33</v>
      </c>
      <c r="F249" s="221">
        <f t="shared" ref="F249:F280" si="477">IF(PLOT_TYPE=1, E249/100*Iout_max, min_I*EXP(N249*rr/100))</f>
        <v>0.1386</v>
      </c>
      <c r="G249" s="221"/>
      <c r="H249" s="221">
        <f t="shared" si="443"/>
        <v>2.1482999999999999</v>
      </c>
      <c r="I249" s="551">
        <f t="shared" si="444"/>
        <v>16</v>
      </c>
      <c r="J249" s="451">
        <f t="shared" si="445"/>
        <v>16.399999999999999</v>
      </c>
      <c r="K249" s="451">
        <f t="shared" si="446"/>
        <v>32.4</v>
      </c>
      <c r="L249" s="451"/>
      <c r="M249" s="221">
        <f t="shared" si="447"/>
        <v>0.50617283950617287</v>
      </c>
      <c r="N249" s="176">
        <f t="shared" si="448"/>
        <v>15.136592592592594</v>
      </c>
      <c r="O249" s="176">
        <f t="shared" si="363"/>
        <v>2.1482999999999999</v>
      </c>
      <c r="P249" s="221">
        <f t="shared" si="449"/>
        <v>0.97655436081242541</v>
      </c>
      <c r="Q249" s="221">
        <f t="shared" si="450"/>
        <v>15.5</v>
      </c>
      <c r="R249" s="221"/>
      <c r="S249" s="176">
        <f t="shared" si="451"/>
        <v>197.05975504509806</v>
      </c>
      <c r="T249" s="176">
        <f t="shared" si="452"/>
        <v>15.5</v>
      </c>
      <c r="U249" s="221">
        <f t="shared" si="453"/>
        <v>0.58947256097560963</v>
      </c>
      <c r="V249" s="221">
        <f t="shared" si="454"/>
        <v>0.33157831554878042</v>
      </c>
      <c r="W249" s="221">
        <f t="shared" si="455"/>
        <v>0.32349103955978575</v>
      </c>
      <c r="X249" s="201">
        <f t="shared" si="456"/>
        <v>350</v>
      </c>
      <c r="Y249" s="451">
        <f t="shared" si="418"/>
        <v>350</v>
      </c>
      <c r="AA249" s="221">
        <f t="shared" si="457"/>
        <v>2.5710366451107194</v>
      </c>
      <c r="AB249" s="177">
        <f t="shared" si="458"/>
        <v>1.4109347442680777</v>
      </c>
      <c r="AC249" s="177">
        <f t="shared" si="459"/>
        <v>0.63482386299030114</v>
      </c>
      <c r="AD249" s="177"/>
      <c r="AE249" s="177">
        <f t="shared" si="460"/>
        <v>0.45</v>
      </c>
      <c r="AF249" s="555">
        <f t="shared" si="461"/>
        <v>751.21951219512198</v>
      </c>
      <c r="AG249" s="538">
        <f t="shared" si="462"/>
        <v>6.4574999999999994E-2</v>
      </c>
      <c r="AI249" s="177">
        <f t="shared" si="463"/>
        <v>1.2013325934144965</v>
      </c>
      <c r="AJ249" s="177">
        <f t="shared" si="464"/>
        <v>1.2013325934144965</v>
      </c>
      <c r="AK249" s="177">
        <f t="shared" si="465"/>
        <v>1.4542217289429977</v>
      </c>
      <c r="AM249" s="555">
        <f t="shared" si="466"/>
        <v>138.6</v>
      </c>
      <c r="AN249" s="469">
        <f t="shared" si="467"/>
        <v>350</v>
      </c>
      <c r="AP249">
        <f t="shared" si="468"/>
        <v>138.6</v>
      </c>
      <c r="AQ249">
        <f t="shared" si="469"/>
        <v>350</v>
      </c>
      <c r="AS249" s="5">
        <f t="shared" si="364"/>
        <v>2.8571428571428572</v>
      </c>
      <c r="AT249" s="5">
        <f t="shared" si="470"/>
        <v>0.67574958379565431</v>
      </c>
      <c r="AU249" s="5">
        <f t="shared" si="440"/>
        <v>2.181393273347203</v>
      </c>
      <c r="AV249" s="5"/>
      <c r="AW249" s="177">
        <f t="shared" si="441"/>
        <v>0.236512354328479</v>
      </c>
      <c r="AX249" s="177"/>
      <c r="BA249" s="469">
        <f t="shared" si="471"/>
        <v>17.856916306602201</v>
      </c>
      <c r="BB249" s="469">
        <f t="shared" si="472"/>
        <v>2.6354197596774207</v>
      </c>
      <c r="BC249" s="5">
        <f t="shared" si="442"/>
        <v>0.54239434827914301</v>
      </c>
      <c r="BD249" s="469">
        <f t="shared" si="473"/>
        <v>0</v>
      </c>
      <c r="BQ249" s="538">
        <f t="shared" si="474"/>
        <v>0.12474</v>
      </c>
      <c r="CG249" s="571">
        <f t="shared" si="475"/>
        <v>-50</v>
      </c>
      <c r="CH249">
        <f t="shared" si="476"/>
        <v>-50</v>
      </c>
    </row>
    <row r="250" spans="5:86" x14ac:dyDescent="0.2">
      <c r="E250" s="174">
        <v>34</v>
      </c>
      <c r="F250" s="221">
        <f t="shared" si="477"/>
        <v>0.14280000000000001</v>
      </c>
      <c r="G250" s="221"/>
      <c r="H250" s="221">
        <f t="shared" si="443"/>
        <v>2.2134</v>
      </c>
      <c r="I250" s="551">
        <f t="shared" si="444"/>
        <v>16</v>
      </c>
      <c r="J250" s="451">
        <f t="shared" si="445"/>
        <v>16.399999999999999</v>
      </c>
      <c r="K250" s="451">
        <f t="shared" si="446"/>
        <v>32.4</v>
      </c>
      <c r="L250" s="451"/>
      <c r="M250" s="221">
        <f t="shared" si="447"/>
        <v>0.50617283950617287</v>
      </c>
      <c r="N250" s="176">
        <f t="shared" si="448"/>
        <v>15.136592592592594</v>
      </c>
      <c r="O250" s="176">
        <f t="shared" si="363"/>
        <v>2.2134</v>
      </c>
      <c r="P250" s="221">
        <f t="shared" si="449"/>
        <v>0.97655436081242541</v>
      </c>
      <c r="Q250" s="221">
        <f t="shared" si="450"/>
        <v>15.5</v>
      </c>
      <c r="R250" s="221"/>
      <c r="S250" s="176">
        <f t="shared" si="451"/>
        <v>190.79780730573617</v>
      </c>
      <c r="T250" s="176">
        <f t="shared" si="452"/>
        <v>15.5</v>
      </c>
      <c r="U250" s="221">
        <f t="shared" si="453"/>
        <v>0.60733536585365844</v>
      </c>
      <c r="V250" s="221">
        <f t="shared" si="454"/>
        <v>0.34162614329268287</v>
      </c>
      <c r="W250" s="221">
        <f t="shared" si="455"/>
        <v>0.33329379833432482</v>
      </c>
      <c r="X250" s="201">
        <f t="shared" si="456"/>
        <v>350</v>
      </c>
      <c r="Y250" s="451">
        <f t="shared" si="418"/>
        <v>350</v>
      </c>
      <c r="AA250" s="221">
        <f t="shared" si="457"/>
        <v>2.5710366451107194</v>
      </c>
      <c r="AB250" s="177">
        <f t="shared" si="458"/>
        <v>1.4109347442680777</v>
      </c>
      <c r="AC250" s="177">
        <f t="shared" si="459"/>
        <v>0.63482386299030114</v>
      </c>
      <c r="AD250" s="177"/>
      <c r="AE250" s="177">
        <f t="shared" si="460"/>
        <v>0.45</v>
      </c>
      <c r="AF250" s="555">
        <f t="shared" si="461"/>
        <v>773.9837398373985</v>
      </c>
      <c r="AG250" s="538">
        <f t="shared" si="462"/>
        <v>6.4574999999999994E-2</v>
      </c>
      <c r="AI250" s="177">
        <f t="shared" si="463"/>
        <v>1.2193987589518587</v>
      </c>
      <c r="AJ250" s="177">
        <f t="shared" si="464"/>
        <v>1.2193987589518587</v>
      </c>
      <c r="AK250" s="177">
        <f t="shared" si="465"/>
        <v>1.4662658393012391</v>
      </c>
      <c r="AM250" s="555">
        <f t="shared" si="466"/>
        <v>142.80000000000001</v>
      </c>
      <c r="AN250" s="469">
        <f t="shared" si="467"/>
        <v>350</v>
      </c>
      <c r="AP250">
        <f t="shared" si="468"/>
        <v>142.80000000000001</v>
      </c>
      <c r="AQ250">
        <f t="shared" si="469"/>
        <v>350</v>
      </c>
      <c r="AS250" s="5">
        <f t="shared" si="364"/>
        <v>2.8571428571428572</v>
      </c>
      <c r="AT250" s="5">
        <f t="shared" si="470"/>
        <v>0.68591180191042056</v>
      </c>
      <c r="AU250" s="5">
        <f t="shared" si="440"/>
        <v>2.1712310552324365</v>
      </c>
      <c r="AV250" s="5"/>
      <c r="AW250" s="177">
        <f t="shared" si="441"/>
        <v>0.24006913066864718</v>
      </c>
      <c r="AX250" s="177"/>
      <c r="BA250" s="469">
        <f t="shared" si="471"/>
        <v>17.856916306602201</v>
      </c>
      <c r="BB250" s="469">
        <f t="shared" si="472"/>
        <v>2.7889076604105578</v>
      </c>
      <c r="BC250" s="5">
        <f t="shared" si="442"/>
        <v>0.55622717796892074</v>
      </c>
      <c r="BD250" s="469">
        <f t="shared" si="473"/>
        <v>0</v>
      </c>
      <c r="BQ250" s="538">
        <f t="shared" si="474"/>
        <v>0.12852000000000002</v>
      </c>
      <c r="CG250" s="571">
        <f t="shared" si="475"/>
        <v>-50</v>
      </c>
      <c r="CH250">
        <f t="shared" si="476"/>
        <v>-50</v>
      </c>
    </row>
    <row r="251" spans="5:86" x14ac:dyDescent="0.2">
      <c r="E251" s="174">
        <v>35</v>
      </c>
      <c r="F251" s="221">
        <f t="shared" si="477"/>
        <v>0.14699999999999999</v>
      </c>
      <c r="G251" s="221"/>
      <c r="H251" s="221">
        <f t="shared" si="443"/>
        <v>2.2784999999999997</v>
      </c>
      <c r="I251" s="551">
        <f t="shared" si="444"/>
        <v>16</v>
      </c>
      <c r="J251" s="451">
        <f t="shared" si="445"/>
        <v>16.399999999999999</v>
      </c>
      <c r="K251" s="451">
        <f t="shared" si="446"/>
        <v>32.4</v>
      </c>
      <c r="L251" s="451"/>
      <c r="M251" s="221">
        <f t="shared" si="447"/>
        <v>0.50617283950617287</v>
      </c>
      <c r="N251" s="176">
        <f t="shared" si="448"/>
        <v>15.136592592592594</v>
      </c>
      <c r="O251" s="176">
        <f t="shared" si="363"/>
        <v>2.2784999999999997</v>
      </c>
      <c r="P251" s="221">
        <f t="shared" si="449"/>
        <v>0.97655436081242541</v>
      </c>
      <c r="Q251" s="221">
        <f t="shared" si="450"/>
        <v>15.5</v>
      </c>
      <c r="R251" s="221"/>
      <c r="S251" s="176">
        <f t="shared" si="451"/>
        <v>184.89383179470471</v>
      </c>
      <c r="T251" s="176">
        <f t="shared" si="452"/>
        <v>15.5</v>
      </c>
      <c r="U251" s="221">
        <f t="shared" si="453"/>
        <v>0.62519817073170714</v>
      </c>
      <c r="V251" s="221">
        <f t="shared" si="454"/>
        <v>0.35167397103658526</v>
      </c>
      <c r="W251" s="221">
        <f t="shared" si="455"/>
        <v>0.34309655710886372</v>
      </c>
      <c r="X251" s="201">
        <f t="shared" si="456"/>
        <v>350</v>
      </c>
      <c r="Y251" s="451">
        <f t="shared" si="418"/>
        <v>350</v>
      </c>
      <c r="AA251" s="221">
        <f t="shared" si="457"/>
        <v>2.5710366451107194</v>
      </c>
      <c r="AB251" s="177">
        <f t="shared" si="458"/>
        <v>1.4109347442680777</v>
      </c>
      <c r="AC251" s="177">
        <f t="shared" si="459"/>
        <v>0.63482386299030114</v>
      </c>
      <c r="AD251" s="177"/>
      <c r="AE251" s="177">
        <f t="shared" si="460"/>
        <v>0.45</v>
      </c>
      <c r="AF251" s="555">
        <f t="shared" si="461"/>
        <v>796.7479674796748</v>
      </c>
      <c r="AG251" s="538">
        <f t="shared" si="462"/>
        <v>6.4574999999999994E-2</v>
      </c>
      <c r="AI251" s="177">
        <f t="shared" si="463"/>
        <v>1.2372011423639515</v>
      </c>
      <c r="AJ251" s="177">
        <f t="shared" si="464"/>
        <v>1.2372011423639515</v>
      </c>
      <c r="AK251" s="177">
        <f t="shared" si="465"/>
        <v>1.4781340949093011</v>
      </c>
      <c r="AM251" s="555">
        <f t="shared" si="466"/>
        <v>147</v>
      </c>
      <c r="AN251" s="469">
        <f t="shared" si="467"/>
        <v>350</v>
      </c>
      <c r="AP251">
        <f t="shared" si="468"/>
        <v>147</v>
      </c>
      <c r="AQ251">
        <f t="shared" si="469"/>
        <v>350</v>
      </c>
      <c r="AS251" s="5">
        <f t="shared" si="364"/>
        <v>2.8571428571428572</v>
      </c>
      <c r="AT251" s="5">
        <f t="shared" si="470"/>
        <v>0.69592564257972267</v>
      </c>
      <c r="AU251" s="5">
        <f t="shared" si="440"/>
        <v>2.1612172145631345</v>
      </c>
      <c r="AV251" s="5"/>
      <c r="AW251" s="177">
        <f t="shared" si="441"/>
        <v>0.24357397490290292</v>
      </c>
      <c r="AX251" s="177"/>
      <c r="BA251" s="469">
        <f t="shared" si="471"/>
        <v>17.856916306602201</v>
      </c>
      <c r="BB251" s="469">
        <f t="shared" si="472"/>
        <v>2.9467265432551319</v>
      </c>
      <c r="BC251" s="5">
        <f t="shared" si="442"/>
        <v>0.56994599807663204</v>
      </c>
      <c r="BD251" s="469">
        <f t="shared" si="473"/>
        <v>0</v>
      </c>
      <c r="BQ251" s="538">
        <f t="shared" si="474"/>
        <v>0.1323</v>
      </c>
      <c r="CG251" s="571">
        <f t="shared" si="475"/>
        <v>-50</v>
      </c>
      <c r="CH251">
        <f t="shared" si="476"/>
        <v>-50</v>
      </c>
    </row>
    <row r="252" spans="5:86" x14ac:dyDescent="0.2">
      <c r="E252" s="174">
        <v>36</v>
      </c>
      <c r="F252" s="221">
        <f t="shared" si="477"/>
        <v>0.1512</v>
      </c>
      <c r="G252" s="221"/>
      <c r="H252" s="221">
        <f t="shared" si="443"/>
        <v>2.3435999999999999</v>
      </c>
      <c r="I252" s="551">
        <f t="shared" si="444"/>
        <v>16</v>
      </c>
      <c r="J252" s="451">
        <f t="shared" si="445"/>
        <v>16.399999999999999</v>
      </c>
      <c r="K252" s="451">
        <f t="shared" si="446"/>
        <v>32.4</v>
      </c>
      <c r="L252" s="451"/>
      <c r="M252" s="221">
        <f t="shared" si="447"/>
        <v>0.50617283950617287</v>
      </c>
      <c r="N252" s="176">
        <f t="shared" si="448"/>
        <v>15.136592592592594</v>
      </c>
      <c r="O252" s="176">
        <f t="shared" si="363"/>
        <v>2.3435999999999999</v>
      </c>
      <c r="P252" s="221">
        <f t="shared" si="449"/>
        <v>0.97655436081242541</v>
      </c>
      <c r="Q252" s="221">
        <f t="shared" si="450"/>
        <v>15.5</v>
      </c>
      <c r="R252" s="221"/>
      <c r="S252" s="176">
        <f t="shared" si="451"/>
        <v>179.31799846708725</v>
      </c>
      <c r="T252" s="176">
        <f t="shared" si="452"/>
        <v>15.5</v>
      </c>
      <c r="U252" s="221">
        <f t="shared" si="453"/>
        <v>0.64306097560975606</v>
      </c>
      <c r="V252" s="221">
        <f t="shared" si="454"/>
        <v>0.36172179878048782</v>
      </c>
      <c r="W252" s="221">
        <f t="shared" si="455"/>
        <v>0.35289931588340279</v>
      </c>
      <c r="X252" s="201">
        <f t="shared" si="456"/>
        <v>350</v>
      </c>
      <c r="Y252" s="451">
        <f t="shared" si="418"/>
        <v>350</v>
      </c>
      <c r="AA252" s="221">
        <f t="shared" si="457"/>
        <v>2.5710366451107194</v>
      </c>
      <c r="AB252" s="177">
        <f t="shared" si="458"/>
        <v>1.4109347442680777</v>
      </c>
      <c r="AC252" s="177">
        <f t="shared" si="459"/>
        <v>0.63482386299030114</v>
      </c>
      <c r="AD252" s="177"/>
      <c r="AE252" s="177">
        <f t="shared" si="460"/>
        <v>0.45</v>
      </c>
      <c r="AF252" s="555">
        <f t="shared" si="461"/>
        <v>819.51219512195132</v>
      </c>
      <c r="AG252" s="538">
        <f t="shared" si="462"/>
        <v>6.4574999999999994E-2</v>
      </c>
      <c r="AI252" s="177">
        <f t="shared" si="463"/>
        <v>1.2547509713086498</v>
      </c>
      <c r="AJ252" s="177">
        <f t="shared" si="464"/>
        <v>1.2547509713086498</v>
      </c>
      <c r="AK252" s="177">
        <f t="shared" si="465"/>
        <v>1.4898339808724332</v>
      </c>
      <c r="AM252" s="555">
        <f t="shared" si="466"/>
        <v>151.19999999999999</v>
      </c>
      <c r="AN252" s="469">
        <f t="shared" si="467"/>
        <v>350</v>
      </c>
      <c r="AP252">
        <f t="shared" si="468"/>
        <v>151.19999999999999</v>
      </c>
      <c r="AQ252">
        <f t="shared" si="469"/>
        <v>350</v>
      </c>
      <c r="AS252" s="5">
        <f t="shared" si="364"/>
        <v>2.8571428571428572</v>
      </c>
      <c r="AT252" s="5">
        <f t="shared" si="470"/>
        <v>0.70579742136111545</v>
      </c>
      <c r="AU252" s="5">
        <f t="shared" si="440"/>
        <v>2.1513454357817419</v>
      </c>
      <c r="AV252" s="5"/>
      <c r="AW252" s="177">
        <f t="shared" si="441"/>
        <v>0.2470290974763904</v>
      </c>
      <c r="AX252" s="177"/>
      <c r="BA252" s="469">
        <f t="shared" si="471"/>
        <v>17.856916306602201</v>
      </c>
      <c r="BB252" s="469">
        <f t="shared" si="472"/>
        <v>3.1088764082111444</v>
      </c>
      <c r="BC252" s="5">
        <f t="shared" si="442"/>
        <v>0.58355244945579732</v>
      </c>
      <c r="BD252" s="469">
        <f t="shared" si="473"/>
        <v>0</v>
      </c>
      <c r="BQ252" s="538">
        <f t="shared" si="474"/>
        <v>0.13608000000000001</v>
      </c>
      <c r="CG252" s="571">
        <f t="shared" si="475"/>
        <v>-50</v>
      </c>
      <c r="CH252">
        <f t="shared" si="476"/>
        <v>-50</v>
      </c>
    </row>
    <row r="253" spans="5:86" x14ac:dyDescent="0.2">
      <c r="E253" s="174">
        <v>37</v>
      </c>
      <c r="F253" s="221">
        <f t="shared" si="477"/>
        <v>0.15539999999999998</v>
      </c>
      <c r="G253" s="221"/>
      <c r="H253" s="221">
        <f t="shared" si="443"/>
        <v>2.4086999999999996</v>
      </c>
      <c r="I253" s="551">
        <f t="shared" si="444"/>
        <v>16</v>
      </c>
      <c r="J253" s="451">
        <f t="shared" si="445"/>
        <v>16.399999999999999</v>
      </c>
      <c r="K253" s="451">
        <f t="shared" si="446"/>
        <v>32.4</v>
      </c>
      <c r="L253" s="451"/>
      <c r="M253" s="221">
        <f t="shared" si="447"/>
        <v>0.50617283950617287</v>
      </c>
      <c r="N253" s="176">
        <f t="shared" si="448"/>
        <v>15.136592592592594</v>
      </c>
      <c r="O253" s="176">
        <f t="shared" si="363"/>
        <v>2.4086999999999996</v>
      </c>
      <c r="P253" s="221">
        <f t="shared" si="449"/>
        <v>0.97655436081242541</v>
      </c>
      <c r="Q253" s="221">
        <f t="shared" si="450"/>
        <v>15.5</v>
      </c>
      <c r="R253" s="221"/>
      <c r="S253" s="176">
        <f t="shared" si="451"/>
        <v>174.04370215567056</v>
      </c>
      <c r="T253" s="176">
        <f t="shared" si="452"/>
        <v>15.5</v>
      </c>
      <c r="U253" s="221">
        <f t="shared" si="453"/>
        <v>0.66092378048780476</v>
      </c>
      <c r="V253" s="221">
        <f t="shared" si="454"/>
        <v>0.37176962652439016</v>
      </c>
      <c r="W253" s="221">
        <f t="shared" si="455"/>
        <v>0.36270207465794169</v>
      </c>
      <c r="X253" s="201">
        <f t="shared" si="456"/>
        <v>350</v>
      </c>
      <c r="Y253" s="451">
        <f t="shared" si="418"/>
        <v>350</v>
      </c>
      <c r="AA253" s="221">
        <f t="shared" si="457"/>
        <v>2.5710366451107194</v>
      </c>
      <c r="AB253" s="177">
        <f t="shared" si="458"/>
        <v>1.4109347442680777</v>
      </c>
      <c r="AC253" s="177">
        <f t="shared" si="459"/>
        <v>0.63482386299030114</v>
      </c>
      <c r="AD253" s="177"/>
      <c r="AE253" s="177">
        <f t="shared" si="460"/>
        <v>0.45</v>
      </c>
      <c r="AF253" s="555">
        <f t="shared" si="461"/>
        <v>842.27642276422762</v>
      </c>
      <c r="AG253" s="538">
        <f t="shared" si="462"/>
        <v>6.4574999999999994E-2</v>
      </c>
      <c r="AI253" s="177">
        <f t="shared" si="463"/>
        <v>1.2720586988552585</v>
      </c>
      <c r="AJ253" s="177">
        <f t="shared" si="464"/>
        <v>1.2720586988552585</v>
      </c>
      <c r="AK253" s="177">
        <f t="shared" si="465"/>
        <v>1.5013724659035057</v>
      </c>
      <c r="AM253" s="555">
        <f t="shared" si="466"/>
        <v>155.39999999999998</v>
      </c>
      <c r="AN253" s="469">
        <f t="shared" si="467"/>
        <v>350</v>
      </c>
      <c r="AP253">
        <f t="shared" si="468"/>
        <v>155.39999999999998</v>
      </c>
      <c r="AQ253">
        <f t="shared" si="469"/>
        <v>350</v>
      </c>
      <c r="AS253" s="5">
        <f t="shared" si="364"/>
        <v>2.8571428571428572</v>
      </c>
      <c r="AT253" s="5">
        <f t="shared" si="470"/>
        <v>0.71553301810608294</v>
      </c>
      <c r="AU253" s="5">
        <f t="shared" si="440"/>
        <v>2.1416098390367742</v>
      </c>
      <c r="AV253" s="5"/>
      <c r="AW253" s="177">
        <f t="shared" si="441"/>
        <v>0.25043655633712902</v>
      </c>
      <c r="AX253" s="177"/>
      <c r="BA253" s="469">
        <f t="shared" si="471"/>
        <v>17.856916306602201</v>
      </c>
      <c r="BB253" s="469">
        <f t="shared" si="472"/>
        <v>3.2753572552785926</v>
      </c>
      <c r="BC253" s="5">
        <f t="shared" si="442"/>
        <v>0.59704810408424491</v>
      </c>
      <c r="BD253" s="469">
        <f t="shared" si="473"/>
        <v>0</v>
      </c>
      <c r="BQ253" s="538">
        <f t="shared" si="474"/>
        <v>0.13985999999999998</v>
      </c>
      <c r="CG253" s="571">
        <f t="shared" si="475"/>
        <v>-50</v>
      </c>
      <c r="CH253">
        <f t="shared" si="476"/>
        <v>-50</v>
      </c>
    </row>
    <row r="254" spans="5:86" x14ac:dyDescent="0.2">
      <c r="E254" s="174">
        <v>38</v>
      </c>
      <c r="F254" s="221">
        <f t="shared" si="477"/>
        <v>0.15959999999999999</v>
      </c>
      <c r="G254" s="221"/>
      <c r="H254" s="221">
        <f t="shared" si="443"/>
        <v>2.4737999999999998</v>
      </c>
      <c r="I254" s="551">
        <f t="shared" si="444"/>
        <v>16</v>
      </c>
      <c r="J254" s="451">
        <f t="shared" si="445"/>
        <v>16.399999999999999</v>
      </c>
      <c r="K254" s="451">
        <f t="shared" si="446"/>
        <v>32.4</v>
      </c>
      <c r="L254" s="451"/>
      <c r="M254" s="221">
        <f t="shared" si="447"/>
        <v>0.50617283950617287</v>
      </c>
      <c r="N254" s="176">
        <f t="shared" si="448"/>
        <v>15.136592592592594</v>
      </c>
      <c r="O254" s="176">
        <f t="shared" si="363"/>
        <v>2.4737999999999998</v>
      </c>
      <c r="P254" s="221">
        <f t="shared" si="449"/>
        <v>0.97655436081242541</v>
      </c>
      <c r="Q254" s="221">
        <f t="shared" si="450"/>
        <v>15.5</v>
      </c>
      <c r="R254" s="221"/>
      <c r="S254" s="176">
        <f t="shared" si="451"/>
        <v>169.04713824500453</v>
      </c>
      <c r="T254" s="176">
        <f t="shared" si="452"/>
        <v>15.5</v>
      </c>
      <c r="U254" s="221">
        <f t="shared" si="453"/>
        <v>0.67878658536585357</v>
      </c>
      <c r="V254" s="221">
        <f t="shared" si="454"/>
        <v>0.38181745426829267</v>
      </c>
      <c r="W254" s="221">
        <f t="shared" si="455"/>
        <v>0.37250483343248064</v>
      </c>
      <c r="X254" s="201">
        <f t="shared" si="456"/>
        <v>350</v>
      </c>
      <c r="Y254" s="451">
        <f t="shared" si="418"/>
        <v>350</v>
      </c>
      <c r="AA254" s="221">
        <f t="shared" si="457"/>
        <v>2.5710366451107194</v>
      </c>
      <c r="AB254" s="177">
        <f t="shared" si="458"/>
        <v>1.4109347442680777</v>
      </c>
      <c r="AC254" s="177">
        <f t="shared" si="459"/>
        <v>0.63482386299030114</v>
      </c>
      <c r="AD254" s="177"/>
      <c r="AE254" s="177">
        <f t="shared" si="460"/>
        <v>0.45</v>
      </c>
      <c r="AF254" s="555">
        <f t="shared" si="461"/>
        <v>865.04065040650403</v>
      </c>
      <c r="AG254" s="538">
        <f t="shared" si="462"/>
        <v>6.4574999999999994E-2</v>
      </c>
      <c r="AI254" s="177">
        <f t="shared" si="463"/>
        <v>1.2891340762956607</v>
      </c>
      <c r="AJ254" s="177">
        <f t="shared" si="464"/>
        <v>1.2891340762956607</v>
      </c>
      <c r="AK254" s="177">
        <f t="shared" si="465"/>
        <v>1.5127560508637738</v>
      </c>
      <c r="AM254" s="555">
        <f t="shared" si="466"/>
        <v>159.6</v>
      </c>
      <c r="AN254" s="469">
        <f t="shared" si="467"/>
        <v>350</v>
      </c>
      <c r="AP254">
        <f t="shared" si="468"/>
        <v>159.6</v>
      </c>
      <c r="AQ254">
        <f t="shared" si="469"/>
        <v>350</v>
      </c>
      <c r="AS254" s="5">
        <f t="shared" si="364"/>
        <v>2.8571428571428572</v>
      </c>
      <c r="AT254" s="5">
        <f t="shared" si="470"/>
        <v>0.72513791791630922</v>
      </c>
      <c r="AU254" s="5">
        <f t="shared" si="440"/>
        <v>2.1320049392265479</v>
      </c>
      <c r="AV254" s="5"/>
      <c r="AW254" s="177">
        <f t="shared" si="441"/>
        <v>0.2537982712707082</v>
      </c>
      <c r="AX254" s="177"/>
      <c r="BA254" s="469">
        <f t="shared" si="471"/>
        <v>17.856916306602201</v>
      </c>
      <c r="BB254" s="469">
        <f t="shared" si="472"/>
        <v>3.4461690844574786</v>
      </c>
      <c r="BC254" s="5">
        <f t="shared" si="442"/>
        <v>0.61043446975215665</v>
      </c>
      <c r="BD254" s="469">
        <f t="shared" si="473"/>
        <v>0</v>
      </c>
      <c r="BQ254" s="538">
        <f t="shared" si="474"/>
        <v>0.14363999999999999</v>
      </c>
      <c r="CG254" s="571">
        <f t="shared" si="475"/>
        <v>-50</v>
      </c>
      <c r="CH254">
        <f t="shared" si="476"/>
        <v>-50</v>
      </c>
    </row>
    <row r="255" spans="5:86" x14ac:dyDescent="0.2">
      <c r="E255" s="174">
        <v>39</v>
      </c>
      <c r="F255" s="221">
        <f t="shared" si="477"/>
        <v>0.1638</v>
      </c>
      <c r="G255" s="221"/>
      <c r="H255" s="221">
        <f t="shared" si="443"/>
        <v>2.5388999999999999</v>
      </c>
      <c r="I255" s="551">
        <f t="shared" si="444"/>
        <v>16</v>
      </c>
      <c r="J255" s="451">
        <f t="shared" si="445"/>
        <v>16.399999999999999</v>
      </c>
      <c r="K255" s="451">
        <f t="shared" si="446"/>
        <v>32.4</v>
      </c>
      <c r="L255" s="451"/>
      <c r="M255" s="221">
        <f t="shared" si="447"/>
        <v>0.50617283950617287</v>
      </c>
      <c r="N255" s="176">
        <f t="shared" si="448"/>
        <v>15.136592592592594</v>
      </c>
      <c r="O255" s="176">
        <f t="shared" si="363"/>
        <v>2.5388999999999999</v>
      </c>
      <c r="P255" s="221">
        <f t="shared" si="449"/>
        <v>0.97655436081242541</v>
      </c>
      <c r="Q255" s="221">
        <f t="shared" si="450"/>
        <v>15.5</v>
      </c>
      <c r="R255" s="221"/>
      <c r="S255" s="176">
        <f t="shared" si="451"/>
        <v>164.30694362637749</v>
      </c>
      <c r="T255" s="176">
        <f t="shared" si="452"/>
        <v>15.5</v>
      </c>
      <c r="U255" s="221">
        <f t="shared" si="453"/>
        <v>0.69664939024390238</v>
      </c>
      <c r="V255" s="221">
        <f t="shared" si="454"/>
        <v>0.39186528201219512</v>
      </c>
      <c r="W255" s="221">
        <f t="shared" si="455"/>
        <v>0.38230759220701965</v>
      </c>
      <c r="X255" s="201">
        <f t="shared" si="456"/>
        <v>350</v>
      </c>
      <c r="Y255" s="451">
        <f t="shared" si="418"/>
        <v>350</v>
      </c>
      <c r="AA255" s="221">
        <f t="shared" si="457"/>
        <v>2.5710366451107194</v>
      </c>
      <c r="AB255" s="177">
        <f t="shared" si="458"/>
        <v>1.4109347442680777</v>
      </c>
      <c r="AC255" s="177">
        <f t="shared" si="459"/>
        <v>0.63482386299030114</v>
      </c>
      <c r="AD255" s="177"/>
      <c r="AE255" s="177">
        <f t="shared" si="460"/>
        <v>0.45</v>
      </c>
      <c r="AF255" s="555">
        <f t="shared" si="461"/>
        <v>887.80487804878044</v>
      </c>
      <c r="AG255" s="538">
        <f t="shared" si="462"/>
        <v>6.4574999999999994E-2</v>
      </c>
      <c r="AI255" s="177">
        <f t="shared" si="463"/>
        <v>1.3059862173851606</v>
      </c>
      <c r="AJ255" s="177">
        <f t="shared" si="464"/>
        <v>1.3059862173851606</v>
      </c>
      <c r="AK255" s="177">
        <f t="shared" si="465"/>
        <v>1.5239908115901071</v>
      </c>
      <c r="AM255" s="555">
        <f t="shared" si="466"/>
        <v>163.80000000000001</v>
      </c>
      <c r="AN255" s="469">
        <f t="shared" si="467"/>
        <v>350</v>
      </c>
      <c r="AP255">
        <f t="shared" si="468"/>
        <v>163.80000000000001</v>
      </c>
      <c r="AQ255">
        <f t="shared" si="469"/>
        <v>350</v>
      </c>
      <c r="AS255" s="5">
        <f t="shared" si="364"/>
        <v>2.8571428571428572</v>
      </c>
      <c r="AT255" s="5">
        <f t="shared" si="470"/>
        <v>0.7346172472791529</v>
      </c>
      <c r="AU255" s="5">
        <f t="shared" si="440"/>
        <v>2.1225256098637044</v>
      </c>
      <c r="AV255" s="5"/>
      <c r="AW255" s="177">
        <f t="shared" si="441"/>
        <v>0.25711603654770349</v>
      </c>
      <c r="AX255" s="177"/>
      <c r="BA255" s="469">
        <f t="shared" si="471"/>
        <v>17.856916306602201</v>
      </c>
      <c r="BB255" s="469">
        <f t="shared" si="472"/>
        <v>3.6213118957478012</v>
      </c>
      <c r="BC255" s="5">
        <f t="shared" si="442"/>
        <v>0.62371299431515714</v>
      </c>
      <c r="BD255" s="469">
        <f t="shared" si="473"/>
        <v>0</v>
      </c>
      <c r="BQ255" s="538">
        <f t="shared" si="474"/>
        <v>0.14742</v>
      </c>
      <c r="CG255" s="571">
        <f t="shared" si="475"/>
        <v>-50</v>
      </c>
      <c r="CH255">
        <f t="shared" si="476"/>
        <v>-50</v>
      </c>
    </row>
    <row r="256" spans="5:86" x14ac:dyDescent="0.2">
      <c r="E256" s="174">
        <v>40</v>
      </c>
      <c r="F256" s="221">
        <f t="shared" si="477"/>
        <v>0.16800000000000001</v>
      </c>
      <c r="G256" s="221"/>
      <c r="H256" s="221">
        <f t="shared" si="443"/>
        <v>2.6040000000000001</v>
      </c>
      <c r="I256" s="551">
        <f t="shared" si="444"/>
        <v>16</v>
      </c>
      <c r="J256" s="451">
        <f t="shared" si="445"/>
        <v>16.399999999999999</v>
      </c>
      <c r="K256" s="451">
        <f t="shared" si="446"/>
        <v>32.4</v>
      </c>
      <c r="L256" s="451"/>
      <c r="M256" s="221">
        <f t="shared" si="447"/>
        <v>0.50617283950617287</v>
      </c>
      <c r="N256" s="176">
        <f t="shared" si="448"/>
        <v>15.136592592592594</v>
      </c>
      <c r="O256" s="176">
        <f t="shared" si="363"/>
        <v>2.6040000000000001</v>
      </c>
      <c r="P256" s="221">
        <f t="shared" si="449"/>
        <v>0.97655436081242541</v>
      </c>
      <c r="Q256" s="221">
        <f t="shared" si="450"/>
        <v>15.5</v>
      </c>
      <c r="R256" s="221"/>
      <c r="S256" s="176">
        <f t="shared" si="451"/>
        <v>159.80389150954514</v>
      </c>
      <c r="T256" s="176">
        <f t="shared" si="452"/>
        <v>15.5</v>
      </c>
      <c r="U256" s="221">
        <f t="shared" si="453"/>
        <v>0.71451219512195119</v>
      </c>
      <c r="V256" s="221">
        <f t="shared" si="454"/>
        <v>0.40191310975609751</v>
      </c>
      <c r="W256" s="221">
        <f t="shared" si="455"/>
        <v>0.39211035098155861</v>
      </c>
      <c r="X256" s="201">
        <f t="shared" si="456"/>
        <v>350</v>
      </c>
      <c r="Y256" s="451">
        <f t="shared" si="418"/>
        <v>350</v>
      </c>
      <c r="AA256" s="221">
        <f t="shared" si="457"/>
        <v>2.5710366451107194</v>
      </c>
      <c r="AB256" s="177">
        <f t="shared" si="458"/>
        <v>1.4109347442680777</v>
      </c>
      <c r="AC256" s="177">
        <f t="shared" si="459"/>
        <v>0.63482386299030114</v>
      </c>
      <c r="AD256" s="177"/>
      <c r="AE256" s="177">
        <f t="shared" si="460"/>
        <v>0.45</v>
      </c>
      <c r="AF256" s="555">
        <f t="shared" si="461"/>
        <v>910.56910569105708</v>
      </c>
      <c r="AG256" s="538">
        <f t="shared" si="462"/>
        <v>6.4574999999999994E-2</v>
      </c>
      <c r="AI256" s="177">
        <f t="shared" si="463"/>
        <v>1.3226236552146393</v>
      </c>
      <c r="AJ256" s="177">
        <f t="shared" si="464"/>
        <v>1.3226236552146393</v>
      </c>
      <c r="AK256" s="177">
        <f t="shared" si="465"/>
        <v>1.5350824368097595</v>
      </c>
      <c r="AM256" s="555">
        <f t="shared" si="466"/>
        <v>168</v>
      </c>
      <c r="AN256" s="469">
        <f t="shared" si="467"/>
        <v>350</v>
      </c>
      <c r="AP256">
        <f t="shared" si="468"/>
        <v>168</v>
      </c>
      <c r="AQ256">
        <f t="shared" si="469"/>
        <v>350</v>
      </c>
      <c r="AS256" s="5">
        <f t="shared" si="364"/>
        <v>2.8571428571428572</v>
      </c>
      <c r="AT256" s="5">
        <f t="shared" si="470"/>
        <v>0.74397580605823466</v>
      </c>
      <c r="AU256" s="5">
        <f t="shared" si="440"/>
        <v>2.1131670510846225</v>
      </c>
      <c r="AV256" s="5"/>
      <c r="AW256" s="177">
        <f t="shared" si="441"/>
        <v>0.26039153212038213</v>
      </c>
      <c r="AX256" s="177"/>
      <c r="BA256" s="469">
        <f t="shared" si="471"/>
        <v>17.856916306602201</v>
      </c>
      <c r="BB256" s="469">
        <f t="shared" si="472"/>
        <v>3.8007856891495613</v>
      </c>
      <c r="BC256" s="5">
        <f t="shared" si="442"/>
        <v>0.63688506956300428</v>
      </c>
      <c r="BD256" s="469">
        <f t="shared" si="473"/>
        <v>0</v>
      </c>
      <c r="BQ256" s="538">
        <f t="shared" si="474"/>
        <v>0.1512</v>
      </c>
      <c r="CG256" s="571">
        <f t="shared" si="475"/>
        <v>-50</v>
      </c>
      <c r="CH256">
        <f t="shared" si="476"/>
        <v>-50</v>
      </c>
    </row>
    <row r="257" spans="5:86" x14ac:dyDescent="0.2">
      <c r="E257" s="174">
        <v>41</v>
      </c>
      <c r="F257" s="221">
        <f t="shared" si="477"/>
        <v>0.17219999999999999</v>
      </c>
      <c r="G257" s="221"/>
      <c r="H257" s="221">
        <f t="shared" si="443"/>
        <v>2.6690999999999998</v>
      </c>
      <c r="I257" s="551">
        <f t="shared" si="444"/>
        <v>16</v>
      </c>
      <c r="J257" s="451">
        <f t="shared" si="445"/>
        <v>16.399999999999999</v>
      </c>
      <c r="K257" s="451">
        <f t="shared" si="446"/>
        <v>32.4</v>
      </c>
      <c r="L257" s="451"/>
      <c r="M257" s="221">
        <f t="shared" si="447"/>
        <v>0.50617283950617287</v>
      </c>
      <c r="N257" s="176">
        <f t="shared" si="448"/>
        <v>15.136592592592594</v>
      </c>
      <c r="O257" s="176">
        <f t="shared" si="363"/>
        <v>2.6690999999999998</v>
      </c>
      <c r="P257" s="221">
        <f t="shared" si="449"/>
        <v>0.97655436081242541</v>
      </c>
      <c r="Q257" s="221">
        <f t="shared" si="450"/>
        <v>15.5</v>
      </c>
      <c r="R257" s="221"/>
      <c r="S257" s="176">
        <f t="shared" si="451"/>
        <v>155.52063089615893</v>
      </c>
      <c r="T257" s="176">
        <f t="shared" si="452"/>
        <v>15.5</v>
      </c>
      <c r="U257" s="221">
        <f t="shared" si="453"/>
        <v>0.73237499999999989</v>
      </c>
      <c r="V257" s="221">
        <f t="shared" si="454"/>
        <v>0.41196093749999996</v>
      </c>
      <c r="W257" s="221">
        <f t="shared" si="455"/>
        <v>0.40191310975609751</v>
      </c>
      <c r="X257" s="201">
        <f t="shared" si="456"/>
        <v>350</v>
      </c>
      <c r="Y257" s="451">
        <f t="shared" si="418"/>
        <v>350</v>
      </c>
      <c r="AA257" s="221">
        <f t="shared" si="457"/>
        <v>2.5710366451107194</v>
      </c>
      <c r="AB257" s="177">
        <f t="shared" si="458"/>
        <v>1.4109347442680777</v>
      </c>
      <c r="AC257" s="177">
        <f t="shared" si="459"/>
        <v>0.63482386299030114</v>
      </c>
      <c r="AD257" s="177"/>
      <c r="AE257" s="177">
        <f t="shared" si="460"/>
        <v>0.45</v>
      </c>
      <c r="AF257" s="555">
        <f t="shared" si="461"/>
        <v>933.33333333333337</v>
      </c>
      <c r="AG257" s="538">
        <f t="shared" si="462"/>
        <v>6.4574999999999994E-2</v>
      </c>
      <c r="AI257" s="177">
        <f t="shared" si="463"/>
        <v>1.3390543927214706</v>
      </c>
      <c r="AJ257" s="177">
        <f t="shared" si="464"/>
        <v>1.3390543927214706</v>
      </c>
      <c r="AK257" s="177">
        <f t="shared" si="465"/>
        <v>1.5460362618143138</v>
      </c>
      <c r="AM257" s="555">
        <f t="shared" si="466"/>
        <v>172.2</v>
      </c>
      <c r="AN257" s="469">
        <f t="shared" si="467"/>
        <v>350</v>
      </c>
      <c r="AP257">
        <f t="shared" si="468"/>
        <v>172.2</v>
      </c>
      <c r="AQ257">
        <f t="shared" si="469"/>
        <v>350</v>
      </c>
      <c r="AS257" s="5">
        <f t="shared" si="364"/>
        <v>2.8571428571428572</v>
      </c>
      <c r="AT257" s="5">
        <f t="shared" si="470"/>
        <v>0.75321809590582722</v>
      </c>
      <c r="AU257" s="5">
        <f t="shared" si="440"/>
        <v>2.10392476123703</v>
      </c>
      <c r="AV257" s="5"/>
      <c r="AW257" s="177">
        <f t="shared" si="441"/>
        <v>0.26362633356703952</v>
      </c>
      <c r="AX257" s="177"/>
      <c r="BA257" s="469">
        <f t="shared" si="471"/>
        <v>17.856916306602201</v>
      </c>
      <c r="BB257" s="469">
        <f t="shared" si="472"/>
        <v>3.9845904646627566</v>
      </c>
      <c r="BC257" s="5">
        <f t="shared" si="442"/>
        <v>0.64995203474742547</v>
      </c>
      <c r="BD257" s="469">
        <f t="shared" si="473"/>
        <v>0</v>
      </c>
      <c r="BQ257" s="538">
        <f t="shared" si="474"/>
        <v>0.15498000000000001</v>
      </c>
      <c r="CG257" s="571">
        <f t="shared" si="475"/>
        <v>-50</v>
      </c>
      <c r="CH257">
        <f t="shared" si="476"/>
        <v>-50</v>
      </c>
    </row>
    <row r="258" spans="5:86" x14ac:dyDescent="0.2">
      <c r="E258" s="174">
        <v>42</v>
      </c>
      <c r="F258" s="221">
        <f t="shared" si="477"/>
        <v>0.17639999999999997</v>
      </c>
      <c r="G258" s="221"/>
      <c r="H258" s="221">
        <f t="shared" si="443"/>
        <v>2.7341999999999995</v>
      </c>
      <c r="I258" s="551">
        <f t="shared" si="444"/>
        <v>16</v>
      </c>
      <c r="J258" s="451">
        <f t="shared" si="445"/>
        <v>16.399999999999999</v>
      </c>
      <c r="K258" s="451">
        <f t="shared" si="446"/>
        <v>32.4</v>
      </c>
      <c r="L258" s="451"/>
      <c r="M258" s="221">
        <f t="shared" si="447"/>
        <v>0.50617283950617287</v>
      </c>
      <c r="N258" s="176">
        <f t="shared" si="448"/>
        <v>15.136592592592594</v>
      </c>
      <c r="O258" s="176">
        <f t="shared" si="363"/>
        <v>2.7341999999999995</v>
      </c>
      <c r="P258" s="221">
        <f t="shared" si="449"/>
        <v>0.97655436081242541</v>
      </c>
      <c r="Q258" s="221">
        <f t="shared" si="450"/>
        <v>15.5</v>
      </c>
      <c r="R258" s="221"/>
      <c r="S258" s="176">
        <f t="shared" si="451"/>
        <v>151.4414632712764</v>
      </c>
      <c r="T258" s="176">
        <f t="shared" si="452"/>
        <v>15.5</v>
      </c>
      <c r="U258" s="221">
        <f t="shared" si="453"/>
        <v>0.75023780487804859</v>
      </c>
      <c r="V258" s="221">
        <f t="shared" si="454"/>
        <v>0.4220087652439023</v>
      </c>
      <c r="W258" s="221">
        <f t="shared" si="455"/>
        <v>0.41171586853063641</v>
      </c>
      <c r="X258" s="201">
        <f t="shared" si="456"/>
        <v>350</v>
      </c>
      <c r="Y258" s="451">
        <f t="shared" si="418"/>
        <v>350</v>
      </c>
      <c r="AA258" s="221">
        <f t="shared" si="457"/>
        <v>2.5710366451107194</v>
      </c>
      <c r="AB258" s="177">
        <f t="shared" si="458"/>
        <v>1.4109347442680777</v>
      </c>
      <c r="AC258" s="177">
        <f t="shared" si="459"/>
        <v>0.63482386299030114</v>
      </c>
      <c r="AD258" s="177"/>
      <c r="AE258" s="177">
        <f t="shared" si="460"/>
        <v>0.45</v>
      </c>
      <c r="AF258" s="555">
        <f t="shared" si="461"/>
        <v>956.09756097560967</v>
      </c>
      <c r="AG258" s="538">
        <f t="shared" si="462"/>
        <v>6.4574999999999994E-2</v>
      </c>
      <c r="AI258" s="177">
        <f t="shared" si="463"/>
        <v>1.355285947687793</v>
      </c>
      <c r="AJ258" s="177">
        <f t="shared" si="464"/>
        <v>1.355285947687793</v>
      </c>
      <c r="AK258" s="177">
        <f t="shared" si="465"/>
        <v>1.5568572984585287</v>
      </c>
      <c r="AM258" s="555">
        <f t="shared" si="466"/>
        <v>176.39999999999998</v>
      </c>
      <c r="AN258" s="469">
        <f t="shared" si="467"/>
        <v>350</v>
      </c>
      <c r="AP258">
        <f t="shared" si="468"/>
        <v>176.39999999999998</v>
      </c>
      <c r="AQ258">
        <f t="shared" si="469"/>
        <v>350</v>
      </c>
      <c r="AS258" s="5">
        <f t="shared" si="364"/>
        <v>2.8571428571428572</v>
      </c>
      <c r="AT258" s="5">
        <f t="shared" si="470"/>
        <v>0.76234834557438358</v>
      </c>
      <c r="AU258" s="5">
        <f t="shared" si="440"/>
        <v>2.0947945115684736</v>
      </c>
      <c r="AV258" s="5"/>
      <c r="AW258" s="177">
        <f t="shared" si="441"/>
        <v>0.26682192095103424</v>
      </c>
      <c r="AX258" s="177"/>
      <c r="BA258" s="469">
        <f t="shared" si="471"/>
        <v>17.856916306602201</v>
      </c>
      <c r="BB258" s="469">
        <f t="shared" si="472"/>
        <v>4.1727262222873893</v>
      </c>
      <c r="BC258" s="5">
        <f t="shared" si="442"/>
        <v>0.66291517980677306</v>
      </c>
      <c r="BD258" s="469">
        <f t="shared" si="473"/>
        <v>0</v>
      </c>
      <c r="BQ258" s="538">
        <f t="shared" si="474"/>
        <v>0.15875999999999998</v>
      </c>
      <c r="CG258" s="571">
        <f t="shared" si="475"/>
        <v>-50</v>
      </c>
      <c r="CH258">
        <f t="shared" si="476"/>
        <v>-50</v>
      </c>
    </row>
    <row r="259" spans="5:86" x14ac:dyDescent="0.2">
      <c r="E259" s="174">
        <v>43</v>
      </c>
      <c r="F259" s="221">
        <f t="shared" si="477"/>
        <v>0.18059999999999998</v>
      </c>
      <c r="G259" s="221"/>
      <c r="H259" s="221">
        <f t="shared" si="443"/>
        <v>2.7992999999999997</v>
      </c>
      <c r="I259" s="551">
        <f t="shared" si="444"/>
        <v>16</v>
      </c>
      <c r="J259" s="451">
        <f t="shared" si="445"/>
        <v>16.399999999999999</v>
      </c>
      <c r="K259" s="451">
        <f t="shared" si="446"/>
        <v>32.4</v>
      </c>
      <c r="L259" s="451"/>
      <c r="M259" s="221">
        <f t="shared" si="447"/>
        <v>0.50617283950617287</v>
      </c>
      <c r="N259" s="176">
        <f t="shared" si="448"/>
        <v>15.136592592592594</v>
      </c>
      <c r="O259" s="176">
        <f t="shared" si="363"/>
        <v>2.7992999999999997</v>
      </c>
      <c r="P259" s="221">
        <f t="shared" si="449"/>
        <v>0.97655436081242541</v>
      </c>
      <c r="Q259" s="221">
        <f t="shared" si="450"/>
        <v>15.5</v>
      </c>
      <c r="R259" s="221"/>
      <c r="S259" s="176">
        <f t="shared" si="451"/>
        <v>147.55215045419666</v>
      </c>
      <c r="T259" s="176">
        <f t="shared" si="452"/>
        <v>15.5</v>
      </c>
      <c r="U259" s="221">
        <f t="shared" si="453"/>
        <v>0.7681006097560974</v>
      </c>
      <c r="V259" s="221">
        <f t="shared" si="454"/>
        <v>0.4320565929878048</v>
      </c>
      <c r="W259" s="221">
        <f t="shared" si="455"/>
        <v>0.42151862730517542</v>
      </c>
      <c r="X259" s="201">
        <f t="shared" si="456"/>
        <v>350</v>
      </c>
      <c r="Y259" s="451">
        <f t="shared" si="418"/>
        <v>350</v>
      </c>
      <c r="AA259" s="221">
        <f t="shared" si="457"/>
        <v>2.5710366451107194</v>
      </c>
      <c r="AB259" s="177">
        <f t="shared" si="458"/>
        <v>1.4109347442680777</v>
      </c>
      <c r="AC259" s="177">
        <f t="shared" si="459"/>
        <v>0.63482386299030114</v>
      </c>
      <c r="AD259" s="177"/>
      <c r="AE259" s="177">
        <f t="shared" si="460"/>
        <v>0.45</v>
      </c>
      <c r="AF259" s="555">
        <f t="shared" si="461"/>
        <v>978.86178861788619</v>
      </c>
      <c r="AG259" s="538">
        <f t="shared" si="462"/>
        <v>6.4574999999999994E-2</v>
      </c>
      <c r="AI259" s="177">
        <f t="shared" si="463"/>
        <v>1.3713253929441156</v>
      </c>
      <c r="AJ259" s="177">
        <f t="shared" si="464"/>
        <v>1.3713253929441156</v>
      </c>
      <c r="AK259" s="177">
        <f t="shared" si="465"/>
        <v>1.5675502619627437</v>
      </c>
      <c r="AM259" s="555">
        <f t="shared" si="466"/>
        <v>180.6</v>
      </c>
      <c r="AN259" s="469">
        <f t="shared" si="467"/>
        <v>350</v>
      </c>
      <c r="AP259">
        <f t="shared" si="468"/>
        <v>180.6</v>
      </c>
      <c r="AQ259">
        <f t="shared" si="469"/>
        <v>350</v>
      </c>
      <c r="AS259" s="5">
        <f t="shared" si="364"/>
        <v>2.8571428571428572</v>
      </c>
      <c r="AT259" s="5">
        <f t="shared" si="470"/>
        <v>0.77137053353106511</v>
      </c>
      <c r="AU259" s="5">
        <f t="shared" si="440"/>
        <v>2.085772323611792</v>
      </c>
      <c r="AV259" s="5"/>
      <c r="AW259" s="177">
        <f t="shared" si="441"/>
        <v>0.2699796867358728</v>
      </c>
      <c r="AX259" s="177"/>
      <c r="BA259" s="469">
        <f t="shared" si="471"/>
        <v>17.856916306602201</v>
      </c>
      <c r="BB259" s="469">
        <f t="shared" si="472"/>
        <v>4.3651929620234604</v>
      </c>
      <c r="BC259" s="5">
        <f t="shared" si="442"/>
        <v>0.67577574832019527</v>
      </c>
      <c r="BD259" s="469">
        <f t="shared" si="473"/>
        <v>0</v>
      </c>
      <c r="BQ259" s="538">
        <f t="shared" si="474"/>
        <v>0.16253999999999999</v>
      </c>
      <c r="CG259" s="571">
        <f t="shared" si="475"/>
        <v>-50</v>
      </c>
      <c r="CH259">
        <f t="shared" si="476"/>
        <v>-50</v>
      </c>
    </row>
    <row r="260" spans="5:86" x14ac:dyDescent="0.2">
      <c r="E260" s="174">
        <v>44</v>
      </c>
      <c r="F260" s="221">
        <f t="shared" si="477"/>
        <v>0.18479999999999999</v>
      </c>
      <c r="G260" s="221"/>
      <c r="H260" s="221">
        <f t="shared" si="443"/>
        <v>2.8643999999999998</v>
      </c>
      <c r="I260" s="551">
        <f t="shared" si="444"/>
        <v>16</v>
      </c>
      <c r="J260" s="451">
        <f t="shared" si="445"/>
        <v>16.399999999999999</v>
      </c>
      <c r="K260" s="451">
        <f t="shared" si="446"/>
        <v>32.4</v>
      </c>
      <c r="L260" s="451"/>
      <c r="M260" s="221">
        <f t="shared" si="447"/>
        <v>0.50617283950617287</v>
      </c>
      <c r="N260" s="176">
        <f t="shared" si="448"/>
        <v>15.136592592592594</v>
      </c>
      <c r="O260" s="176">
        <f t="shared" si="363"/>
        <v>2.8643999999999998</v>
      </c>
      <c r="P260" s="221">
        <f t="shared" si="449"/>
        <v>0.97655436081242541</v>
      </c>
      <c r="Q260" s="221">
        <f t="shared" si="450"/>
        <v>15.5</v>
      </c>
      <c r="R260" s="221"/>
      <c r="S260" s="176">
        <f t="shared" si="451"/>
        <v>143.83974865145493</v>
      </c>
      <c r="T260" s="176">
        <f t="shared" si="452"/>
        <v>15.5</v>
      </c>
      <c r="U260" s="221">
        <f t="shared" si="453"/>
        <v>0.78596341463414621</v>
      </c>
      <c r="V260" s="221">
        <f t="shared" si="454"/>
        <v>0.44210442073170725</v>
      </c>
      <c r="W260" s="221">
        <f t="shared" si="455"/>
        <v>0.43132138607971443</v>
      </c>
      <c r="X260" s="201">
        <f t="shared" si="456"/>
        <v>350</v>
      </c>
      <c r="Y260" s="451">
        <f t="shared" si="418"/>
        <v>350</v>
      </c>
      <c r="AA260" s="221">
        <f t="shared" si="457"/>
        <v>2.5710366451107194</v>
      </c>
      <c r="AB260" s="177">
        <f t="shared" si="458"/>
        <v>1.4109347442680777</v>
      </c>
      <c r="AC260" s="177">
        <f t="shared" si="459"/>
        <v>0.63482386299030114</v>
      </c>
      <c r="AD260" s="177"/>
      <c r="AE260" s="177">
        <f t="shared" si="460"/>
        <v>0.45</v>
      </c>
      <c r="AF260" s="555">
        <f t="shared" si="461"/>
        <v>1001.6260162601626</v>
      </c>
      <c r="AG260" s="538">
        <f t="shared" si="462"/>
        <v>6.4574999999999994E-2</v>
      </c>
      <c r="AI260" s="177">
        <f t="shared" si="463"/>
        <v>1.3871793923882616</v>
      </c>
      <c r="AJ260" s="177">
        <f t="shared" si="464"/>
        <v>1.3871793923882616</v>
      </c>
      <c r="AK260" s="177">
        <f t="shared" si="465"/>
        <v>1.5781195949255078</v>
      </c>
      <c r="AM260" s="555">
        <f t="shared" si="466"/>
        <v>184.79999999999998</v>
      </c>
      <c r="AN260" s="469">
        <f t="shared" si="467"/>
        <v>350</v>
      </c>
      <c r="AP260">
        <f t="shared" si="468"/>
        <v>184.79999999999998</v>
      </c>
      <c r="AQ260">
        <f t="shared" si="469"/>
        <v>350</v>
      </c>
      <c r="AS260" s="5">
        <f t="shared" si="364"/>
        <v>2.8571428571428572</v>
      </c>
      <c r="AT260" s="5">
        <f t="shared" si="470"/>
        <v>0.78028840821839718</v>
      </c>
      <c r="AU260" s="5">
        <f t="shared" si="440"/>
        <v>2.0768544489244603</v>
      </c>
      <c r="AV260" s="5"/>
      <c r="AW260" s="177">
        <f t="shared" si="441"/>
        <v>0.27310094287643899</v>
      </c>
      <c r="AX260" s="177"/>
      <c r="BA260" s="469">
        <f t="shared" si="471"/>
        <v>17.856916306602201</v>
      </c>
      <c r="BB260" s="469">
        <f t="shared" si="472"/>
        <v>4.5619906838709685</v>
      </c>
      <c r="BC260" s="5">
        <f t="shared" si="442"/>
        <v>0.68853494021981743</v>
      </c>
      <c r="BD260" s="469">
        <f t="shared" si="473"/>
        <v>0</v>
      </c>
      <c r="BQ260" s="538">
        <f t="shared" si="474"/>
        <v>0.16632</v>
      </c>
      <c r="CG260" s="571">
        <f t="shared" si="475"/>
        <v>-50</v>
      </c>
      <c r="CH260">
        <f t="shared" si="476"/>
        <v>-50</v>
      </c>
    </row>
    <row r="261" spans="5:86" x14ac:dyDescent="0.2">
      <c r="E261" s="174">
        <v>45</v>
      </c>
      <c r="F261" s="221">
        <f t="shared" si="477"/>
        <v>0.189</v>
      </c>
      <c r="G261" s="221"/>
      <c r="H261" s="221">
        <f t="shared" si="443"/>
        <v>2.9295</v>
      </c>
      <c r="I261" s="551">
        <f t="shared" si="444"/>
        <v>16</v>
      </c>
      <c r="J261" s="451">
        <f t="shared" si="445"/>
        <v>16.399999999999999</v>
      </c>
      <c r="K261" s="451">
        <f t="shared" si="446"/>
        <v>32.4</v>
      </c>
      <c r="L261" s="451"/>
      <c r="M261" s="221">
        <f t="shared" si="447"/>
        <v>0.50617283950617287</v>
      </c>
      <c r="N261" s="176">
        <f t="shared" si="448"/>
        <v>15.136592592592594</v>
      </c>
      <c r="O261" s="176">
        <f t="shared" si="363"/>
        <v>2.9295</v>
      </c>
      <c r="P261" s="221">
        <f t="shared" si="449"/>
        <v>0.97655436081242541</v>
      </c>
      <c r="Q261" s="221">
        <f t="shared" si="450"/>
        <v>15.5</v>
      </c>
      <c r="R261" s="221"/>
      <c r="S261" s="176">
        <f t="shared" si="451"/>
        <v>140.29246463608564</v>
      </c>
      <c r="T261" s="176">
        <f t="shared" si="452"/>
        <v>15.5</v>
      </c>
      <c r="U261" s="221">
        <f t="shared" si="453"/>
        <v>0.80382621951219502</v>
      </c>
      <c r="V261" s="221">
        <f t="shared" si="454"/>
        <v>0.45215224847560975</v>
      </c>
      <c r="W261" s="221">
        <f t="shared" si="455"/>
        <v>0.44112414485425344</v>
      </c>
      <c r="X261" s="201">
        <f t="shared" si="456"/>
        <v>350</v>
      </c>
      <c r="Y261" s="451">
        <f t="shared" si="418"/>
        <v>350</v>
      </c>
      <c r="AA261" s="221">
        <f t="shared" si="457"/>
        <v>2.5710366451107194</v>
      </c>
      <c r="AB261" s="177">
        <f t="shared" si="458"/>
        <v>1.4109347442680777</v>
      </c>
      <c r="AC261" s="177">
        <f t="shared" si="459"/>
        <v>0.63482386299030114</v>
      </c>
      <c r="AD261" s="177"/>
      <c r="AE261" s="177">
        <f t="shared" si="460"/>
        <v>0.45</v>
      </c>
      <c r="AF261" s="555">
        <f t="shared" si="461"/>
        <v>1024.3902439024391</v>
      </c>
      <c r="AG261" s="538">
        <f t="shared" si="462"/>
        <v>6.4574999999999994E-2</v>
      </c>
      <c r="AI261" s="177">
        <f t="shared" si="463"/>
        <v>1.4028542333400145</v>
      </c>
      <c r="AJ261" s="177">
        <f t="shared" si="464"/>
        <v>1.4028542333400145</v>
      </c>
      <c r="AK261" s="177">
        <f t="shared" si="465"/>
        <v>1.588569488893343</v>
      </c>
      <c r="AM261" s="555">
        <f t="shared" si="466"/>
        <v>189</v>
      </c>
      <c r="AN261" s="469">
        <f t="shared" si="467"/>
        <v>350</v>
      </c>
      <c r="AP261">
        <f t="shared" si="468"/>
        <v>189</v>
      </c>
      <c r="AQ261">
        <f t="shared" si="469"/>
        <v>350</v>
      </c>
      <c r="AS261" s="5">
        <f t="shared" si="364"/>
        <v>2.8571428571428572</v>
      </c>
      <c r="AT261" s="5">
        <f t="shared" si="470"/>
        <v>0.78910550625375808</v>
      </c>
      <c r="AU261" s="5">
        <f t="shared" si="440"/>
        <v>2.068037350889099</v>
      </c>
      <c r="AV261" s="5"/>
      <c r="AW261" s="177">
        <f t="shared" si="441"/>
        <v>0.27618692718881532</v>
      </c>
      <c r="AX261" s="177"/>
      <c r="BA261" s="469">
        <f t="shared" si="471"/>
        <v>17.856916306602201</v>
      </c>
      <c r="BB261" s="469">
        <f t="shared" si="472"/>
        <v>4.7631193878299136</v>
      </c>
      <c r="BC261" s="5">
        <f t="shared" si="442"/>
        <v>0.701193914285835</v>
      </c>
      <c r="BD261" s="469">
        <f t="shared" si="473"/>
        <v>0</v>
      </c>
      <c r="BQ261" s="538">
        <f t="shared" si="474"/>
        <v>0.1701</v>
      </c>
      <c r="CG261" s="571">
        <f t="shared" si="475"/>
        <v>-50</v>
      </c>
      <c r="CH261">
        <f t="shared" si="476"/>
        <v>-50</v>
      </c>
    </row>
    <row r="262" spans="5:86" x14ac:dyDescent="0.2">
      <c r="E262" s="174">
        <v>46</v>
      </c>
      <c r="F262" s="221">
        <f t="shared" si="477"/>
        <v>0.19320000000000001</v>
      </c>
      <c r="G262" s="221"/>
      <c r="H262" s="221">
        <f t="shared" si="443"/>
        <v>2.9946000000000002</v>
      </c>
      <c r="I262" s="551">
        <f t="shared" si="444"/>
        <v>16</v>
      </c>
      <c r="J262" s="451">
        <f t="shared" si="445"/>
        <v>16.399999999999999</v>
      </c>
      <c r="K262" s="451">
        <f t="shared" si="446"/>
        <v>32.4</v>
      </c>
      <c r="L262" s="451"/>
      <c r="M262" s="221">
        <f t="shared" si="447"/>
        <v>0.50617283950617287</v>
      </c>
      <c r="N262" s="176">
        <f t="shared" si="448"/>
        <v>15.136592592592594</v>
      </c>
      <c r="O262" s="176">
        <f t="shared" ref="O262:O316" si="478">T262*F262</f>
        <v>2.9946000000000002</v>
      </c>
      <c r="P262" s="221">
        <f t="shared" si="449"/>
        <v>0.97655436081242541</v>
      </c>
      <c r="Q262" s="221">
        <f t="shared" si="450"/>
        <v>15.5</v>
      </c>
      <c r="R262" s="221"/>
      <c r="S262" s="176">
        <f t="shared" si="451"/>
        <v>136.89953068611197</v>
      </c>
      <c r="T262" s="176">
        <f t="shared" si="452"/>
        <v>15.5</v>
      </c>
      <c r="U262" s="221">
        <f t="shared" si="453"/>
        <v>0.82168902439024383</v>
      </c>
      <c r="V262" s="221">
        <f t="shared" si="454"/>
        <v>0.46220007621951215</v>
      </c>
      <c r="W262" s="221">
        <f t="shared" si="455"/>
        <v>0.4509269036287924</v>
      </c>
      <c r="X262" s="201">
        <f t="shared" si="456"/>
        <v>350</v>
      </c>
      <c r="Y262" s="451">
        <f t="shared" si="418"/>
        <v>350</v>
      </c>
      <c r="AA262" s="221">
        <f t="shared" si="457"/>
        <v>2.5710366451107194</v>
      </c>
      <c r="AB262" s="177">
        <f t="shared" si="458"/>
        <v>1.4109347442680777</v>
      </c>
      <c r="AC262" s="177">
        <f t="shared" si="459"/>
        <v>0.63482386299030114</v>
      </c>
      <c r="AD262" s="177"/>
      <c r="AE262" s="177">
        <f t="shared" si="460"/>
        <v>0.45</v>
      </c>
      <c r="AF262" s="555">
        <f t="shared" si="461"/>
        <v>1047.1544715447155</v>
      </c>
      <c r="AG262" s="538">
        <f t="shared" si="462"/>
        <v>6.4574999999999994E-2</v>
      </c>
      <c r="AI262" s="177">
        <f t="shared" si="463"/>
        <v>1.4183558556770346</v>
      </c>
      <c r="AJ262" s="177">
        <f t="shared" si="464"/>
        <v>1.4183558556770346</v>
      </c>
      <c r="AK262" s="177">
        <f t="shared" si="465"/>
        <v>1.5989039037846897</v>
      </c>
      <c r="AM262" s="555">
        <f t="shared" si="466"/>
        <v>193.20000000000002</v>
      </c>
      <c r="AN262" s="469">
        <f t="shared" si="467"/>
        <v>350</v>
      </c>
      <c r="AP262">
        <f t="shared" si="468"/>
        <v>193.20000000000002</v>
      </c>
      <c r="AQ262">
        <f t="shared" si="469"/>
        <v>350</v>
      </c>
      <c r="AS262" s="5">
        <f t="shared" si="364"/>
        <v>2.8571428571428572</v>
      </c>
      <c r="AT262" s="5">
        <f t="shared" si="470"/>
        <v>0.79782516881833199</v>
      </c>
      <c r="AU262" s="5">
        <f t="shared" si="440"/>
        <v>2.0593176883245254</v>
      </c>
      <c r="AV262" s="5"/>
      <c r="AW262" s="177">
        <f t="shared" si="441"/>
        <v>0.27923880908641618</v>
      </c>
      <c r="AX262" s="177"/>
      <c r="BA262" s="469">
        <f t="shared" si="471"/>
        <v>17.856916306602201</v>
      </c>
      <c r="BB262" s="469">
        <f t="shared" si="472"/>
        <v>4.968579073900294</v>
      </c>
      <c r="BC262" s="5">
        <f t="shared" si="442"/>
        <v>0.71375379044636833</v>
      </c>
      <c r="BD262" s="469">
        <f t="shared" si="473"/>
        <v>0</v>
      </c>
      <c r="BQ262" s="538">
        <f t="shared" si="474"/>
        <v>0.17388000000000001</v>
      </c>
      <c r="CG262" s="571">
        <f t="shared" si="475"/>
        <v>-50</v>
      </c>
      <c r="CH262">
        <f t="shared" si="476"/>
        <v>-50</v>
      </c>
    </row>
    <row r="263" spans="5:86" x14ac:dyDescent="0.2">
      <c r="E263" s="174">
        <v>47</v>
      </c>
      <c r="F263" s="221">
        <f t="shared" si="477"/>
        <v>0.19739999999999999</v>
      </c>
      <c r="G263" s="221"/>
      <c r="H263" s="221">
        <f t="shared" si="443"/>
        <v>3.0596999999999999</v>
      </c>
      <c r="I263" s="551">
        <f t="shared" si="444"/>
        <v>16</v>
      </c>
      <c r="J263" s="451">
        <f t="shared" si="445"/>
        <v>16.399999999999999</v>
      </c>
      <c r="K263" s="451">
        <f t="shared" si="446"/>
        <v>32.4</v>
      </c>
      <c r="L263" s="451"/>
      <c r="M263" s="221">
        <f t="shared" si="447"/>
        <v>0.50617283950617287</v>
      </c>
      <c r="N263" s="176">
        <f t="shared" si="448"/>
        <v>15.136592592592594</v>
      </c>
      <c r="O263" s="176">
        <f t="shared" si="478"/>
        <v>3.0596999999999999</v>
      </c>
      <c r="P263" s="221">
        <f t="shared" si="449"/>
        <v>0.97655436081242541</v>
      </c>
      <c r="Q263" s="221">
        <f t="shared" si="450"/>
        <v>15.5</v>
      </c>
      <c r="R263" s="221"/>
      <c r="S263" s="176">
        <f t="shared" si="451"/>
        <v>133.65109548833613</v>
      </c>
      <c r="T263" s="176">
        <f t="shared" si="452"/>
        <v>15.5</v>
      </c>
      <c r="U263" s="221">
        <f t="shared" si="453"/>
        <v>0.83955182926829253</v>
      </c>
      <c r="V263" s="221">
        <f t="shared" si="454"/>
        <v>0.47224790396341454</v>
      </c>
      <c r="W263" s="221">
        <f t="shared" si="455"/>
        <v>0.4607296624033313</v>
      </c>
      <c r="X263" s="201">
        <f t="shared" si="456"/>
        <v>350</v>
      </c>
      <c r="Y263" s="451">
        <f t="shared" si="418"/>
        <v>350</v>
      </c>
      <c r="AA263" s="221">
        <f t="shared" si="457"/>
        <v>2.5710366451107194</v>
      </c>
      <c r="AB263" s="177">
        <f t="shared" si="458"/>
        <v>1.4109347442680777</v>
      </c>
      <c r="AC263" s="177">
        <f t="shared" si="459"/>
        <v>0.63482386299030114</v>
      </c>
      <c r="AD263" s="177"/>
      <c r="AE263" s="177">
        <f t="shared" si="460"/>
        <v>0.45</v>
      </c>
      <c r="AF263" s="555">
        <f t="shared" si="461"/>
        <v>1069.9186991869919</v>
      </c>
      <c r="AG263" s="538">
        <f t="shared" si="462"/>
        <v>6.4574999999999994E-2</v>
      </c>
      <c r="AI263" s="177">
        <f t="shared" si="463"/>
        <v>1.4336898781349705</v>
      </c>
      <c r="AJ263" s="177">
        <f t="shared" si="464"/>
        <v>1.4336898781349705</v>
      </c>
      <c r="AK263" s="177">
        <f t="shared" si="465"/>
        <v>1.6091265854233137</v>
      </c>
      <c r="AM263" s="555">
        <f t="shared" si="466"/>
        <v>197.4</v>
      </c>
      <c r="AN263" s="469">
        <f t="shared" si="467"/>
        <v>350</v>
      </c>
      <c r="AP263">
        <f t="shared" si="468"/>
        <v>197.4</v>
      </c>
      <c r="AQ263">
        <f t="shared" si="469"/>
        <v>350</v>
      </c>
      <c r="AS263" s="5">
        <f t="shared" ref="AS263:AS316" si="479">1/AN263*1000</f>
        <v>2.8571428571428572</v>
      </c>
      <c r="AT263" s="5">
        <f t="shared" si="470"/>
        <v>0.8064505564509209</v>
      </c>
      <c r="AU263" s="5">
        <f t="shared" si="440"/>
        <v>2.0506923006919364</v>
      </c>
      <c r="AV263" s="5"/>
      <c r="AW263" s="177">
        <f t="shared" si="441"/>
        <v>0.28225769475782231</v>
      </c>
      <c r="AX263" s="177"/>
      <c r="BA263" s="469">
        <f t="shared" si="471"/>
        <v>17.856916306602201</v>
      </c>
      <c r="BB263" s="469">
        <f t="shared" si="472"/>
        <v>5.1783697420821113</v>
      </c>
      <c r="BC263" s="5">
        <f t="shared" si="442"/>
        <v>0.72621565190128667</v>
      </c>
      <c r="BD263" s="469">
        <f t="shared" si="473"/>
        <v>0</v>
      </c>
      <c r="BQ263" s="538">
        <f t="shared" si="474"/>
        <v>0.17765999999999998</v>
      </c>
      <c r="CG263" s="571">
        <f t="shared" si="475"/>
        <v>-50</v>
      </c>
      <c r="CH263">
        <f t="shared" si="476"/>
        <v>-50</v>
      </c>
    </row>
    <row r="264" spans="5:86" x14ac:dyDescent="0.2">
      <c r="E264" s="174">
        <v>48</v>
      </c>
      <c r="F264" s="221">
        <f t="shared" si="477"/>
        <v>0.20159999999999997</v>
      </c>
      <c r="G264" s="221"/>
      <c r="H264" s="221">
        <f t="shared" si="443"/>
        <v>3.1247999999999996</v>
      </c>
      <c r="I264" s="551">
        <f t="shared" si="444"/>
        <v>16</v>
      </c>
      <c r="J264" s="451">
        <f t="shared" si="445"/>
        <v>16.399999999999999</v>
      </c>
      <c r="K264" s="451">
        <f t="shared" si="446"/>
        <v>32.4</v>
      </c>
      <c r="L264" s="451"/>
      <c r="M264" s="221">
        <f t="shared" si="447"/>
        <v>0.50617283950617287</v>
      </c>
      <c r="N264" s="176">
        <f t="shared" si="448"/>
        <v>15.136592592592594</v>
      </c>
      <c r="O264" s="176">
        <f t="shared" si="478"/>
        <v>3.1247999999999996</v>
      </c>
      <c r="P264" s="221">
        <f t="shared" si="449"/>
        <v>0.97655436081242541</v>
      </c>
      <c r="Q264" s="221">
        <f t="shared" si="450"/>
        <v>15.5</v>
      </c>
      <c r="R264" s="221"/>
      <c r="S264" s="176">
        <f t="shared" si="451"/>
        <v>130.53812867915548</v>
      </c>
      <c r="T264" s="176">
        <f t="shared" si="452"/>
        <v>15.5</v>
      </c>
      <c r="U264" s="221">
        <f t="shared" si="453"/>
        <v>0.85741463414634123</v>
      </c>
      <c r="V264" s="221">
        <f t="shared" si="454"/>
        <v>0.48229573170731699</v>
      </c>
      <c r="W264" s="221">
        <f t="shared" si="455"/>
        <v>0.47053242117787025</v>
      </c>
      <c r="X264" s="201">
        <f t="shared" si="456"/>
        <v>350</v>
      </c>
      <c r="Y264" s="451">
        <f t="shared" si="418"/>
        <v>350</v>
      </c>
      <c r="AA264" s="221">
        <f t="shared" si="457"/>
        <v>2.5710366451107194</v>
      </c>
      <c r="AB264" s="177">
        <f t="shared" si="458"/>
        <v>1.4109347442680777</v>
      </c>
      <c r="AC264" s="177">
        <f t="shared" si="459"/>
        <v>0.63482386299030114</v>
      </c>
      <c r="AD264" s="177"/>
      <c r="AE264" s="177">
        <f t="shared" si="460"/>
        <v>0.45</v>
      </c>
      <c r="AF264" s="555">
        <f t="shared" si="461"/>
        <v>1092.6829268292681</v>
      </c>
      <c r="AG264" s="538">
        <f t="shared" si="462"/>
        <v>6.4574999999999994E-2</v>
      </c>
      <c r="AI264" s="177">
        <f t="shared" si="463"/>
        <v>1.4488616221019863</v>
      </c>
      <c r="AJ264" s="177">
        <f t="shared" si="464"/>
        <v>1.4488616221019863</v>
      </c>
      <c r="AK264" s="177">
        <f t="shared" si="465"/>
        <v>1.6192410814013243</v>
      </c>
      <c r="AM264" s="555">
        <f t="shared" si="466"/>
        <v>201.59999999999997</v>
      </c>
      <c r="AN264" s="469">
        <f t="shared" si="467"/>
        <v>350</v>
      </c>
      <c r="AP264">
        <f t="shared" si="468"/>
        <v>201.59999999999997</v>
      </c>
      <c r="AQ264">
        <f t="shared" si="469"/>
        <v>350</v>
      </c>
      <c r="AS264" s="5">
        <f t="shared" si="479"/>
        <v>2.8571428571428572</v>
      </c>
      <c r="AT264" s="5">
        <f t="shared" si="470"/>
        <v>0.81498466243236733</v>
      </c>
      <c r="AU264" s="5">
        <f t="shared" si="440"/>
        <v>2.0421581947104901</v>
      </c>
      <c r="AV264" s="5"/>
      <c r="AW264" s="177">
        <f t="shared" si="441"/>
        <v>0.28524463185132853</v>
      </c>
      <c r="AX264" s="177"/>
      <c r="BA264" s="469">
        <f t="shared" si="471"/>
        <v>17.856916306602201</v>
      </c>
      <c r="BB264" s="469">
        <f t="shared" si="472"/>
        <v>5.3924913923753657</v>
      </c>
      <c r="BC264" s="5">
        <f t="shared" si="442"/>
        <v>0.73858054708696042</v>
      </c>
      <c r="BD264" s="469">
        <f t="shared" si="473"/>
        <v>0</v>
      </c>
      <c r="BQ264" s="538">
        <f t="shared" si="474"/>
        <v>0.18143999999999999</v>
      </c>
      <c r="CG264" s="571">
        <f t="shared" si="475"/>
        <v>-50</v>
      </c>
      <c r="CH264">
        <f t="shared" si="476"/>
        <v>-50</v>
      </c>
    </row>
    <row r="265" spans="5:86" x14ac:dyDescent="0.2">
      <c r="E265" s="174">
        <v>49</v>
      </c>
      <c r="F265" s="221">
        <f t="shared" si="477"/>
        <v>0.20579999999999998</v>
      </c>
      <c r="G265" s="221"/>
      <c r="H265" s="221">
        <f t="shared" si="443"/>
        <v>3.1898999999999997</v>
      </c>
      <c r="I265" s="551">
        <f t="shared" si="444"/>
        <v>16</v>
      </c>
      <c r="J265" s="451">
        <f t="shared" si="445"/>
        <v>16.399999999999999</v>
      </c>
      <c r="K265" s="451">
        <f t="shared" si="446"/>
        <v>32.4</v>
      </c>
      <c r="L265" s="451"/>
      <c r="M265" s="221">
        <f t="shared" si="447"/>
        <v>0.50617283950617287</v>
      </c>
      <c r="N265" s="176">
        <f t="shared" si="448"/>
        <v>15.136592592592594</v>
      </c>
      <c r="O265" s="176">
        <f t="shared" si="478"/>
        <v>3.1898999999999997</v>
      </c>
      <c r="P265" s="221">
        <f t="shared" si="449"/>
        <v>0.97655436081242541</v>
      </c>
      <c r="Q265" s="221">
        <f t="shared" si="450"/>
        <v>15.5</v>
      </c>
      <c r="R265" s="221"/>
      <c r="S265" s="176">
        <f t="shared" si="451"/>
        <v>127.55233707425987</v>
      </c>
      <c r="T265" s="176">
        <f t="shared" si="452"/>
        <v>15.5</v>
      </c>
      <c r="U265" s="221">
        <f t="shared" si="453"/>
        <v>0.87527743902439004</v>
      </c>
      <c r="V265" s="221">
        <f t="shared" si="454"/>
        <v>0.49234355945121938</v>
      </c>
      <c r="W265" s="221">
        <f t="shared" si="455"/>
        <v>0.48033517995240926</v>
      </c>
      <c r="X265" s="201">
        <f t="shared" si="456"/>
        <v>350</v>
      </c>
      <c r="Y265" s="451">
        <f t="shared" si="418"/>
        <v>350</v>
      </c>
      <c r="AA265" s="221">
        <f t="shared" si="457"/>
        <v>2.5710366451107194</v>
      </c>
      <c r="AB265" s="177">
        <f t="shared" si="458"/>
        <v>1.4109347442680777</v>
      </c>
      <c r="AC265" s="177">
        <f t="shared" si="459"/>
        <v>0.63482386299030114</v>
      </c>
      <c r="AD265" s="177"/>
      <c r="AE265" s="177">
        <f t="shared" si="460"/>
        <v>0.45</v>
      </c>
      <c r="AF265" s="555">
        <f t="shared" si="461"/>
        <v>1115.4471544715448</v>
      </c>
      <c r="AG265" s="538">
        <f t="shared" si="462"/>
        <v>6.4574999999999994E-2</v>
      </c>
      <c r="AI265" s="177">
        <f t="shared" si="463"/>
        <v>1.4638761331934245</v>
      </c>
      <c r="AJ265" s="177">
        <f t="shared" si="464"/>
        <v>1.4638761331934245</v>
      </c>
      <c r="AK265" s="177">
        <f t="shared" si="465"/>
        <v>1.629250755462283</v>
      </c>
      <c r="AM265" s="555">
        <f t="shared" si="466"/>
        <v>205.79999999999998</v>
      </c>
      <c r="AN265" s="469">
        <f t="shared" si="467"/>
        <v>350</v>
      </c>
      <c r="AP265">
        <f t="shared" si="468"/>
        <v>205.79999999999998</v>
      </c>
      <c r="AQ265">
        <f t="shared" si="469"/>
        <v>350</v>
      </c>
      <c r="AS265" s="5">
        <f t="shared" si="479"/>
        <v>2.8571428571428572</v>
      </c>
      <c r="AT265" s="5">
        <f t="shared" si="470"/>
        <v>0.82343032492130119</v>
      </c>
      <c r="AU265" s="5">
        <f t="shared" si="440"/>
        <v>2.0337125322215561</v>
      </c>
      <c r="AV265" s="5"/>
      <c r="AW265" s="177">
        <f t="shared" si="441"/>
        <v>0.28820061372245542</v>
      </c>
      <c r="AX265" s="177"/>
      <c r="BA265" s="469">
        <f t="shared" si="471"/>
        <v>17.856916306602201</v>
      </c>
      <c r="BB265" s="469">
        <f t="shared" si="472"/>
        <v>5.6109440247800579</v>
      </c>
      <c r="BC265" s="5">
        <f t="shared" si="442"/>
        <v>0.75084949149693747</v>
      </c>
      <c r="BD265" s="469">
        <f t="shared" si="473"/>
        <v>0</v>
      </c>
      <c r="BQ265" s="538">
        <f t="shared" si="474"/>
        <v>0.18522</v>
      </c>
      <c r="CG265" s="571">
        <f t="shared" si="475"/>
        <v>-50</v>
      </c>
      <c r="CH265">
        <f t="shared" si="476"/>
        <v>-50</v>
      </c>
    </row>
    <row r="266" spans="5:86" x14ac:dyDescent="0.2">
      <c r="E266" s="174">
        <v>50</v>
      </c>
      <c r="F266" s="221">
        <f t="shared" si="477"/>
        <v>0.21</v>
      </c>
      <c r="G266" s="221"/>
      <c r="H266" s="221">
        <f t="shared" si="443"/>
        <v>3.2549999999999999</v>
      </c>
      <c r="I266" s="551">
        <f t="shared" si="444"/>
        <v>16</v>
      </c>
      <c r="J266" s="451">
        <f t="shared" si="445"/>
        <v>16.399999999999999</v>
      </c>
      <c r="K266" s="451">
        <f t="shared" si="446"/>
        <v>32.4</v>
      </c>
      <c r="L266" s="451"/>
      <c r="M266" s="221">
        <f t="shared" si="447"/>
        <v>0.50617283950617287</v>
      </c>
      <c r="N266" s="176">
        <f t="shared" si="448"/>
        <v>15.136592592592594</v>
      </c>
      <c r="O266" s="176">
        <f t="shared" si="478"/>
        <v>3.2549999999999999</v>
      </c>
      <c r="P266" s="221">
        <f t="shared" si="449"/>
        <v>0.97655436081242541</v>
      </c>
      <c r="Q266" s="221">
        <f t="shared" si="450"/>
        <v>15.5</v>
      </c>
      <c r="R266" s="221"/>
      <c r="S266" s="176">
        <f t="shared" si="451"/>
        <v>124.68609095076519</v>
      </c>
      <c r="T266" s="176">
        <f t="shared" si="452"/>
        <v>15.5</v>
      </c>
      <c r="U266" s="221">
        <f t="shared" si="453"/>
        <v>0.89314024390243896</v>
      </c>
      <c r="V266" s="221">
        <f t="shared" si="454"/>
        <v>0.50239138719512189</v>
      </c>
      <c r="W266" s="221">
        <f t="shared" si="455"/>
        <v>0.49013793872694827</v>
      </c>
      <c r="X266" s="201">
        <f t="shared" si="456"/>
        <v>350</v>
      </c>
      <c r="Y266" s="451">
        <f t="shared" si="418"/>
        <v>350</v>
      </c>
      <c r="AA266" s="221">
        <f t="shared" si="457"/>
        <v>2.5710366451107194</v>
      </c>
      <c r="AB266" s="177">
        <f t="shared" si="458"/>
        <v>1.4109347442680777</v>
      </c>
      <c r="AC266" s="177">
        <f t="shared" si="459"/>
        <v>0.63482386299030114</v>
      </c>
      <c r="AD266" s="177"/>
      <c r="AE266" s="177">
        <f t="shared" si="460"/>
        <v>0.45</v>
      </c>
      <c r="AF266" s="555">
        <f t="shared" si="461"/>
        <v>1138.2113821138212</v>
      </c>
      <c r="AG266" s="538">
        <f t="shared" si="462"/>
        <v>6.4574999999999994E-2</v>
      </c>
      <c r="AI266" s="177">
        <f t="shared" si="463"/>
        <v>1.4787382008545888</v>
      </c>
      <c r="AJ266" s="177">
        <f t="shared" si="464"/>
        <v>1.4787382008545888</v>
      </c>
      <c r="AK266" s="177">
        <f t="shared" si="465"/>
        <v>1.639158800569726</v>
      </c>
      <c r="AM266" s="555">
        <f t="shared" si="466"/>
        <v>210</v>
      </c>
      <c r="AN266" s="469">
        <f t="shared" si="467"/>
        <v>350</v>
      </c>
      <c r="AP266">
        <f t="shared" si="468"/>
        <v>210</v>
      </c>
      <c r="AQ266">
        <f t="shared" si="469"/>
        <v>350</v>
      </c>
      <c r="AS266" s="5">
        <f t="shared" si="479"/>
        <v>2.8571428571428572</v>
      </c>
      <c r="AT266" s="5">
        <f t="shared" si="470"/>
        <v>0.83179023798070628</v>
      </c>
      <c r="AU266" s="5">
        <f t="shared" si="440"/>
        <v>2.0253526191621507</v>
      </c>
      <c r="AV266" s="5"/>
      <c r="AW266" s="177">
        <f t="shared" si="441"/>
        <v>0.2911265832932472</v>
      </c>
      <c r="AX266" s="177"/>
      <c r="BA266" s="469">
        <f t="shared" si="471"/>
        <v>17.856916306602201</v>
      </c>
      <c r="BB266" s="469">
        <f t="shared" si="472"/>
        <v>5.8337276392961881</v>
      </c>
      <c r="BC266" s="5">
        <f t="shared" si="442"/>
        <v>0.76302346937185173</v>
      </c>
      <c r="BD266" s="469">
        <f t="shared" si="473"/>
        <v>0</v>
      </c>
      <c r="BQ266" s="538">
        <f t="shared" si="474"/>
        <v>0.189</v>
      </c>
      <c r="CG266" s="571">
        <f t="shared" si="475"/>
        <v>-50</v>
      </c>
      <c r="CH266">
        <f t="shared" si="476"/>
        <v>-50</v>
      </c>
    </row>
    <row r="267" spans="5:86" x14ac:dyDescent="0.2">
      <c r="E267" s="174">
        <v>51</v>
      </c>
      <c r="F267" s="221">
        <f t="shared" si="477"/>
        <v>0.2142</v>
      </c>
      <c r="G267" s="221"/>
      <c r="H267" s="221">
        <f t="shared" si="443"/>
        <v>3.3201000000000001</v>
      </c>
      <c r="I267" s="551">
        <f t="shared" si="444"/>
        <v>16</v>
      </c>
      <c r="J267" s="451">
        <f t="shared" si="445"/>
        <v>16.399999999999999</v>
      </c>
      <c r="K267" s="451">
        <f t="shared" si="446"/>
        <v>32.4</v>
      </c>
      <c r="L267" s="451"/>
      <c r="M267" s="221">
        <f t="shared" si="447"/>
        <v>0.50617283950617287</v>
      </c>
      <c r="N267" s="176">
        <f t="shared" si="448"/>
        <v>15.136592592592594</v>
      </c>
      <c r="O267" s="176">
        <f t="shared" si="478"/>
        <v>3.3201000000000001</v>
      </c>
      <c r="P267" s="221">
        <f t="shared" si="449"/>
        <v>0.97655436081242541</v>
      </c>
      <c r="Q267" s="221">
        <f t="shared" si="450"/>
        <v>15.5</v>
      </c>
      <c r="R267" s="221"/>
      <c r="S267" s="176">
        <f t="shared" si="451"/>
        <v>121.93235900203808</v>
      </c>
      <c r="T267" s="176">
        <f t="shared" si="452"/>
        <v>15.5</v>
      </c>
      <c r="U267" s="221">
        <f t="shared" si="453"/>
        <v>0.91100304878048777</v>
      </c>
      <c r="V267" s="221">
        <f t="shared" si="454"/>
        <v>0.51243921493902433</v>
      </c>
      <c r="W267" s="221">
        <f t="shared" si="455"/>
        <v>0.49994069750148723</v>
      </c>
      <c r="X267" s="201">
        <f t="shared" si="456"/>
        <v>350</v>
      </c>
      <c r="Y267" s="451">
        <f t="shared" si="418"/>
        <v>350</v>
      </c>
      <c r="AA267" s="221">
        <f t="shared" si="457"/>
        <v>2.5710366451107194</v>
      </c>
      <c r="AB267" s="177">
        <f t="shared" si="458"/>
        <v>1.4109347442680777</v>
      </c>
      <c r="AC267" s="177">
        <f t="shared" si="459"/>
        <v>0.63482386299030114</v>
      </c>
      <c r="AD267" s="177"/>
      <c r="AE267" s="177">
        <f t="shared" si="460"/>
        <v>0.45</v>
      </c>
      <c r="AF267" s="555">
        <f t="shared" si="461"/>
        <v>1160.9756097560976</v>
      </c>
      <c r="AG267" s="538">
        <f t="shared" si="462"/>
        <v>6.4574999999999994E-2</v>
      </c>
      <c r="AI267" s="177">
        <f t="shared" si="463"/>
        <v>1.4934523762075573</v>
      </c>
      <c r="AJ267" s="177">
        <f t="shared" si="464"/>
        <v>1.4934523762075573</v>
      </c>
      <c r="AK267" s="177">
        <f t="shared" si="465"/>
        <v>1.6489682508050383</v>
      </c>
      <c r="AM267" s="555">
        <f t="shared" si="466"/>
        <v>214.2</v>
      </c>
      <c r="AN267" s="469">
        <f t="shared" si="467"/>
        <v>350</v>
      </c>
      <c r="AP267">
        <f t="shared" si="468"/>
        <v>214.2</v>
      </c>
      <c r="AQ267">
        <f t="shared" si="469"/>
        <v>350</v>
      </c>
      <c r="AS267" s="5">
        <f t="shared" si="479"/>
        <v>2.8571428571428572</v>
      </c>
      <c r="AT267" s="5">
        <f t="shared" si="470"/>
        <v>0.8400669616167511</v>
      </c>
      <c r="AU267" s="5">
        <f t="shared" si="440"/>
        <v>2.0170758955261059</v>
      </c>
      <c r="AV267" s="5"/>
      <c r="AW267" s="177">
        <f t="shared" si="441"/>
        <v>0.29402343656586288</v>
      </c>
      <c r="AX267" s="177"/>
      <c r="BA267" s="469">
        <f t="shared" si="471"/>
        <v>17.856916306602201</v>
      </c>
      <c r="BB267" s="469">
        <f t="shared" si="472"/>
        <v>6.0608422359237553</v>
      </c>
      <c r="BC267" s="5">
        <f t="shared" si="442"/>
        <v>0.77510343527039627</v>
      </c>
      <c r="BD267" s="469">
        <f t="shared" si="473"/>
        <v>0</v>
      </c>
      <c r="BQ267" s="538">
        <f t="shared" si="474"/>
        <v>0.19278000000000001</v>
      </c>
      <c r="CG267" s="571">
        <f t="shared" si="475"/>
        <v>-50</v>
      </c>
      <c r="CH267">
        <f t="shared" si="476"/>
        <v>-50</v>
      </c>
    </row>
    <row r="268" spans="5:86" x14ac:dyDescent="0.2">
      <c r="E268" s="174">
        <v>52</v>
      </c>
      <c r="F268" s="221">
        <f t="shared" si="477"/>
        <v>0.21840000000000001</v>
      </c>
      <c r="G268" s="221"/>
      <c r="H268" s="221">
        <f t="shared" si="443"/>
        <v>3.3852000000000002</v>
      </c>
      <c r="I268" s="551">
        <f t="shared" si="444"/>
        <v>16</v>
      </c>
      <c r="J268" s="451">
        <f t="shared" si="445"/>
        <v>16.399999999999999</v>
      </c>
      <c r="K268" s="451">
        <f t="shared" si="446"/>
        <v>32.4</v>
      </c>
      <c r="L268" s="451"/>
      <c r="M268" s="221">
        <f t="shared" si="447"/>
        <v>0.50617283950617287</v>
      </c>
      <c r="N268" s="176">
        <f t="shared" si="448"/>
        <v>15.136592592592594</v>
      </c>
      <c r="O268" s="176">
        <f t="shared" si="478"/>
        <v>3.3852000000000002</v>
      </c>
      <c r="P268" s="221">
        <f t="shared" si="449"/>
        <v>0.97655436081242541</v>
      </c>
      <c r="Q268" s="221">
        <f t="shared" si="450"/>
        <v>15.5</v>
      </c>
      <c r="R268" s="221"/>
      <c r="S268" s="176">
        <f t="shared" si="451"/>
        <v>119.28465079773352</v>
      </c>
      <c r="T268" s="176">
        <f t="shared" si="452"/>
        <v>15.5</v>
      </c>
      <c r="U268" s="221">
        <f t="shared" si="453"/>
        <v>0.92886585365853658</v>
      </c>
      <c r="V268" s="221">
        <f t="shared" si="454"/>
        <v>0.52248704268292689</v>
      </c>
      <c r="W268" s="221">
        <f t="shared" si="455"/>
        <v>0.50974345627602624</v>
      </c>
      <c r="X268" s="201">
        <f t="shared" si="456"/>
        <v>350</v>
      </c>
      <c r="Y268" s="451">
        <f t="shared" si="418"/>
        <v>350</v>
      </c>
      <c r="AA268" s="221">
        <f t="shared" si="457"/>
        <v>2.5710366451107194</v>
      </c>
      <c r="AB268" s="177">
        <f t="shared" si="458"/>
        <v>1.4109347442680777</v>
      </c>
      <c r="AC268" s="177">
        <f t="shared" si="459"/>
        <v>0.63482386299030114</v>
      </c>
      <c r="AD268" s="177"/>
      <c r="AE268" s="177">
        <f t="shared" si="460"/>
        <v>0.45</v>
      </c>
      <c r="AF268" s="555">
        <f t="shared" si="461"/>
        <v>1183.739837398374</v>
      </c>
      <c r="AG268" s="538">
        <f t="shared" si="462"/>
        <v>6.4574999999999994E-2</v>
      </c>
      <c r="AI268" s="177">
        <f t="shared" si="463"/>
        <v>1.5080229883305269</v>
      </c>
      <c r="AJ268" s="177">
        <f t="shared" si="464"/>
        <v>1.5080229883305269</v>
      </c>
      <c r="AK268" s="177">
        <f t="shared" si="465"/>
        <v>1.6586819922203513</v>
      </c>
      <c r="AM268" s="555">
        <f t="shared" si="466"/>
        <v>218.4</v>
      </c>
      <c r="AN268" s="469">
        <f t="shared" si="467"/>
        <v>350</v>
      </c>
      <c r="AP268">
        <f t="shared" si="468"/>
        <v>218.4</v>
      </c>
      <c r="AQ268">
        <f t="shared" si="469"/>
        <v>350</v>
      </c>
      <c r="AS268" s="5">
        <f t="shared" si="479"/>
        <v>2.8571428571428572</v>
      </c>
      <c r="AT268" s="5">
        <f t="shared" si="470"/>
        <v>0.84826293093592142</v>
      </c>
      <c r="AU268" s="5">
        <f t="shared" si="440"/>
        <v>2.0088799262069359</v>
      </c>
      <c r="AV268" s="5"/>
      <c r="AW268" s="177">
        <f t="shared" si="441"/>
        <v>0.29689202582757251</v>
      </c>
      <c r="AX268" s="177"/>
      <c r="BA268" s="469">
        <f t="shared" si="471"/>
        <v>17.856916306602201</v>
      </c>
      <c r="BB268" s="469">
        <f t="shared" si="472"/>
        <v>6.2922878146627585</v>
      </c>
      <c r="BC268" s="5">
        <f t="shared" si="442"/>
        <v>0.78709031553191189</v>
      </c>
      <c r="BD268" s="469">
        <f t="shared" si="473"/>
        <v>0</v>
      </c>
      <c r="BQ268" s="538">
        <f t="shared" si="474"/>
        <v>0.19656000000000001</v>
      </c>
      <c r="CG268" s="571">
        <f t="shared" si="475"/>
        <v>-50</v>
      </c>
      <c r="CH268">
        <f t="shared" si="476"/>
        <v>-50</v>
      </c>
    </row>
    <row r="269" spans="5:86" x14ac:dyDescent="0.2">
      <c r="E269" s="174">
        <v>53</v>
      </c>
      <c r="F269" s="221">
        <f t="shared" si="477"/>
        <v>0.22259999999999999</v>
      </c>
      <c r="G269" s="221"/>
      <c r="H269" s="221">
        <f t="shared" si="443"/>
        <v>3.4502999999999999</v>
      </c>
      <c r="I269" s="551">
        <f t="shared" si="444"/>
        <v>16</v>
      </c>
      <c r="J269" s="451">
        <f t="shared" si="445"/>
        <v>16.399999999999999</v>
      </c>
      <c r="K269" s="451">
        <f t="shared" si="446"/>
        <v>32.4</v>
      </c>
      <c r="L269" s="451"/>
      <c r="M269" s="221">
        <f t="shared" si="447"/>
        <v>0.50617283950617287</v>
      </c>
      <c r="N269" s="176">
        <f t="shared" si="448"/>
        <v>15.136592592592594</v>
      </c>
      <c r="O269" s="176">
        <f t="shared" si="478"/>
        <v>3.4502999999999999</v>
      </c>
      <c r="P269" s="221">
        <f t="shared" si="449"/>
        <v>0.97655436081242541</v>
      </c>
      <c r="Q269" s="221">
        <f t="shared" si="450"/>
        <v>15.5</v>
      </c>
      <c r="R269" s="221"/>
      <c r="S269" s="176">
        <f t="shared" si="451"/>
        <v>116.73696575779124</v>
      </c>
      <c r="T269" s="176">
        <f t="shared" si="452"/>
        <v>15.5</v>
      </c>
      <c r="U269" s="221">
        <f t="shared" si="453"/>
        <v>0.94672865853658528</v>
      </c>
      <c r="V269" s="221">
        <f t="shared" si="454"/>
        <v>0.53253487042682923</v>
      </c>
      <c r="W269" s="221">
        <f t="shared" si="455"/>
        <v>0.5195462150505652</v>
      </c>
      <c r="X269" s="201">
        <f t="shared" si="456"/>
        <v>350</v>
      </c>
      <c r="Y269" s="451">
        <f t="shared" si="418"/>
        <v>350</v>
      </c>
      <c r="AA269" s="221">
        <f t="shared" si="457"/>
        <v>2.5710366451107194</v>
      </c>
      <c r="AB269" s="177">
        <f t="shared" si="458"/>
        <v>1.4109347442680777</v>
      </c>
      <c r="AC269" s="177">
        <f t="shared" si="459"/>
        <v>0.63482386299030114</v>
      </c>
      <c r="AD269" s="177"/>
      <c r="AE269" s="177">
        <f t="shared" si="460"/>
        <v>0.45</v>
      </c>
      <c r="AF269" s="555">
        <f t="shared" si="461"/>
        <v>1206.5040650406504</v>
      </c>
      <c r="AG269" s="538">
        <f t="shared" si="462"/>
        <v>6.4574999999999994E-2</v>
      </c>
      <c r="AI269" s="177">
        <f t="shared" si="463"/>
        <v>1.5224541591347394</v>
      </c>
      <c r="AJ269" s="177">
        <f t="shared" si="464"/>
        <v>1.5224541591347394</v>
      </c>
      <c r="AK269" s="177">
        <f t="shared" si="465"/>
        <v>1.668302772756493</v>
      </c>
      <c r="AM269" s="555">
        <f t="shared" si="466"/>
        <v>222.6</v>
      </c>
      <c r="AN269" s="469">
        <f t="shared" si="467"/>
        <v>350</v>
      </c>
      <c r="AP269">
        <f t="shared" si="468"/>
        <v>222.6</v>
      </c>
      <c r="AQ269">
        <f t="shared" si="469"/>
        <v>350</v>
      </c>
      <c r="AS269" s="5">
        <f t="shared" si="479"/>
        <v>2.8571428571428572</v>
      </c>
      <c r="AT269" s="5">
        <f t="shared" si="470"/>
        <v>0.85638046451329086</v>
      </c>
      <c r="AU269" s="5">
        <f t="shared" si="440"/>
        <v>2.0007623926295661</v>
      </c>
      <c r="AV269" s="5"/>
      <c r="AW269" s="177">
        <f t="shared" si="441"/>
        <v>0.29973316257965177</v>
      </c>
      <c r="AX269" s="177"/>
      <c r="BA269" s="469">
        <f t="shared" si="471"/>
        <v>17.856916306602201</v>
      </c>
      <c r="BB269" s="469">
        <f t="shared" si="472"/>
        <v>6.528064375513198</v>
      </c>
      <c r="BC269" s="5">
        <f t="shared" si="442"/>
        <v>0.79898500964002206</v>
      </c>
      <c r="BD269" s="469">
        <f t="shared" si="473"/>
        <v>0</v>
      </c>
      <c r="BQ269" s="538">
        <f t="shared" si="474"/>
        <v>0.20033999999999999</v>
      </c>
      <c r="CG269" s="571">
        <f t="shared" si="475"/>
        <v>-50</v>
      </c>
      <c r="CH269">
        <f t="shared" si="476"/>
        <v>-50</v>
      </c>
    </row>
    <row r="270" spans="5:86" x14ac:dyDescent="0.2">
      <c r="E270" s="174">
        <v>54</v>
      </c>
      <c r="F270" s="221">
        <f t="shared" si="477"/>
        <v>0.2268</v>
      </c>
      <c r="G270" s="221"/>
      <c r="H270" s="221">
        <f t="shared" si="443"/>
        <v>3.5154000000000001</v>
      </c>
      <c r="I270" s="551">
        <f t="shared" si="444"/>
        <v>16</v>
      </c>
      <c r="J270" s="451">
        <f t="shared" si="445"/>
        <v>16.399999999999999</v>
      </c>
      <c r="K270" s="451">
        <f t="shared" si="446"/>
        <v>32.4</v>
      </c>
      <c r="L270" s="451"/>
      <c r="M270" s="221">
        <f t="shared" si="447"/>
        <v>0.50617283950617287</v>
      </c>
      <c r="N270" s="176">
        <f t="shared" si="448"/>
        <v>15.136592592592594</v>
      </c>
      <c r="O270" s="176">
        <f t="shared" si="478"/>
        <v>3.5154000000000001</v>
      </c>
      <c r="P270" s="221">
        <f t="shared" si="449"/>
        <v>0.97655436081242541</v>
      </c>
      <c r="Q270" s="221">
        <f t="shared" si="450"/>
        <v>15.5</v>
      </c>
      <c r="R270" s="221"/>
      <c r="S270" s="176">
        <f t="shared" si="451"/>
        <v>114.28374779598836</v>
      </c>
      <c r="T270" s="176">
        <f t="shared" si="452"/>
        <v>15.5</v>
      </c>
      <c r="U270" s="221">
        <f t="shared" si="453"/>
        <v>0.96459146341463409</v>
      </c>
      <c r="V270" s="221">
        <f t="shared" si="454"/>
        <v>0.54258269817073168</v>
      </c>
      <c r="W270" s="221">
        <f t="shared" si="455"/>
        <v>0.52934897382510415</v>
      </c>
      <c r="X270" s="201">
        <f t="shared" si="456"/>
        <v>350</v>
      </c>
      <c r="Y270" s="451">
        <f t="shared" si="418"/>
        <v>350</v>
      </c>
      <c r="AA270" s="221">
        <f t="shared" si="457"/>
        <v>2.5710366451107194</v>
      </c>
      <c r="AB270" s="177">
        <f t="shared" si="458"/>
        <v>1.4109347442680777</v>
      </c>
      <c r="AC270" s="177">
        <f t="shared" si="459"/>
        <v>0.63482386299030114</v>
      </c>
      <c r="AD270" s="177"/>
      <c r="AE270" s="177">
        <f t="shared" si="460"/>
        <v>0.45</v>
      </c>
      <c r="AF270" s="555">
        <f t="shared" si="461"/>
        <v>1229.2682926829268</v>
      </c>
      <c r="AG270" s="538">
        <f t="shared" si="462"/>
        <v>6.4574999999999994E-2</v>
      </c>
      <c r="AI270" s="177">
        <f t="shared" si="463"/>
        <v>1.5367498169838836</v>
      </c>
      <c r="AJ270" s="177">
        <f t="shared" si="464"/>
        <v>1.5367498169838836</v>
      </c>
      <c r="AK270" s="177">
        <f t="shared" si="465"/>
        <v>1.6778332113225891</v>
      </c>
      <c r="AM270" s="555">
        <f t="shared" si="466"/>
        <v>226.8</v>
      </c>
      <c r="AN270" s="469">
        <f t="shared" si="467"/>
        <v>350</v>
      </c>
      <c r="AP270">
        <f t="shared" si="468"/>
        <v>226.8</v>
      </c>
      <c r="AQ270">
        <f t="shared" si="469"/>
        <v>350</v>
      </c>
      <c r="AS270" s="5">
        <f t="shared" si="479"/>
        <v>2.8571428571428572</v>
      </c>
      <c r="AT270" s="5">
        <f t="shared" si="470"/>
        <v>0.86442177205343462</v>
      </c>
      <c r="AU270" s="5">
        <f t="shared" si="440"/>
        <v>1.9927210850894226</v>
      </c>
      <c r="AV270" s="5"/>
      <c r="AW270" s="177">
        <f t="shared" si="441"/>
        <v>0.30254762021870213</v>
      </c>
      <c r="AX270" s="177"/>
      <c r="BA270" s="469">
        <f t="shared" si="471"/>
        <v>17.856916306602201</v>
      </c>
      <c r="BB270" s="469">
        <f t="shared" si="472"/>
        <v>6.7681719184750744</v>
      </c>
      <c r="BC270" s="5">
        <f t="shared" si="442"/>
        <v>0.81078839149575876</v>
      </c>
      <c r="BD270" s="469">
        <f t="shared" si="473"/>
        <v>0</v>
      </c>
      <c r="BQ270" s="538">
        <f t="shared" si="474"/>
        <v>0.20412</v>
      </c>
      <c r="CG270" s="571">
        <f t="shared" si="475"/>
        <v>-50</v>
      </c>
      <c r="CH270">
        <f t="shared" si="476"/>
        <v>-50</v>
      </c>
    </row>
    <row r="271" spans="5:86" x14ac:dyDescent="0.2">
      <c r="E271" s="174">
        <v>55</v>
      </c>
      <c r="F271" s="221">
        <f t="shared" si="477"/>
        <v>0.23100000000000001</v>
      </c>
      <c r="G271" s="221"/>
      <c r="H271" s="221">
        <f t="shared" si="443"/>
        <v>3.5805000000000002</v>
      </c>
      <c r="I271" s="551">
        <f t="shared" si="444"/>
        <v>16</v>
      </c>
      <c r="J271" s="451">
        <f t="shared" si="445"/>
        <v>16.399999999999999</v>
      </c>
      <c r="K271" s="451">
        <f t="shared" si="446"/>
        <v>32.4</v>
      </c>
      <c r="L271" s="451"/>
      <c r="M271" s="221">
        <f t="shared" si="447"/>
        <v>0.50617283950617287</v>
      </c>
      <c r="N271" s="176">
        <f t="shared" si="448"/>
        <v>15.136592592592594</v>
      </c>
      <c r="O271" s="176">
        <f t="shared" si="478"/>
        <v>3.5805000000000002</v>
      </c>
      <c r="P271" s="221">
        <f t="shared" si="449"/>
        <v>0.97655436081242541</v>
      </c>
      <c r="Q271" s="221">
        <f t="shared" si="450"/>
        <v>15.5</v>
      </c>
      <c r="R271" s="221"/>
      <c r="S271" s="176">
        <f t="shared" si="451"/>
        <v>111.91984491146904</v>
      </c>
      <c r="T271" s="176">
        <f t="shared" si="452"/>
        <v>15.5</v>
      </c>
      <c r="U271" s="221">
        <f t="shared" si="453"/>
        <v>0.9824542682926829</v>
      </c>
      <c r="V271" s="221">
        <f t="shared" si="454"/>
        <v>0.55263052591463413</v>
      </c>
      <c r="W271" s="221">
        <f t="shared" si="455"/>
        <v>0.53915173259964311</v>
      </c>
      <c r="X271" s="201">
        <f t="shared" si="456"/>
        <v>350</v>
      </c>
      <c r="Y271" s="451">
        <f t="shared" si="418"/>
        <v>350</v>
      </c>
      <c r="AA271" s="221">
        <f t="shared" si="457"/>
        <v>2.5710366451107194</v>
      </c>
      <c r="AB271" s="177">
        <f t="shared" si="458"/>
        <v>1.4109347442680777</v>
      </c>
      <c r="AC271" s="177">
        <f t="shared" si="459"/>
        <v>0.63482386299030114</v>
      </c>
      <c r="AD271" s="177"/>
      <c r="AE271" s="177">
        <f t="shared" si="460"/>
        <v>0.45</v>
      </c>
      <c r="AF271" s="555">
        <f t="shared" si="461"/>
        <v>1252.0325203252034</v>
      </c>
      <c r="AG271" s="538">
        <f t="shared" si="462"/>
        <v>6.4574999999999994E-2</v>
      </c>
      <c r="AI271" s="177">
        <f t="shared" si="463"/>
        <v>1.5509137091835037</v>
      </c>
      <c r="AJ271" s="177">
        <f t="shared" si="464"/>
        <v>1.5509137091835037</v>
      </c>
      <c r="AK271" s="177">
        <f t="shared" si="465"/>
        <v>1.6872758061223359</v>
      </c>
      <c r="AM271" s="555">
        <f t="shared" si="466"/>
        <v>231</v>
      </c>
      <c r="AN271" s="469">
        <f t="shared" si="467"/>
        <v>350</v>
      </c>
      <c r="AP271">
        <f t="shared" si="468"/>
        <v>231</v>
      </c>
      <c r="AQ271">
        <f t="shared" si="469"/>
        <v>350</v>
      </c>
      <c r="AS271" s="5">
        <f t="shared" si="479"/>
        <v>2.8571428571428572</v>
      </c>
      <c r="AT271" s="5">
        <f t="shared" si="470"/>
        <v>0.87238896141572086</v>
      </c>
      <c r="AU271" s="5">
        <f t="shared" si="440"/>
        <v>1.9847538957271365</v>
      </c>
      <c r="AV271" s="5"/>
      <c r="AW271" s="177">
        <f t="shared" si="441"/>
        <v>0.30533613649550229</v>
      </c>
      <c r="AX271" s="177"/>
      <c r="BA271" s="469">
        <f t="shared" si="471"/>
        <v>17.856916306602201</v>
      </c>
      <c r="BB271" s="469">
        <f t="shared" si="472"/>
        <v>7.0126104435483887</v>
      </c>
      <c r="BC271" s="5">
        <f t="shared" si="442"/>
        <v>0.82250131060775589</v>
      </c>
      <c r="BD271" s="469">
        <f t="shared" si="473"/>
        <v>0</v>
      </c>
      <c r="BQ271" s="538">
        <f t="shared" si="474"/>
        <v>0.2079</v>
      </c>
      <c r="CG271" s="571">
        <f t="shared" si="475"/>
        <v>-50</v>
      </c>
      <c r="CH271">
        <f t="shared" si="476"/>
        <v>-50</v>
      </c>
    </row>
    <row r="272" spans="5:86" x14ac:dyDescent="0.2">
      <c r="E272" s="174">
        <v>56</v>
      </c>
      <c r="F272" s="221">
        <f t="shared" si="477"/>
        <v>0.23520000000000002</v>
      </c>
      <c r="G272" s="221"/>
      <c r="H272" s="221">
        <f t="shared" si="443"/>
        <v>3.6456000000000004</v>
      </c>
      <c r="I272" s="551">
        <f t="shared" si="444"/>
        <v>16</v>
      </c>
      <c r="J272" s="451">
        <f t="shared" si="445"/>
        <v>16.399999999999999</v>
      </c>
      <c r="K272" s="451">
        <f t="shared" si="446"/>
        <v>32.4</v>
      </c>
      <c r="L272" s="451"/>
      <c r="M272" s="221">
        <f t="shared" si="447"/>
        <v>0.50617283950617287</v>
      </c>
      <c r="N272" s="176">
        <f t="shared" si="448"/>
        <v>15.136592592592594</v>
      </c>
      <c r="O272" s="176">
        <f t="shared" si="478"/>
        <v>3.6456000000000004</v>
      </c>
      <c r="P272" s="221">
        <f t="shared" si="449"/>
        <v>0.97655436081242541</v>
      </c>
      <c r="Q272" s="221">
        <f t="shared" si="450"/>
        <v>15.5</v>
      </c>
      <c r="R272" s="221"/>
      <c r="S272" s="176">
        <f t="shared" si="451"/>
        <v>109.64047310975324</v>
      </c>
      <c r="T272" s="176">
        <f t="shared" si="452"/>
        <v>15.5</v>
      </c>
      <c r="U272" s="221">
        <f t="shared" si="453"/>
        <v>1.0003170731707318</v>
      </c>
      <c r="V272" s="221">
        <f t="shared" si="454"/>
        <v>0.56267835365853658</v>
      </c>
      <c r="W272" s="221">
        <f t="shared" si="455"/>
        <v>0.54895449137418217</v>
      </c>
      <c r="X272" s="201">
        <f t="shared" si="456"/>
        <v>350</v>
      </c>
      <c r="Y272" s="451">
        <f t="shared" si="418"/>
        <v>350</v>
      </c>
      <c r="AA272" s="221">
        <f t="shared" si="457"/>
        <v>2.5710366451107194</v>
      </c>
      <c r="AB272" s="177">
        <f t="shared" si="458"/>
        <v>1.4109347442680777</v>
      </c>
      <c r="AC272" s="177">
        <f t="shared" si="459"/>
        <v>0.63482386299030114</v>
      </c>
      <c r="AD272" s="177"/>
      <c r="AE272" s="177">
        <f t="shared" si="460"/>
        <v>0.45</v>
      </c>
      <c r="AF272" s="555">
        <f t="shared" si="461"/>
        <v>1274.7967479674799</v>
      </c>
      <c r="AG272" s="538">
        <f t="shared" si="462"/>
        <v>6.4574999999999994E-2</v>
      </c>
      <c r="AI272" s="177">
        <f t="shared" si="463"/>
        <v>1.5649494134529289</v>
      </c>
      <c r="AJ272" s="177">
        <f t="shared" si="464"/>
        <v>1.5649494134529289</v>
      </c>
      <c r="AK272" s="177">
        <f t="shared" si="465"/>
        <v>1.6966329423019526</v>
      </c>
      <c r="AM272" s="555">
        <f t="shared" si="466"/>
        <v>235.20000000000002</v>
      </c>
      <c r="AN272" s="469">
        <f t="shared" si="467"/>
        <v>350</v>
      </c>
      <c r="AP272">
        <f t="shared" si="468"/>
        <v>235.20000000000002</v>
      </c>
      <c r="AQ272">
        <f t="shared" si="469"/>
        <v>350</v>
      </c>
      <c r="AS272" s="5">
        <f t="shared" si="479"/>
        <v>2.8571428571428572</v>
      </c>
      <c r="AT272" s="5">
        <f t="shared" si="470"/>
        <v>0.88028404506727254</v>
      </c>
      <c r="AU272" s="5">
        <f t="shared" si="440"/>
        <v>1.9768588120755846</v>
      </c>
      <c r="AV272" s="5"/>
      <c r="AW272" s="177">
        <f t="shared" si="441"/>
        <v>0.30809941577354538</v>
      </c>
      <c r="AX272" s="177"/>
      <c r="BA272" s="469">
        <f t="shared" si="471"/>
        <v>17.856916306602201</v>
      </c>
      <c r="BB272" s="469">
        <f t="shared" si="472"/>
        <v>7.26137995073314</v>
      </c>
      <c r="BC272" s="5">
        <f t="shared" si="442"/>
        <v>0.83412459320633692</v>
      </c>
      <c r="BD272" s="469">
        <f t="shared" si="473"/>
        <v>0</v>
      </c>
      <c r="BQ272" s="538">
        <f t="shared" si="474"/>
        <v>0.21168000000000003</v>
      </c>
      <c r="CG272" s="571">
        <f t="shared" si="475"/>
        <v>-50</v>
      </c>
      <c r="CH272">
        <f t="shared" si="476"/>
        <v>-50</v>
      </c>
    </row>
    <row r="273" spans="5:86" x14ac:dyDescent="0.2">
      <c r="E273" s="174">
        <v>57</v>
      </c>
      <c r="F273" s="221">
        <f t="shared" si="477"/>
        <v>0.23939999999999997</v>
      </c>
      <c r="G273" s="221"/>
      <c r="H273" s="221">
        <f t="shared" si="443"/>
        <v>3.7106999999999997</v>
      </c>
      <c r="I273" s="551">
        <f t="shared" si="444"/>
        <v>16</v>
      </c>
      <c r="J273" s="451">
        <f t="shared" si="445"/>
        <v>16.399999999999999</v>
      </c>
      <c r="K273" s="451">
        <f t="shared" si="446"/>
        <v>32.4</v>
      </c>
      <c r="L273" s="451"/>
      <c r="M273" s="221">
        <f t="shared" si="447"/>
        <v>0.50617283950617287</v>
      </c>
      <c r="N273" s="176">
        <f t="shared" si="448"/>
        <v>15.136592592592594</v>
      </c>
      <c r="O273" s="176">
        <f t="shared" si="478"/>
        <v>3.7106999999999997</v>
      </c>
      <c r="P273" s="221">
        <f t="shared" si="449"/>
        <v>0.97655436081242541</v>
      </c>
      <c r="Q273" s="221">
        <f t="shared" si="450"/>
        <v>15.5</v>
      </c>
      <c r="R273" s="221"/>
      <c r="S273" s="176">
        <f t="shared" si="451"/>
        <v>107.44118412153507</v>
      </c>
      <c r="T273" s="176">
        <f t="shared" si="452"/>
        <v>15.5</v>
      </c>
      <c r="U273" s="221">
        <f t="shared" si="453"/>
        <v>1.0181798780487803</v>
      </c>
      <c r="V273" s="221">
        <f t="shared" si="454"/>
        <v>0.57272618140243892</v>
      </c>
      <c r="W273" s="221">
        <f t="shared" si="455"/>
        <v>0.55875725014872102</v>
      </c>
      <c r="X273" s="201">
        <f t="shared" si="456"/>
        <v>350</v>
      </c>
      <c r="Y273" s="451">
        <f t="shared" si="418"/>
        <v>350</v>
      </c>
      <c r="AA273" s="221">
        <f t="shared" si="457"/>
        <v>2.5710366451107194</v>
      </c>
      <c r="AB273" s="177">
        <f t="shared" si="458"/>
        <v>1.4109347442680777</v>
      </c>
      <c r="AC273" s="177">
        <f t="shared" si="459"/>
        <v>0.63482386299030114</v>
      </c>
      <c r="AD273" s="177"/>
      <c r="AE273" s="177">
        <f t="shared" si="460"/>
        <v>0.45</v>
      </c>
      <c r="AF273" s="555">
        <f t="shared" si="461"/>
        <v>1297.560975609756</v>
      </c>
      <c r="AG273" s="538">
        <f t="shared" si="462"/>
        <v>6.4574999999999994E-2</v>
      </c>
      <c r="AI273" s="177">
        <f t="shared" si="463"/>
        <v>1.5788603484792438</v>
      </c>
      <c r="AJ273" s="177">
        <f t="shared" si="464"/>
        <v>1.5788603484792438</v>
      </c>
      <c r="AK273" s="177">
        <f t="shared" si="465"/>
        <v>1.7059068989861625</v>
      </c>
      <c r="AM273" s="555">
        <f t="shared" si="466"/>
        <v>239.39999999999998</v>
      </c>
      <c r="AN273" s="469">
        <f t="shared" si="467"/>
        <v>350</v>
      </c>
      <c r="AP273">
        <f t="shared" si="468"/>
        <v>239.39999999999998</v>
      </c>
      <c r="AQ273">
        <f t="shared" si="469"/>
        <v>350</v>
      </c>
      <c r="AS273" s="5">
        <f t="shared" si="479"/>
        <v>2.8571428571428572</v>
      </c>
      <c r="AT273" s="5">
        <f t="shared" si="470"/>
        <v>0.88810894601957469</v>
      </c>
      <c r="AU273" s="5">
        <f t="shared" si="440"/>
        <v>1.9690339111232826</v>
      </c>
      <c r="AV273" s="5"/>
      <c r="AW273" s="177">
        <f t="shared" si="441"/>
        <v>0.31083813110685116</v>
      </c>
      <c r="AX273" s="177"/>
      <c r="BA273" s="469">
        <f t="shared" si="471"/>
        <v>17.856916306602201</v>
      </c>
      <c r="BB273" s="469">
        <f t="shared" si="472"/>
        <v>7.5144804400293248</v>
      </c>
      <c r="BC273" s="5">
        <f t="shared" si="442"/>
        <v>0.84565904328763453</v>
      </c>
      <c r="BD273" s="469">
        <f t="shared" si="473"/>
        <v>0</v>
      </c>
      <c r="BQ273" s="538">
        <f t="shared" si="474"/>
        <v>0.21545999999999998</v>
      </c>
      <c r="CG273" s="571">
        <f t="shared" si="475"/>
        <v>-50</v>
      </c>
      <c r="CH273">
        <f t="shared" si="476"/>
        <v>-50</v>
      </c>
    </row>
    <row r="274" spans="5:86" x14ac:dyDescent="0.2">
      <c r="E274" s="174">
        <v>58</v>
      </c>
      <c r="F274" s="221">
        <f t="shared" si="477"/>
        <v>0.24359999999999998</v>
      </c>
      <c r="G274" s="221"/>
      <c r="H274" s="221">
        <f t="shared" si="443"/>
        <v>3.7757999999999998</v>
      </c>
      <c r="I274" s="551">
        <f t="shared" si="444"/>
        <v>16</v>
      </c>
      <c r="J274" s="451">
        <f t="shared" si="445"/>
        <v>16.399999999999999</v>
      </c>
      <c r="K274" s="451">
        <f t="shared" si="446"/>
        <v>32.4</v>
      </c>
      <c r="L274" s="451"/>
      <c r="M274" s="221">
        <f t="shared" si="447"/>
        <v>0.50617283950617287</v>
      </c>
      <c r="N274" s="176">
        <f t="shared" si="448"/>
        <v>15.136592592592594</v>
      </c>
      <c r="O274" s="176">
        <f t="shared" si="478"/>
        <v>3.7757999999999998</v>
      </c>
      <c r="P274" s="221">
        <f t="shared" si="449"/>
        <v>0.97655436081242541</v>
      </c>
      <c r="Q274" s="221">
        <f t="shared" si="450"/>
        <v>15.5</v>
      </c>
      <c r="R274" s="221"/>
      <c r="S274" s="176">
        <f t="shared" si="451"/>
        <v>105.31783646091574</v>
      </c>
      <c r="T274" s="176">
        <f t="shared" si="452"/>
        <v>15.5</v>
      </c>
      <c r="U274" s="221">
        <f t="shared" si="453"/>
        <v>1.0360426829268292</v>
      </c>
      <c r="V274" s="221">
        <f t="shared" si="454"/>
        <v>0.58277400914634148</v>
      </c>
      <c r="W274" s="221">
        <f t="shared" si="455"/>
        <v>0.56856000892325997</v>
      </c>
      <c r="X274" s="201">
        <f t="shared" si="456"/>
        <v>350</v>
      </c>
      <c r="Y274" s="451">
        <f t="shared" si="418"/>
        <v>350</v>
      </c>
      <c r="AA274" s="221">
        <f t="shared" si="457"/>
        <v>2.5710366451107194</v>
      </c>
      <c r="AB274" s="177">
        <f t="shared" si="458"/>
        <v>1.4109347442680777</v>
      </c>
      <c r="AC274" s="177">
        <f t="shared" si="459"/>
        <v>0.63482386299030114</v>
      </c>
      <c r="AD274" s="177"/>
      <c r="AE274" s="177">
        <f t="shared" si="460"/>
        <v>0.45</v>
      </c>
      <c r="AF274" s="555">
        <f t="shared" si="461"/>
        <v>1320.3252032520325</v>
      </c>
      <c r="AG274" s="538">
        <f t="shared" si="462"/>
        <v>6.4574999999999994E-2</v>
      </c>
      <c r="AI274" s="177">
        <f t="shared" si="463"/>
        <v>1.592649783641505</v>
      </c>
      <c r="AJ274" s="177">
        <f t="shared" si="464"/>
        <v>1.592649783641505</v>
      </c>
      <c r="AK274" s="177">
        <f t="shared" si="465"/>
        <v>1.7150998557610033</v>
      </c>
      <c r="AM274" s="555">
        <f t="shared" si="466"/>
        <v>243.6</v>
      </c>
      <c r="AN274" s="469">
        <f t="shared" si="467"/>
        <v>350</v>
      </c>
      <c r="AP274">
        <f t="shared" si="468"/>
        <v>243.6</v>
      </c>
      <c r="AQ274">
        <f t="shared" si="469"/>
        <v>350</v>
      </c>
      <c r="AS274" s="5">
        <f t="shared" si="479"/>
        <v>2.8571428571428572</v>
      </c>
      <c r="AT274" s="5">
        <f t="shared" si="470"/>
        <v>0.89586550329834658</v>
      </c>
      <c r="AU274" s="5">
        <f t="shared" si="440"/>
        <v>1.9612773538445105</v>
      </c>
      <c r="AV274" s="5"/>
      <c r="AW274" s="177">
        <f t="shared" si="441"/>
        <v>0.31355292615442132</v>
      </c>
      <c r="AX274" s="177"/>
      <c r="BA274" s="469">
        <f t="shared" si="471"/>
        <v>17.856916306602201</v>
      </c>
      <c r="BB274" s="469">
        <f t="shared" si="472"/>
        <v>7.7719119114369501</v>
      </c>
      <c r="BC274" s="5">
        <f t="shared" si="442"/>
        <v>0.85710544359329888</v>
      </c>
      <c r="BD274" s="469">
        <f t="shared" si="473"/>
        <v>0</v>
      </c>
      <c r="BQ274" s="538">
        <f t="shared" si="474"/>
        <v>0.21923999999999999</v>
      </c>
      <c r="CG274" s="571">
        <f t="shared" si="475"/>
        <v>-50</v>
      </c>
      <c r="CH274">
        <f t="shared" si="476"/>
        <v>-50</v>
      </c>
    </row>
    <row r="275" spans="5:86" x14ac:dyDescent="0.2">
      <c r="E275" s="174">
        <v>59</v>
      </c>
      <c r="F275" s="221">
        <f t="shared" si="477"/>
        <v>0.24779999999999996</v>
      </c>
      <c r="G275" s="221"/>
      <c r="H275" s="221">
        <f t="shared" si="443"/>
        <v>3.8408999999999995</v>
      </c>
      <c r="I275" s="551">
        <f t="shared" si="444"/>
        <v>16</v>
      </c>
      <c r="J275" s="451">
        <f t="shared" si="445"/>
        <v>16.399999999999999</v>
      </c>
      <c r="K275" s="451">
        <f t="shared" si="446"/>
        <v>32.4</v>
      </c>
      <c r="L275" s="451"/>
      <c r="M275" s="221">
        <f t="shared" si="447"/>
        <v>0.50617283950617287</v>
      </c>
      <c r="N275" s="176">
        <f t="shared" si="448"/>
        <v>15.136592592592594</v>
      </c>
      <c r="O275" s="176">
        <f t="shared" si="478"/>
        <v>3.8408999999999995</v>
      </c>
      <c r="P275" s="221">
        <f t="shared" si="449"/>
        <v>0.97655436081242541</v>
      </c>
      <c r="Q275" s="221">
        <f t="shared" si="450"/>
        <v>15.5</v>
      </c>
      <c r="R275" s="221"/>
      <c r="S275" s="176">
        <f t="shared" si="451"/>
        <v>103.26656942686829</v>
      </c>
      <c r="T275" s="176">
        <f t="shared" si="452"/>
        <v>15.5</v>
      </c>
      <c r="U275" s="221">
        <f t="shared" si="453"/>
        <v>1.0539054878048779</v>
      </c>
      <c r="V275" s="221">
        <f t="shared" si="454"/>
        <v>0.59282183689024393</v>
      </c>
      <c r="W275" s="221">
        <f t="shared" si="455"/>
        <v>0.57836276769779893</v>
      </c>
      <c r="X275" s="201">
        <f t="shared" si="456"/>
        <v>350</v>
      </c>
      <c r="Y275" s="451">
        <f t="shared" si="418"/>
        <v>350</v>
      </c>
      <c r="AA275" s="221">
        <f t="shared" si="457"/>
        <v>2.5710366451107194</v>
      </c>
      <c r="AB275" s="177">
        <f t="shared" si="458"/>
        <v>1.4109347442680777</v>
      </c>
      <c r="AC275" s="177">
        <f t="shared" si="459"/>
        <v>0.63482386299030114</v>
      </c>
      <c r="AD275" s="177"/>
      <c r="AE275" s="177">
        <f t="shared" si="460"/>
        <v>0.45</v>
      </c>
      <c r="AF275" s="555">
        <f t="shared" si="461"/>
        <v>1343.0894308943086</v>
      </c>
      <c r="AG275" s="538">
        <f t="shared" si="462"/>
        <v>6.4574999999999994E-2</v>
      </c>
      <c r="AI275" s="177">
        <f t="shared" si="463"/>
        <v>1.6063208479835733</v>
      </c>
      <c r="AJ275" s="177">
        <f t="shared" si="464"/>
        <v>1.6063208479835733</v>
      </c>
      <c r="AK275" s="177">
        <f t="shared" si="465"/>
        <v>1.7242138986557154</v>
      </c>
      <c r="AM275" s="555">
        <f t="shared" si="466"/>
        <v>247.79999999999995</v>
      </c>
      <c r="AN275" s="469">
        <f t="shared" si="467"/>
        <v>350</v>
      </c>
      <c r="AP275">
        <f t="shared" si="468"/>
        <v>247.79999999999995</v>
      </c>
      <c r="AQ275">
        <f t="shared" si="469"/>
        <v>350</v>
      </c>
      <c r="AS275" s="5">
        <f t="shared" si="479"/>
        <v>2.8571428571428572</v>
      </c>
      <c r="AT275" s="5">
        <f t="shared" si="470"/>
        <v>0.90355547699076</v>
      </c>
      <c r="AU275" s="5">
        <f t="shared" si="440"/>
        <v>1.9535873801520971</v>
      </c>
      <c r="AV275" s="5"/>
      <c r="AW275" s="177">
        <f t="shared" si="441"/>
        <v>0.31624441694676597</v>
      </c>
      <c r="AX275" s="177"/>
      <c r="BA275" s="469">
        <f t="shared" si="471"/>
        <v>17.856916306602201</v>
      </c>
      <c r="BB275" s="469">
        <f t="shared" si="472"/>
        <v>8.0336743649560116</v>
      </c>
      <c r="BC275" s="5">
        <f t="shared" si="442"/>
        <v>0.86846455653080878</v>
      </c>
      <c r="BD275" s="469">
        <f t="shared" si="473"/>
        <v>0</v>
      </c>
      <c r="BQ275" s="538">
        <f t="shared" si="474"/>
        <v>0.22301999999999997</v>
      </c>
      <c r="CG275" s="571">
        <f t="shared" si="475"/>
        <v>-50</v>
      </c>
      <c r="CH275">
        <f t="shared" si="476"/>
        <v>-50</v>
      </c>
    </row>
    <row r="276" spans="5:86" x14ac:dyDescent="0.2">
      <c r="E276" s="174">
        <v>60</v>
      </c>
      <c r="F276" s="221">
        <f t="shared" si="477"/>
        <v>0.252</v>
      </c>
      <c r="G276" s="221"/>
      <c r="H276" s="221">
        <f t="shared" si="443"/>
        <v>3.9060000000000001</v>
      </c>
      <c r="I276" s="551">
        <f t="shared" si="444"/>
        <v>16</v>
      </c>
      <c r="J276" s="451">
        <f t="shared" si="445"/>
        <v>16.399999999999999</v>
      </c>
      <c r="K276" s="451">
        <f t="shared" si="446"/>
        <v>32.4</v>
      </c>
      <c r="L276" s="451"/>
      <c r="M276" s="221">
        <f t="shared" si="447"/>
        <v>0.50617283950617287</v>
      </c>
      <c r="N276" s="176">
        <f t="shared" si="448"/>
        <v>15.136592592592594</v>
      </c>
      <c r="O276" s="176">
        <f t="shared" si="478"/>
        <v>3.9060000000000001</v>
      </c>
      <c r="P276" s="221">
        <f t="shared" si="449"/>
        <v>0.97655436081242541</v>
      </c>
      <c r="Q276" s="221">
        <f t="shared" si="450"/>
        <v>15.5</v>
      </c>
      <c r="R276" s="221"/>
      <c r="S276" s="176">
        <f t="shared" si="451"/>
        <v>101.28377970455564</v>
      </c>
      <c r="T276" s="176">
        <f t="shared" si="452"/>
        <v>15.5</v>
      </c>
      <c r="U276" s="221">
        <f t="shared" si="453"/>
        <v>1.0717682926829268</v>
      </c>
      <c r="V276" s="221">
        <f t="shared" si="454"/>
        <v>0.60286966463414637</v>
      </c>
      <c r="W276" s="221">
        <f t="shared" si="455"/>
        <v>0.588165526472338</v>
      </c>
      <c r="X276" s="201">
        <f t="shared" si="456"/>
        <v>350</v>
      </c>
      <c r="Y276" s="451">
        <f t="shared" ref="Y276:Y316" si="480">MIN(1/(V276+W276)*1000, 350)</f>
        <v>350</v>
      </c>
      <c r="AA276" s="221">
        <f t="shared" si="457"/>
        <v>2.5710366451107194</v>
      </c>
      <c r="AB276" s="177">
        <f t="shared" si="458"/>
        <v>1.4109347442680777</v>
      </c>
      <c r="AC276" s="177">
        <f t="shared" si="459"/>
        <v>0.63482386299030114</v>
      </c>
      <c r="AD276" s="177"/>
      <c r="AE276" s="177">
        <f t="shared" si="460"/>
        <v>0.45</v>
      </c>
      <c r="AF276" s="555">
        <f t="shared" si="461"/>
        <v>1365.8536585365855</v>
      </c>
      <c r="AG276" s="538">
        <f t="shared" si="462"/>
        <v>6.4574999999999994E-2</v>
      </c>
      <c r="AI276" s="177">
        <f t="shared" si="463"/>
        <v>1.6198765385053269</v>
      </c>
      <c r="AJ276" s="177">
        <f t="shared" si="464"/>
        <v>1.6198765385053269</v>
      </c>
      <c r="AK276" s="177">
        <f t="shared" si="465"/>
        <v>1.733251025670218</v>
      </c>
      <c r="AM276" s="555">
        <f t="shared" si="466"/>
        <v>252</v>
      </c>
      <c r="AN276" s="469">
        <f t="shared" si="467"/>
        <v>350</v>
      </c>
      <c r="AP276">
        <f t="shared" si="468"/>
        <v>252</v>
      </c>
      <c r="AQ276">
        <f t="shared" si="469"/>
        <v>350</v>
      </c>
      <c r="AS276" s="5">
        <f t="shared" si="479"/>
        <v>2.8571428571428572</v>
      </c>
      <c r="AT276" s="5">
        <f t="shared" si="470"/>
        <v>0.91118055290924638</v>
      </c>
      <c r="AU276" s="5">
        <f t="shared" si="440"/>
        <v>1.9459623042336109</v>
      </c>
      <c r="AV276" s="5"/>
      <c r="AW276" s="177">
        <f t="shared" si="441"/>
        <v>0.31891319351823622</v>
      </c>
      <c r="AX276" s="177"/>
      <c r="BA276" s="469">
        <f t="shared" si="471"/>
        <v>17.856916306602201</v>
      </c>
      <c r="BB276" s="469">
        <f t="shared" si="472"/>
        <v>8.2997678005865136</v>
      </c>
      <c r="BC276" s="5">
        <f t="shared" si="442"/>
        <v>0.87973712503894486</v>
      </c>
      <c r="BD276" s="469">
        <f t="shared" si="473"/>
        <v>0</v>
      </c>
      <c r="BQ276" s="538">
        <f t="shared" si="474"/>
        <v>0.2268</v>
      </c>
      <c r="CG276" s="571">
        <f t="shared" si="475"/>
        <v>-50</v>
      </c>
      <c r="CH276">
        <f t="shared" si="476"/>
        <v>-50</v>
      </c>
    </row>
    <row r="277" spans="5:86" x14ac:dyDescent="0.2">
      <c r="E277" s="174">
        <v>61</v>
      </c>
      <c r="F277" s="221">
        <f t="shared" si="477"/>
        <v>0.25619999999999998</v>
      </c>
      <c r="G277" s="221"/>
      <c r="H277" s="221">
        <f t="shared" si="443"/>
        <v>3.9710999999999999</v>
      </c>
      <c r="I277" s="551">
        <f t="shared" si="444"/>
        <v>16</v>
      </c>
      <c r="J277" s="451">
        <f t="shared" si="445"/>
        <v>16.399999999999999</v>
      </c>
      <c r="K277" s="451">
        <f t="shared" si="446"/>
        <v>32.4</v>
      </c>
      <c r="L277" s="451"/>
      <c r="M277" s="221">
        <f t="shared" si="447"/>
        <v>0.50617283950617287</v>
      </c>
      <c r="N277" s="176">
        <f t="shared" si="448"/>
        <v>15.136592592592594</v>
      </c>
      <c r="O277" s="176">
        <f t="shared" si="478"/>
        <v>3.9710999999999999</v>
      </c>
      <c r="P277" s="221">
        <f t="shared" si="449"/>
        <v>0.97655436081242541</v>
      </c>
      <c r="Q277" s="221">
        <f t="shared" si="450"/>
        <v>15.5</v>
      </c>
      <c r="R277" s="221"/>
      <c r="S277" s="176">
        <f t="shared" si="451"/>
        <v>99.366100268159627</v>
      </c>
      <c r="T277" s="176">
        <f t="shared" si="452"/>
        <v>15.5</v>
      </c>
      <c r="U277" s="221">
        <f t="shared" si="453"/>
        <v>1.0896310975609755</v>
      </c>
      <c r="V277" s="221">
        <f t="shared" si="454"/>
        <v>0.61291749237804871</v>
      </c>
      <c r="W277" s="221">
        <f t="shared" si="455"/>
        <v>0.59796828524687684</v>
      </c>
      <c r="X277" s="201">
        <f t="shared" si="456"/>
        <v>350</v>
      </c>
      <c r="Y277" s="451">
        <f t="shared" si="480"/>
        <v>350</v>
      </c>
      <c r="AA277" s="221">
        <f t="shared" si="457"/>
        <v>2.5710366451107194</v>
      </c>
      <c r="AB277" s="177">
        <f t="shared" si="458"/>
        <v>1.4109347442680777</v>
      </c>
      <c r="AC277" s="177">
        <f t="shared" si="459"/>
        <v>0.63482386299030114</v>
      </c>
      <c r="AD277" s="177"/>
      <c r="AE277" s="177">
        <f t="shared" si="460"/>
        <v>0.45</v>
      </c>
      <c r="AF277" s="555">
        <f t="shared" si="461"/>
        <v>1388.6178861788619</v>
      </c>
      <c r="AG277" s="538">
        <f t="shared" si="462"/>
        <v>6.4574999999999994E-2</v>
      </c>
      <c r="AI277" s="177">
        <f t="shared" si="463"/>
        <v>1.63331972783449</v>
      </c>
      <c r="AJ277" s="177">
        <f t="shared" si="464"/>
        <v>1.63331972783449</v>
      </c>
      <c r="AK277" s="177">
        <f t="shared" si="465"/>
        <v>1.74221315188966</v>
      </c>
      <c r="AM277" s="555">
        <f t="shared" si="466"/>
        <v>256.2</v>
      </c>
      <c r="AN277" s="469">
        <f t="shared" si="467"/>
        <v>350</v>
      </c>
      <c r="AP277">
        <f t="shared" si="468"/>
        <v>256.2</v>
      </c>
      <c r="AQ277">
        <f t="shared" si="469"/>
        <v>350</v>
      </c>
      <c r="AS277" s="5">
        <f t="shared" si="479"/>
        <v>2.8571428571428572</v>
      </c>
      <c r="AT277" s="5">
        <f t="shared" si="470"/>
        <v>0.91874234690690071</v>
      </c>
      <c r="AU277" s="5">
        <f t="shared" si="440"/>
        <v>1.9384005102359565</v>
      </c>
      <c r="AV277" s="5"/>
      <c r="AW277" s="177">
        <f t="shared" si="441"/>
        <v>0.32155982141741524</v>
      </c>
      <c r="AX277" s="177"/>
      <c r="BA277" s="469">
        <f t="shared" si="471"/>
        <v>17.856916306602201</v>
      </c>
      <c r="BB277" s="469">
        <f t="shared" si="472"/>
        <v>8.5701922183284474</v>
      </c>
      <c r="BC277" s="5">
        <f t="shared" si="442"/>
        <v>0.89092387340254675</v>
      </c>
      <c r="BD277" s="469">
        <f t="shared" si="473"/>
        <v>0</v>
      </c>
      <c r="BQ277" s="538">
        <f t="shared" si="474"/>
        <v>0.23057999999999998</v>
      </c>
      <c r="CG277" s="571">
        <f t="shared" si="475"/>
        <v>-50</v>
      </c>
      <c r="CH277">
        <f t="shared" si="476"/>
        <v>-50</v>
      </c>
    </row>
    <row r="278" spans="5:86" x14ac:dyDescent="0.2">
      <c r="E278" s="174">
        <v>62</v>
      </c>
      <c r="F278" s="221">
        <f t="shared" si="477"/>
        <v>0.26039999999999996</v>
      </c>
      <c r="G278" s="221"/>
      <c r="H278" s="221">
        <f t="shared" si="443"/>
        <v>4.0361999999999991</v>
      </c>
      <c r="I278" s="551">
        <f t="shared" si="444"/>
        <v>16</v>
      </c>
      <c r="J278" s="451">
        <f t="shared" si="445"/>
        <v>16.399999999999999</v>
      </c>
      <c r="K278" s="451">
        <f t="shared" si="446"/>
        <v>32.4</v>
      </c>
      <c r="L278" s="451"/>
      <c r="M278" s="221">
        <f t="shared" si="447"/>
        <v>0.50617283950617287</v>
      </c>
      <c r="N278" s="176">
        <f t="shared" si="448"/>
        <v>15.136592592592594</v>
      </c>
      <c r="O278" s="176">
        <f t="shared" si="478"/>
        <v>4.0361999999999991</v>
      </c>
      <c r="P278" s="221">
        <f t="shared" si="449"/>
        <v>0.97655436081242541</v>
      </c>
      <c r="Q278" s="221">
        <f t="shared" si="450"/>
        <v>15.5</v>
      </c>
      <c r="R278" s="221"/>
      <c r="S278" s="176">
        <f t="shared" si="451"/>
        <v>97.510381325371668</v>
      </c>
      <c r="T278" s="176">
        <f t="shared" si="452"/>
        <v>15.5</v>
      </c>
      <c r="U278" s="221">
        <f t="shared" si="453"/>
        <v>1.107493902439024</v>
      </c>
      <c r="V278" s="221">
        <f t="shared" si="454"/>
        <v>0.62296532012195105</v>
      </c>
      <c r="W278" s="221">
        <f t="shared" si="455"/>
        <v>0.60777104402141569</v>
      </c>
      <c r="X278" s="201">
        <f t="shared" si="456"/>
        <v>350</v>
      </c>
      <c r="Y278" s="451">
        <f t="shared" si="480"/>
        <v>350</v>
      </c>
      <c r="AA278" s="221">
        <f t="shared" si="457"/>
        <v>2.5710366451107194</v>
      </c>
      <c r="AB278" s="177">
        <f t="shared" si="458"/>
        <v>1.4109347442680777</v>
      </c>
      <c r="AC278" s="177">
        <f t="shared" si="459"/>
        <v>0.63482386299030114</v>
      </c>
      <c r="AD278" s="177"/>
      <c r="AE278" s="177">
        <f t="shared" si="460"/>
        <v>0.45</v>
      </c>
      <c r="AF278" s="555">
        <f t="shared" si="461"/>
        <v>1411.3821138211381</v>
      </c>
      <c r="AG278" s="538">
        <f t="shared" si="462"/>
        <v>6.4574999999999994E-2</v>
      </c>
      <c r="AI278" s="177">
        <f t="shared" si="463"/>
        <v>1.6466531713347126</v>
      </c>
      <c r="AJ278" s="177">
        <f t="shared" si="464"/>
        <v>1.6466531713347126</v>
      </c>
      <c r="AK278" s="177">
        <f t="shared" si="465"/>
        <v>1.7511021142231415</v>
      </c>
      <c r="AM278" s="555">
        <f t="shared" si="466"/>
        <v>260.39999999999998</v>
      </c>
      <c r="AN278" s="469">
        <f t="shared" si="467"/>
        <v>350</v>
      </c>
      <c r="AP278">
        <f t="shared" si="468"/>
        <v>260.39999999999998</v>
      </c>
      <c r="AQ278">
        <f t="shared" si="469"/>
        <v>350</v>
      </c>
      <c r="AS278" s="5">
        <f t="shared" si="479"/>
        <v>2.8571428571428572</v>
      </c>
      <c r="AT278" s="5">
        <f t="shared" si="470"/>
        <v>0.92624240887577591</v>
      </c>
      <c r="AU278" s="5">
        <f t="shared" si="440"/>
        <v>1.9309004482670813</v>
      </c>
      <c r="AV278" s="5"/>
      <c r="AW278" s="177">
        <f t="shared" si="441"/>
        <v>0.32418484310652157</v>
      </c>
      <c r="AX278" s="177"/>
      <c r="BA278" s="469">
        <f t="shared" si="471"/>
        <v>17.856916306602201</v>
      </c>
      <c r="BB278" s="469">
        <f t="shared" si="472"/>
        <v>8.8449476181818163</v>
      </c>
      <c r="BC278" s="5">
        <f t="shared" si="442"/>
        <v>0.90202550802032311</v>
      </c>
      <c r="BD278" s="469">
        <f t="shared" si="473"/>
        <v>0</v>
      </c>
      <c r="BQ278" s="538">
        <f t="shared" si="474"/>
        <v>0.23435999999999998</v>
      </c>
      <c r="CG278" s="571">
        <f t="shared" si="475"/>
        <v>-50</v>
      </c>
      <c r="CH278">
        <f t="shared" si="476"/>
        <v>-50</v>
      </c>
    </row>
    <row r="279" spans="5:86" x14ac:dyDescent="0.2">
      <c r="E279" s="174">
        <v>63</v>
      </c>
      <c r="F279" s="221">
        <f t="shared" si="477"/>
        <v>0.2646</v>
      </c>
      <c r="G279" s="221"/>
      <c r="H279" s="221">
        <f t="shared" si="443"/>
        <v>4.1013000000000002</v>
      </c>
      <c r="I279" s="551">
        <f t="shared" si="444"/>
        <v>16</v>
      </c>
      <c r="J279" s="451">
        <f t="shared" si="445"/>
        <v>16.399999999999999</v>
      </c>
      <c r="K279" s="451">
        <f t="shared" si="446"/>
        <v>32.4</v>
      </c>
      <c r="L279" s="451"/>
      <c r="M279" s="221">
        <f t="shared" si="447"/>
        <v>0.50617283950617287</v>
      </c>
      <c r="N279" s="176">
        <f t="shared" si="448"/>
        <v>15.136592592592594</v>
      </c>
      <c r="O279" s="176">
        <f t="shared" si="478"/>
        <v>4.1013000000000002</v>
      </c>
      <c r="P279" s="221">
        <f t="shared" si="449"/>
        <v>0.97655436081242541</v>
      </c>
      <c r="Q279" s="221">
        <f t="shared" si="450"/>
        <v>15.5</v>
      </c>
      <c r="R279" s="221"/>
      <c r="S279" s="176">
        <f t="shared" si="451"/>
        <v>95.713673076694619</v>
      </c>
      <c r="T279" s="176">
        <f t="shared" si="452"/>
        <v>15.5</v>
      </c>
      <c r="U279" s="221">
        <f t="shared" si="453"/>
        <v>1.1253567073170732</v>
      </c>
      <c r="V279" s="221">
        <f t="shared" si="454"/>
        <v>0.63301314786585361</v>
      </c>
      <c r="W279" s="221">
        <f t="shared" si="455"/>
        <v>0.61757380279595486</v>
      </c>
      <c r="X279" s="201">
        <f t="shared" si="456"/>
        <v>350</v>
      </c>
      <c r="Y279" s="451">
        <f t="shared" si="480"/>
        <v>350</v>
      </c>
      <c r="AA279" s="221">
        <f t="shared" si="457"/>
        <v>2.5710366451107194</v>
      </c>
      <c r="AB279" s="177">
        <f t="shared" si="458"/>
        <v>1.4109347442680777</v>
      </c>
      <c r="AC279" s="177">
        <f t="shared" si="459"/>
        <v>0.63482386299030114</v>
      </c>
      <c r="AD279" s="177"/>
      <c r="AE279" s="177">
        <f t="shared" si="460"/>
        <v>0.45</v>
      </c>
      <c r="AF279" s="555">
        <f t="shared" si="461"/>
        <v>1434.1463414634147</v>
      </c>
      <c r="AG279" s="538">
        <f t="shared" si="462"/>
        <v>6.4574999999999994E-2</v>
      </c>
      <c r="AI279" s="177">
        <f t="shared" si="463"/>
        <v>1.6598795136997142</v>
      </c>
      <c r="AJ279" s="177">
        <f t="shared" si="464"/>
        <v>1.6598795136997142</v>
      </c>
      <c r="AK279" s="177">
        <f t="shared" si="465"/>
        <v>1.7599196757998095</v>
      </c>
      <c r="AM279" s="555">
        <f t="shared" si="466"/>
        <v>264.60000000000002</v>
      </c>
      <c r="AN279" s="469">
        <f t="shared" si="467"/>
        <v>350</v>
      </c>
      <c r="AP279">
        <f t="shared" si="468"/>
        <v>264.60000000000002</v>
      </c>
      <c r="AQ279">
        <f t="shared" si="469"/>
        <v>350</v>
      </c>
      <c r="AS279" s="5">
        <f t="shared" si="479"/>
        <v>2.8571428571428572</v>
      </c>
      <c r="AT279" s="5">
        <f t="shared" si="470"/>
        <v>0.93368222645608934</v>
      </c>
      <c r="AU279" s="5">
        <f t="shared" si="440"/>
        <v>1.9234606306867679</v>
      </c>
      <c r="AV279" s="5"/>
      <c r="AW279" s="177">
        <f t="shared" si="441"/>
        <v>0.32678877925963123</v>
      </c>
      <c r="AX279" s="177"/>
      <c r="BA279" s="469">
        <f t="shared" si="471"/>
        <v>17.856916306602201</v>
      </c>
      <c r="BB279" s="469">
        <f t="shared" si="472"/>
        <v>9.1240340001466294</v>
      </c>
      <c r="BC279" s="5">
        <f t="shared" si="442"/>
        <v>0.91304271812912507</v>
      </c>
      <c r="BD279" s="469">
        <f t="shared" si="473"/>
        <v>0</v>
      </c>
      <c r="BQ279" s="538">
        <f t="shared" si="474"/>
        <v>0.23814000000000002</v>
      </c>
      <c r="CG279" s="571">
        <f t="shared" si="475"/>
        <v>-50</v>
      </c>
      <c r="CH279">
        <f t="shared" si="476"/>
        <v>-50</v>
      </c>
    </row>
    <row r="280" spans="5:86" x14ac:dyDescent="0.2">
      <c r="E280" s="174">
        <v>64</v>
      </c>
      <c r="F280" s="221">
        <f t="shared" si="477"/>
        <v>0.26879999999999998</v>
      </c>
      <c r="G280" s="221"/>
      <c r="H280" s="221">
        <f t="shared" ref="H280:H311" si="481">F280*Vout</f>
        <v>4.1663999999999994</v>
      </c>
      <c r="I280" s="551">
        <f t="shared" ref="I280:I316" si="482">VIN_max</f>
        <v>16</v>
      </c>
      <c r="J280" s="451">
        <f t="shared" ref="J280:J316" si="483">(T280+Vfwd1)*Nps</f>
        <v>16.399999999999999</v>
      </c>
      <c r="K280" s="451">
        <f t="shared" ref="K280:K316" si="484">(Vout+Vfwd1)*Nps+I280</f>
        <v>32.4</v>
      </c>
      <c r="L280" s="451"/>
      <c r="M280" s="221">
        <f t="shared" ref="M280:M316" si="485">(Vout+Vfwd1)*Nps/((Vout+Vfwd1)*Nps+I280)</f>
        <v>0.50617283950617287</v>
      </c>
      <c r="N280" s="176">
        <f t="shared" ref="N280:N311" si="486">M280*I280*(Isw_max+VIN_max/Lmag*ILIM_delay)*0.5*Efficiency</f>
        <v>15.136592592592594</v>
      </c>
      <c r="O280" s="176">
        <f t="shared" si="478"/>
        <v>4.1663999999999994</v>
      </c>
      <c r="P280" s="221">
        <f t="shared" ref="P280:P311" si="487">N280/Vout</f>
        <v>0.97655436081242541</v>
      </c>
      <c r="Q280" s="221">
        <f t="shared" ref="Q280:Q316" si="488">MIN(Vout,N280/F280)</f>
        <v>15.5</v>
      </c>
      <c r="R280" s="221"/>
      <c r="S280" s="176">
        <f t="shared" ref="S280:S316" si="489">(SQRT(Isw_max^2*Nps^2*I280^2+4*Isw_max*F280/Efficiency*(Nps^2*Vfwd1*I280-Nps*I280^2)+4*(F280/Efficiency)^2*Nps^2*Vfwd1^2+8*(F280/Efficiency)^2*Nps*Vfwd1*I280+4*(F280/Efficiency)^2*I280^2)-2*F280/Efficiency*I280-2*F280/Efficiency*Nps*Vfwd1+Isw_max*Nps*I280)/(4*F280/Efficiency*Nps)</f>
        <v>93.973210091060722</v>
      </c>
      <c r="T280" s="176">
        <f t="shared" ref="T280:T311" si="490">MIN(Vout, S280)</f>
        <v>15.5</v>
      </c>
      <c r="U280" s="221">
        <f t="shared" ref="U280:U316" si="491">MIN(2*Vout*F280/(Efficiency*I280*M280), Isw_max)</f>
        <v>1.1432195121951216</v>
      </c>
      <c r="V280" s="221">
        <f t="shared" ref="V280:V311" si="492">L*U280/I280*1000000</f>
        <v>0.64306097560975595</v>
      </c>
      <c r="W280" s="221">
        <f t="shared" ref="W280:W316" si="493">L*U280/J280*1000000</f>
        <v>0.6273765615704936</v>
      </c>
      <c r="X280" s="201">
        <f t="shared" ref="X280:X316" si="494">IF(1/((350000*L)*(1/I280+1/J280))&gt;Isw_min, 350, 0.001/((Isw_min*L)*(1/I280+1/J280)))</f>
        <v>350</v>
      </c>
      <c r="Y280" s="451">
        <f t="shared" si="480"/>
        <v>350</v>
      </c>
      <c r="AA280" s="221">
        <f t="shared" ref="AA280:AA316" si="495">1/((X280*1000*L)*(1/I280+1/J280))</f>
        <v>2.5710366451107194</v>
      </c>
      <c r="AB280" s="177">
        <f t="shared" ref="AB280:AB311" si="496">L*AA280/J280*1000000</f>
        <v>1.4109347442680777</v>
      </c>
      <c r="AC280" s="177">
        <f t="shared" ref="AC280:AC311" si="497">0.5*AB280*AA280*Nps*X280/1000</f>
        <v>0.63482386299030114</v>
      </c>
      <c r="AD280" s="177"/>
      <c r="AE280" s="177">
        <f t="shared" ref="AE280:AE316" si="498">L*Isw_min/J280*1000000</f>
        <v>0.45</v>
      </c>
      <c r="AF280" s="555">
        <f t="shared" ref="AF280:AF311" si="499">MAX(12000,F280/(0.5*AE280/1000000*Isw_min*Nps))/1000</f>
        <v>1456.9105691056911</v>
      </c>
      <c r="AG280" s="538">
        <f t="shared" ref="AG280:AG316" si="500">0.5*AE280/1000000*Isw_min*Nps*X280*1000</f>
        <v>6.4574999999999994E-2</v>
      </c>
      <c r="AI280" s="177">
        <f t="shared" ref="AI280:AI316" si="501">SQRT(F280/(0.5*L/J280*Fsw_DCM*Nps))</f>
        <v>1.6730012950781996</v>
      </c>
      <c r="AJ280" s="177">
        <f t="shared" ref="AJ280:AJ311" si="502">MAX(IF(F280&gt;AC280,U280,AI280),Isw_min)</f>
        <v>1.6730012950781996</v>
      </c>
      <c r="AK280" s="177">
        <f t="shared" ref="AK280:AK311" si="503">IF(F280&gt;AG280, (AJ280-Isw_min)/1.2*0.8+1.2, AF280*0.2/350+1)</f>
        <v>1.7686675300521331</v>
      </c>
      <c r="AM280" s="555">
        <f t="shared" ref="AM280:AM316" si="504">F280*1000</f>
        <v>268.8</v>
      </c>
      <c r="AN280" s="469">
        <f t="shared" ref="AN280:AN316" si="505">IF(F280&gt;AG280, Y280, AF280)</f>
        <v>350</v>
      </c>
      <c r="AP280">
        <f t="shared" ref="AP280:AP316" si="506">IF(H280&gt;N280, "",AM280)</f>
        <v>268.8</v>
      </c>
      <c r="AQ280">
        <f t="shared" ref="AQ280:AQ316" si="507">IF(H280&gt;N280, "",AN280)</f>
        <v>350</v>
      </c>
      <c r="AS280" s="5">
        <f t="shared" si="479"/>
        <v>2.8571428571428572</v>
      </c>
      <c r="AT280" s="5">
        <f t="shared" ref="AT280:AT316" si="508">L*AJ280/I280*1000000</f>
        <v>0.94106322848148727</v>
      </c>
      <c r="AU280" s="5">
        <f t="shared" si="440"/>
        <v>1.9160796286613699</v>
      </c>
      <c r="AV280" s="5"/>
      <c r="AW280" s="177">
        <f t="shared" si="441"/>
        <v>0.32937212996852056</v>
      </c>
      <c r="AX280" s="177"/>
      <c r="BA280" s="469">
        <f t="shared" ref="BA280:BA316" si="509">L*Isw_max^2/(2*Vout_ripple*Vout)*1000000000*((1+M280)/2)^2</f>
        <v>17.856916306602201</v>
      </c>
      <c r="BB280" s="469">
        <f t="shared" ref="BB280:BB316" si="510">L*F280^2/(2*Cout*Vout*Nps^2)*1000000000*((1+M280)/(1-M280))^2+F280*RCoutEsr</f>
        <v>9.4074513642228723</v>
      </c>
      <c r="BC280" s="5">
        <f t="shared" si="442"/>
        <v>0.92397617648781571</v>
      </c>
      <c r="BD280" s="469">
        <f t="shared" ref="BD280:BD316" si="511">((CB280/I280/Efficiency)*AU280/Cin+(CB280/I280/Efficiency)*RCinEsr)*1000</f>
        <v>0</v>
      </c>
      <c r="BQ280" s="538">
        <f t="shared" ref="BQ280:BQ316" si="512">(Vfwd2*F280+BG280^2*Rdiode)*(1+Diode_TC/1000*(Ta-25))</f>
        <v>0.24192</v>
      </c>
      <c r="CG280" s="571">
        <f t="shared" ref="CG280:CG316" si="513">IF(ABS(F280-Ioutmax_Vinmax)&lt;Iout/200, AN280, -50)</f>
        <v>-50</v>
      </c>
      <c r="CH280">
        <f t="shared" ref="CH280:CH316" si="514">IF(ABS(F280-Ioutmax_Vinmin)&lt;Iout/200, N280*CC280, -50)</f>
        <v>-50</v>
      </c>
    </row>
    <row r="281" spans="5:86" x14ac:dyDescent="0.2">
      <c r="E281" s="174">
        <v>65</v>
      </c>
      <c r="F281" s="221">
        <f t="shared" ref="F281:F312" si="515">IF(PLOT_TYPE=1, E281/100*Iout_max, min_I*EXP(N281*rr/100))</f>
        <v>0.27300000000000002</v>
      </c>
      <c r="G281" s="221"/>
      <c r="H281" s="221">
        <f t="shared" si="481"/>
        <v>4.2315000000000005</v>
      </c>
      <c r="I281" s="551">
        <f t="shared" si="482"/>
        <v>16</v>
      </c>
      <c r="J281" s="451">
        <f t="shared" si="483"/>
        <v>16.399999999999999</v>
      </c>
      <c r="K281" s="451">
        <f t="shared" si="484"/>
        <v>32.4</v>
      </c>
      <c r="L281" s="451"/>
      <c r="M281" s="221">
        <f t="shared" si="485"/>
        <v>0.50617283950617287</v>
      </c>
      <c r="N281" s="176">
        <f t="shared" si="486"/>
        <v>15.136592592592594</v>
      </c>
      <c r="O281" s="176">
        <f t="shared" si="478"/>
        <v>4.2315000000000005</v>
      </c>
      <c r="P281" s="221">
        <f t="shared" si="487"/>
        <v>0.97655436081242541</v>
      </c>
      <c r="Q281" s="221">
        <f t="shared" si="488"/>
        <v>15.5</v>
      </c>
      <c r="R281" s="221"/>
      <c r="S281" s="176">
        <f t="shared" si="489"/>
        <v>92.286397123700311</v>
      </c>
      <c r="T281" s="176">
        <f t="shared" si="490"/>
        <v>15.5</v>
      </c>
      <c r="U281" s="221">
        <f t="shared" si="491"/>
        <v>1.1610823170731708</v>
      </c>
      <c r="V281" s="221">
        <f t="shared" si="492"/>
        <v>0.65310880335365862</v>
      </c>
      <c r="W281" s="221">
        <f t="shared" si="493"/>
        <v>0.63717932034503277</v>
      </c>
      <c r="X281" s="201">
        <f t="shared" si="494"/>
        <v>350</v>
      </c>
      <c r="Y281" s="451">
        <f t="shared" si="480"/>
        <v>350</v>
      </c>
      <c r="AA281" s="221">
        <f t="shared" si="495"/>
        <v>2.5710366451107194</v>
      </c>
      <c r="AB281" s="177">
        <f t="shared" si="496"/>
        <v>1.4109347442680777</v>
      </c>
      <c r="AC281" s="177">
        <f t="shared" si="497"/>
        <v>0.63482386299030114</v>
      </c>
      <c r="AD281" s="177"/>
      <c r="AE281" s="177">
        <f t="shared" si="498"/>
        <v>0.45</v>
      </c>
      <c r="AF281" s="555">
        <f t="shared" si="499"/>
        <v>1479.6747967479675</v>
      </c>
      <c r="AG281" s="538">
        <f t="shared" si="500"/>
        <v>6.4574999999999994E-2</v>
      </c>
      <c r="AI281" s="177">
        <f t="shared" si="501"/>
        <v>1.6860209567697153</v>
      </c>
      <c r="AJ281" s="177">
        <f t="shared" si="502"/>
        <v>1.6860209567697153</v>
      </c>
      <c r="AK281" s="177">
        <f t="shared" si="503"/>
        <v>1.7773473045131434</v>
      </c>
      <c r="AM281" s="555">
        <f t="shared" si="504"/>
        <v>273</v>
      </c>
      <c r="AN281" s="469">
        <f t="shared" si="505"/>
        <v>350</v>
      </c>
      <c r="AP281">
        <f t="shared" si="506"/>
        <v>273</v>
      </c>
      <c r="AQ281">
        <f t="shared" si="507"/>
        <v>350</v>
      </c>
      <c r="AS281" s="5">
        <f t="shared" si="479"/>
        <v>2.8571428571428572</v>
      </c>
      <c r="AT281" s="5">
        <f t="shared" si="508"/>
        <v>0.94838678818296485</v>
      </c>
      <c r="AU281" s="5">
        <f t="shared" si="440"/>
        <v>1.9087560689598924</v>
      </c>
      <c r="AV281" s="5"/>
      <c r="AW281" s="177">
        <f t="shared" si="441"/>
        <v>0.33193537586403771</v>
      </c>
      <c r="AX281" s="177"/>
      <c r="BA281" s="469">
        <f t="shared" si="509"/>
        <v>17.856916306602201</v>
      </c>
      <c r="BB281" s="469">
        <f t="shared" si="510"/>
        <v>9.6951997104105594</v>
      </c>
      <c r="BC281" s="5">
        <f t="shared" si="442"/>
        <v>0.93482654002358612</v>
      </c>
      <c r="BD281" s="469">
        <f t="shared" si="511"/>
        <v>0</v>
      </c>
      <c r="BQ281" s="538">
        <f t="shared" si="512"/>
        <v>0.24570000000000003</v>
      </c>
      <c r="CG281" s="571">
        <f t="shared" si="513"/>
        <v>-50</v>
      </c>
      <c r="CH281">
        <f t="shared" si="514"/>
        <v>-50</v>
      </c>
    </row>
    <row r="282" spans="5:86" x14ac:dyDescent="0.2">
      <c r="E282" s="174">
        <v>66</v>
      </c>
      <c r="F282" s="221">
        <f t="shared" si="515"/>
        <v>0.2772</v>
      </c>
      <c r="G282" s="221"/>
      <c r="H282" s="221">
        <f t="shared" si="481"/>
        <v>4.2965999999999998</v>
      </c>
      <c r="I282" s="551">
        <f t="shared" si="482"/>
        <v>16</v>
      </c>
      <c r="J282" s="451">
        <f t="shared" si="483"/>
        <v>16.399999999999999</v>
      </c>
      <c r="K282" s="451">
        <f t="shared" si="484"/>
        <v>32.4</v>
      </c>
      <c r="L282" s="451"/>
      <c r="M282" s="221">
        <f t="shared" si="485"/>
        <v>0.50617283950617287</v>
      </c>
      <c r="N282" s="176">
        <f t="shared" si="486"/>
        <v>15.136592592592594</v>
      </c>
      <c r="O282" s="176">
        <f t="shared" si="478"/>
        <v>4.2965999999999998</v>
      </c>
      <c r="P282" s="221">
        <f t="shared" si="487"/>
        <v>0.97655436081242541</v>
      </c>
      <c r="Q282" s="221">
        <f t="shared" si="488"/>
        <v>15.5</v>
      </c>
      <c r="R282" s="221"/>
      <c r="S282" s="176">
        <f t="shared" si="489"/>
        <v>90.650796223296254</v>
      </c>
      <c r="T282" s="176">
        <f t="shared" si="490"/>
        <v>15.5</v>
      </c>
      <c r="U282" s="221">
        <f t="shared" si="491"/>
        <v>1.1789451219512193</v>
      </c>
      <c r="V282" s="221">
        <f t="shared" si="492"/>
        <v>0.66315663109756084</v>
      </c>
      <c r="W282" s="221">
        <f t="shared" si="493"/>
        <v>0.64698207911957151</v>
      </c>
      <c r="X282" s="201">
        <f t="shared" si="494"/>
        <v>350</v>
      </c>
      <c r="Y282" s="451">
        <f t="shared" si="480"/>
        <v>350</v>
      </c>
      <c r="AA282" s="221">
        <f t="shared" si="495"/>
        <v>2.5710366451107194</v>
      </c>
      <c r="AB282" s="177">
        <f t="shared" si="496"/>
        <v>1.4109347442680777</v>
      </c>
      <c r="AC282" s="177">
        <f t="shared" si="497"/>
        <v>0.63482386299030114</v>
      </c>
      <c r="AD282" s="177"/>
      <c r="AE282" s="177">
        <f t="shared" si="498"/>
        <v>0.45</v>
      </c>
      <c r="AF282" s="555">
        <f t="shared" si="499"/>
        <v>1502.439024390244</v>
      </c>
      <c r="AG282" s="538">
        <f t="shared" si="500"/>
        <v>6.4574999999999994E-2</v>
      </c>
      <c r="AI282" s="177">
        <f t="shared" si="501"/>
        <v>1.6989408465276239</v>
      </c>
      <c r="AJ282" s="177">
        <f t="shared" si="502"/>
        <v>1.6989408465276239</v>
      </c>
      <c r="AK282" s="177">
        <f t="shared" si="503"/>
        <v>1.7859605643517491</v>
      </c>
      <c r="AM282" s="555">
        <f t="shared" si="504"/>
        <v>277.2</v>
      </c>
      <c r="AN282" s="469">
        <f t="shared" si="505"/>
        <v>350</v>
      </c>
      <c r="AP282">
        <f t="shared" si="506"/>
        <v>277.2</v>
      </c>
      <c r="AQ282">
        <f t="shared" si="507"/>
        <v>350</v>
      </c>
      <c r="AS282" s="5">
        <f t="shared" si="479"/>
        <v>2.8571428571428572</v>
      </c>
      <c r="AT282" s="5">
        <f t="shared" si="508"/>
        <v>0.95565422617178841</v>
      </c>
      <c r="AU282" s="5">
        <f t="shared" si="440"/>
        <v>1.9014886309710688</v>
      </c>
      <c r="AV282" s="5"/>
      <c r="AW282" s="177">
        <f t="shared" si="441"/>
        <v>0.33447897916012592</v>
      </c>
      <c r="AX282" s="177"/>
      <c r="BA282" s="469">
        <f t="shared" si="509"/>
        <v>17.856916306602201</v>
      </c>
      <c r="BB282" s="469">
        <f t="shared" si="510"/>
        <v>9.9872790387096817</v>
      </c>
      <c r="BC282" s="5">
        <f t="shared" si="442"/>
        <v>0.94559445044332102</v>
      </c>
      <c r="BD282" s="469">
        <f t="shared" si="511"/>
        <v>0</v>
      </c>
      <c r="BQ282" s="538">
        <f t="shared" si="512"/>
        <v>0.24948000000000001</v>
      </c>
      <c r="CG282" s="571">
        <f t="shared" si="513"/>
        <v>-50</v>
      </c>
      <c r="CH282">
        <f t="shared" si="514"/>
        <v>-50</v>
      </c>
    </row>
    <row r="283" spans="5:86" x14ac:dyDescent="0.2">
      <c r="E283" s="174">
        <v>67</v>
      </c>
      <c r="F283" s="221">
        <f t="shared" si="515"/>
        <v>0.28139999999999998</v>
      </c>
      <c r="G283" s="221"/>
      <c r="H283" s="221">
        <f t="shared" si="481"/>
        <v>4.3616999999999999</v>
      </c>
      <c r="I283" s="551">
        <f t="shared" si="482"/>
        <v>16</v>
      </c>
      <c r="J283" s="451">
        <f t="shared" si="483"/>
        <v>16.399999999999999</v>
      </c>
      <c r="K283" s="451">
        <f t="shared" si="484"/>
        <v>32.4</v>
      </c>
      <c r="L283" s="451"/>
      <c r="M283" s="221">
        <f t="shared" si="485"/>
        <v>0.50617283950617287</v>
      </c>
      <c r="N283" s="176">
        <f t="shared" si="486"/>
        <v>15.136592592592594</v>
      </c>
      <c r="O283" s="176">
        <f t="shared" si="478"/>
        <v>4.3616999999999999</v>
      </c>
      <c r="P283" s="221">
        <f t="shared" si="487"/>
        <v>0.97655436081242541</v>
      </c>
      <c r="Q283" s="221">
        <f t="shared" si="488"/>
        <v>15.5</v>
      </c>
      <c r="R283" s="221"/>
      <c r="S283" s="176">
        <f t="shared" si="489"/>
        <v>89.064114993721461</v>
      </c>
      <c r="T283" s="176">
        <f t="shared" si="490"/>
        <v>15.5</v>
      </c>
      <c r="U283" s="221">
        <f t="shared" si="491"/>
        <v>1.1968079268292682</v>
      </c>
      <c r="V283" s="221">
        <f t="shared" si="492"/>
        <v>0.67320445884146329</v>
      </c>
      <c r="W283" s="221">
        <f t="shared" si="493"/>
        <v>0.65678483789411057</v>
      </c>
      <c r="X283" s="201">
        <f t="shared" si="494"/>
        <v>350</v>
      </c>
      <c r="Y283" s="451">
        <f t="shared" si="480"/>
        <v>350</v>
      </c>
      <c r="AA283" s="221">
        <f t="shared" si="495"/>
        <v>2.5710366451107194</v>
      </c>
      <c r="AB283" s="177">
        <f t="shared" si="496"/>
        <v>1.4109347442680777</v>
      </c>
      <c r="AC283" s="177">
        <f t="shared" si="497"/>
        <v>0.63482386299030114</v>
      </c>
      <c r="AD283" s="177"/>
      <c r="AE283" s="177">
        <f t="shared" si="498"/>
        <v>0.45</v>
      </c>
      <c r="AF283" s="555">
        <f t="shared" si="499"/>
        <v>1525.2032520325201</v>
      </c>
      <c r="AG283" s="538">
        <f t="shared" si="500"/>
        <v>6.4574999999999994E-2</v>
      </c>
      <c r="AI283" s="177">
        <f t="shared" si="501"/>
        <v>1.7117632235018174</v>
      </c>
      <c r="AJ283" s="177">
        <f t="shared" si="502"/>
        <v>1.7117632235018174</v>
      </c>
      <c r="AK283" s="177">
        <f t="shared" si="503"/>
        <v>1.7945088156678781</v>
      </c>
      <c r="AM283" s="555">
        <f t="shared" si="504"/>
        <v>281.39999999999998</v>
      </c>
      <c r="AN283" s="469">
        <f t="shared" si="505"/>
        <v>350</v>
      </c>
      <c r="AP283">
        <f t="shared" si="506"/>
        <v>281.39999999999998</v>
      </c>
      <c r="AQ283">
        <f t="shared" si="507"/>
        <v>350</v>
      </c>
      <c r="AS283" s="5">
        <f t="shared" si="479"/>
        <v>2.8571428571428572</v>
      </c>
      <c r="AT283" s="5">
        <f t="shared" si="508"/>
        <v>0.96286681321977241</v>
      </c>
      <c r="AU283" s="5">
        <f t="shared" si="440"/>
        <v>1.8942760439230848</v>
      </c>
      <c r="AV283" s="5"/>
      <c r="AW283" s="177">
        <f t="shared" si="441"/>
        <v>0.33700338462692031</v>
      </c>
      <c r="AX283" s="177"/>
      <c r="BA283" s="469">
        <f t="shared" si="509"/>
        <v>17.856916306602201</v>
      </c>
      <c r="BB283" s="469">
        <f t="shared" si="510"/>
        <v>10.283689349120236</v>
      </c>
      <c r="BC283" s="5">
        <f t="shared" si="442"/>
        <v>0.95628053481242092</v>
      </c>
      <c r="BD283" s="469">
        <f t="shared" si="511"/>
        <v>0</v>
      </c>
      <c r="BQ283" s="538">
        <f t="shared" si="512"/>
        <v>0.25325999999999999</v>
      </c>
      <c r="CG283" s="571">
        <f t="shared" si="513"/>
        <v>-50</v>
      </c>
      <c r="CH283">
        <f t="shared" si="514"/>
        <v>-50</v>
      </c>
    </row>
    <row r="284" spans="5:86" x14ac:dyDescent="0.2">
      <c r="E284" s="174">
        <v>68</v>
      </c>
      <c r="F284" s="221">
        <f t="shared" si="515"/>
        <v>0.28560000000000002</v>
      </c>
      <c r="G284" s="221"/>
      <c r="H284" s="221">
        <f t="shared" si="481"/>
        <v>4.4268000000000001</v>
      </c>
      <c r="I284" s="551">
        <f t="shared" si="482"/>
        <v>16</v>
      </c>
      <c r="J284" s="451">
        <f t="shared" si="483"/>
        <v>16.399999999999999</v>
      </c>
      <c r="K284" s="451">
        <f t="shared" si="484"/>
        <v>32.4</v>
      </c>
      <c r="L284" s="451"/>
      <c r="M284" s="221">
        <f t="shared" si="485"/>
        <v>0.50617283950617287</v>
      </c>
      <c r="N284" s="176">
        <f t="shared" si="486"/>
        <v>15.136592592592594</v>
      </c>
      <c r="O284" s="176">
        <f t="shared" si="478"/>
        <v>4.4268000000000001</v>
      </c>
      <c r="P284" s="221">
        <f t="shared" si="487"/>
        <v>0.97655436081242541</v>
      </c>
      <c r="Q284" s="221">
        <f t="shared" si="488"/>
        <v>15.5</v>
      </c>
      <c r="R284" s="221"/>
      <c r="S284" s="176">
        <f t="shared" si="489"/>
        <v>87.524195891506452</v>
      </c>
      <c r="T284" s="176">
        <f t="shared" si="490"/>
        <v>15.5</v>
      </c>
      <c r="U284" s="221">
        <f t="shared" si="491"/>
        <v>1.2146707317073169</v>
      </c>
      <c r="V284" s="221">
        <f t="shared" si="492"/>
        <v>0.68325228658536574</v>
      </c>
      <c r="W284" s="221">
        <f t="shared" si="493"/>
        <v>0.66658759666864964</v>
      </c>
      <c r="X284" s="201">
        <f t="shared" si="494"/>
        <v>350</v>
      </c>
      <c r="Y284" s="451">
        <f t="shared" si="480"/>
        <v>350</v>
      </c>
      <c r="AA284" s="221">
        <f t="shared" si="495"/>
        <v>2.5710366451107194</v>
      </c>
      <c r="AB284" s="177">
        <f t="shared" si="496"/>
        <v>1.4109347442680777</v>
      </c>
      <c r="AC284" s="177">
        <f t="shared" si="497"/>
        <v>0.63482386299030114</v>
      </c>
      <c r="AD284" s="177"/>
      <c r="AE284" s="177">
        <f t="shared" si="498"/>
        <v>0.45</v>
      </c>
      <c r="AF284" s="555">
        <f t="shared" si="499"/>
        <v>1547.967479674797</v>
      </c>
      <c r="AG284" s="538">
        <f t="shared" si="500"/>
        <v>6.4574999999999994E-2</v>
      </c>
      <c r="AI284" s="177">
        <f t="shared" si="501"/>
        <v>1.7244902628506391</v>
      </c>
      <c r="AJ284" s="177">
        <f t="shared" si="502"/>
        <v>1.7244902628506391</v>
      </c>
      <c r="AK284" s="177">
        <f t="shared" si="503"/>
        <v>1.8029935085670927</v>
      </c>
      <c r="AM284" s="555">
        <f t="shared" si="504"/>
        <v>285.60000000000002</v>
      </c>
      <c r="AN284" s="469">
        <f t="shared" si="505"/>
        <v>350</v>
      </c>
      <c r="AP284">
        <f t="shared" si="506"/>
        <v>285.60000000000002</v>
      </c>
      <c r="AQ284">
        <f t="shared" si="507"/>
        <v>350</v>
      </c>
      <c r="AS284" s="5">
        <f t="shared" si="479"/>
        <v>2.8571428571428572</v>
      </c>
      <c r="AT284" s="5">
        <f t="shared" si="508"/>
        <v>0.97002577285348446</v>
      </c>
      <c r="AU284" s="5">
        <f t="shared" si="440"/>
        <v>1.8871170842893727</v>
      </c>
      <c r="AV284" s="5"/>
      <c r="AW284" s="177">
        <f t="shared" si="441"/>
        <v>0.33950902049871956</v>
      </c>
      <c r="AX284" s="177"/>
      <c r="BA284" s="469">
        <f t="shared" si="509"/>
        <v>17.856916306602201</v>
      </c>
      <c r="BB284" s="469">
        <f t="shared" si="510"/>
        <v>10.58443064164223</v>
      </c>
      <c r="BC284" s="5">
        <f t="shared" si="442"/>
        <v>0.96688540610326323</v>
      </c>
      <c r="BD284" s="469">
        <f t="shared" si="511"/>
        <v>0</v>
      </c>
      <c r="BQ284" s="538">
        <f t="shared" si="512"/>
        <v>0.25704000000000005</v>
      </c>
      <c r="CG284" s="571">
        <f t="shared" si="513"/>
        <v>-50</v>
      </c>
      <c r="CH284">
        <f t="shared" si="514"/>
        <v>-50</v>
      </c>
    </row>
    <row r="285" spans="5:86" x14ac:dyDescent="0.2">
      <c r="E285" s="174">
        <v>69</v>
      </c>
      <c r="F285" s="221">
        <f t="shared" si="515"/>
        <v>0.28979999999999995</v>
      </c>
      <c r="G285" s="221"/>
      <c r="H285" s="221">
        <f t="shared" si="481"/>
        <v>4.4918999999999993</v>
      </c>
      <c r="I285" s="551">
        <f t="shared" si="482"/>
        <v>16</v>
      </c>
      <c r="J285" s="451">
        <f t="shared" si="483"/>
        <v>16.399999999999999</v>
      </c>
      <c r="K285" s="451">
        <f t="shared" si="484"/>
        <v>32.4</v>
      </c>
      <c r="L285" s="451"/>
      <c r="M285" s="221">
        <f t="shared" si="485"/>
        <v>0.50617283950617287</v>
      </c>
      <c r="N285" s="176">
        <f t="shared" si="486"/>
        <v>15.136592592592594</v>
      </c>
      <c r="O285" s="176">
        <f t="shared" si="478"/>
        <v>4.4918999999999993</v>
      </c>
      <c r="P285" s="221">
        <f t="shared" si="487"/>
        <v>0.97655436081242541</v>
      </c>
      <c r="Q285" s="221">
        <f t="shared" si="488"/>
        <v>15.5</v>
      </c>
      <c r="R285" s="221"/>
      <c r="S285" s="176">
        <f t="shared" si="489"/>
        <v>86.029006453962154</v>
      </c>
      <c r="T285" s="176">
        <f t="shared" si="490"/>
        <v>15.5</v>
      </c>
      <c r="U285" s="221">
        <f t="shared" si="491"/>
        <v>1.2325335365853656</v>
      </c>
      <c r="V285" s="221">
        <f t="shared" si="492"/>
        <v>0.69330011432926819</v>
      </c>
      <c r="W285" s="221">
        <f t="shared" si="493"/>
        <v>0.6763903554431886</v>
      </c>
      <c r="X285" s="201">
        <f t="shared" si="494"/>
        <v>350</v>
      </c>
      <c r="Y285" s="451">
        <f t="shared" si="480"/>
        <v>350</v>
      </c>
      <c r="AA285" s="221">
        <f t="shared" si="495"/>
        <v>2.5710366451107194</v>
      </c>
      <c r="AB285" s="177">
        <f t="shared" si="496"/>
        <v>1.4109347442680777</v>
      </c>
      <c r="AC285" s="177">
        <f t="shared" si="497"/>
        <v>0.63482386299030114</v>
      </c>
      <c r="AD285" s="177"/>
      <c r="AE285" s="177">
        <f t="shared" si="498"/>
        <v>0.45</v>
      </c>
      <c r="AF285" s="555">
        <f t="shared" si="499"/>
        <v>1570.731707317073</v>
      </c>
      <c r="AG285" s="538">
        <f t="shared" si="500"/>
        <v>6.4574999999999994E-2</v>
      </c>
      <c r="AI285" s="177">
        <f t="shared" si="501"/>
        <v>1.7371240600486768</v>
      </c>
      <c r="AJ285" s="177">
        <f t="shared" si="502"/>
        <v>1.7371240600486768</v>
      </c>
      <c r="AK285" s="177">
        <f t="shared" si="503"/>
        <v>1.8114160400324513</v>
      </c>
      <c r="AM285" s="555">
        <f t="shared" si="504"/>
        <v>289.79999999999995</v>
      </c>
      <c r="AN285" s="469">
        <f t="shared" si="505"/>
        <v>350</v>
      </c>
      <c r="AP285">
        <f t="shared" si="506"/>
        <v>289.79999999999995</v>
      </c>
      <c r="AQ285">
        <f t="shared" si="507"/>
        <v>350</v>
      </c>
      <c r="AS285" s="5">
        <f t="shared" si="479"/>
        <v>2.8571428571428572</v>
      </c>
      <c r="AT285" s="5">
        <f t="shared" si="508"/>
        <v>0.97713228377738082</v>
      </c>
      <c r="AU285" s="5">
        <f t="shared" si="440"/>
        <v>1.8800105733654764</v>
      </c>
      <c r="AV285" s="5"/>
      <c r="AW285" s="177">
        <f t="shared" si="441"/>
        <v>0.34199629932208325</v>
      </c>
      <c r="AX285" s="177"/>
      <c r="BA285" s="469">
        <f t="shared" si="509"/>
        <v>17.856916306602201</v>
      </c>
      <c r="BB285" s="469">
        <f t="shared" si="510"/>
        <v>10.889502916275656</v>
      </c>
      <c r="BC285" s="5">
        <f t="shared" si="442"/>
        <v>0.97740966371532179</v>
      </c>
      <c r="BD285" s="469">
        <f t="shared" si="511"/>
        <v>0</v>
      </c>
      <c r="BQ285" s="538">
        <f t="shared" si="512"/>
        <v>0.26081999999999994</v>
      </c>
      <c r="CG285" s="571">
        <f t="shared" si="513"/>
        <v>-50</v>
      </c>
      <c r="CH285">
        <f t="shared" si="514"/>
        <v>-50</v>
      </c>
    </row>
    <row r="286" spans="5:86" x14ac:dyDescent="0.2">
      <c r="E286" s="174">
        <v>70</v>
      </c>
      <c r="F286" s="221">
        <f t="shared" si="515"/>
        <v>0.29399999999999998</v>
      </c>
      <c r="G286" s="221"/>
      <c r="H286" s="221">
        <f t="shared" si="481"/>
        <v>4.5569999999999995</v>
      </c>
      <c r="I286" s="551">
        <f t="shared" si="482"/>
        <v>16</v>
      </c>
      <c r="J286" s="451">
        <f t="shared" si="483"/>
        <v>16.399999999999999</v>
      </c>
      <c r="K286" s="451">
        <f t="shared" si="484"/>
        <v>32.4</v>
      </c>
      <c r="L286" s="451"/>
      <c r="M286" s="221">
        <f t="shared" si="485"/>
        <v>0.50617283950617287</v>
      </c>
      <c r="N286" s="176">
        <f t="shared" si="486"/>
        <v>15.136592592592594</v>
      </c>
      <c r="O286" s="176">
        <f t="shared" si="478"/>
        <v>4.5569999999999995</v>
      </c>
      <c r="P286" s="221">
        <f t="shared" si="487"/>
        <v>0.97655436081242541</v>
      </c>
      <c r="Q286" s="221">
        <f t="shared" si="488"/>
        <v>15.5</v>
      </c>
      <c r="R286" s="221"/>
      <c r="S286" s="176">
        <f t="shared" si="489"/>
        <v>84.576630364892608</v>
      </c>
      <c r="T286" s="176">
        <f t="shared" si="490"/>
        <v>15.5</v>
      </c>
      <c r="U286" s="221">
        <f t="shared" si="491"/>
        <v>1.2503963414634143</v>
      </c>
      <c r="V286" s="221">
        <f t="shared" si="492"/>
        <v>0.70334794207317053</v>
      </c>
      <c r="W286" s="221">
        <f t="shared" si="493"/>
        <v>0.68619311421772744</v>
      </c>
      <c r="X286" s="201">
        <f t="shared" si="494"/>
        <v>350</v>
      </c>
      <c r="Y286" s="451">
        <f t="shared" si="480"/>
        <v>350</v>
      </c>
      <c r="AA286" s="221">
        <f t="shared" si="495"/>
        <v>2.5710366451107194</v>
      </c>
      <c r="AB286" s="177">
        <f t="shared" si="496"/>
        <v>1.4109347442680777</v>
      </c>
      <c r="AC286" s="177">
        <f t="shared" si="497"/>
        <v>0.63482386299030114</v>
      </c>
      <c r="AD286" s="177"/>
      <c r="AE286" s="177">
        <f t="shared" si="498"/>
        <v>0.45</v>
      </c>
      <c r="AF286" s="555">
        <f t="shared" si="499"/>
        <v>1593.4959349593496</v>
      </c>
      <c r="AG286" s="538">
        <f t="shared" si="500"/>
        <v>6.4574999999999994E-2</v>
      </c>
      <c r="AI286" s="177">
        <f t="shared" si="501"/>
        <v>1.7496666349145864</v>
      </c>
      <c r="AJ286" s="177">
        <f t="shared" si="502"/>
        <v>1.7496666349145864</v>
      </c>
      <c r="AK286" s="177">
        <f t="shared" si="503"/>
        <v>1.8197777566097244</v>
      </c>
      <c r="AM286" s="555">
        <f t="shared" si="504"/>
        <v>294</v>
      </c>
      <c r="AN286" s="469">
        <f t="shared" si="505"/>
        <v>350</v>
      </c>
      <c r="AP286">
        <f t="shared" si="506"/>
        <v>294</v>
      </c>
      <c r="AQ286">
        <f t="shared" si="507"/>
        <v>350</v>
      </c>
      <c r="AS286" s="5">
        <f t="shared" si="479"/>
        <v>2.8571428571428572</v>
      </c>
      <c r="AT286" s="5">
        <f t="shared" si="508"/>
        <v>0.98418748213945484</v>
      </c>
      <c r="AU286" s="5">
        <f t="shared" si="440"/>
        <v>1.8729553750034023</v>
      </c>
      <c r="AV286" s="5"/>
      <c r="AW286" s="177">
        <f t="shared" si="441"/>
        <v>0.34446561874880921</v>
      </c>
      <c r="AX286" s="177"/>
      <c r="BA286" s="469">
        <f t="shared" si="509"/>
        <v>17.856916306602201</v>
      </c>
      <c r="BB286" s="469">
        <f t="shared" si="510"/>
        <v>11.198906173020527</v>
      </c>
      <c r="BC286" s="5">
        <f t="shared" si="442"/>
        <v>0.98785389396880807</v>
      </c>
      <c r="BD286" s="469">
        <f t="shared" si="511"/>
        <v>0</v>
      </c>
      <c r="BQ286" s="538">
        <f t="shared" si="512"/>
        <v>0.2646</v>
      </c>
      <c r="CG286" s="571">
        <f t="shared" si="513"/>
        <v>-50</v>
      </c>
      <c r="CH286">
        <f t="shared" si="514"/>
        <v>-50</v>
      </c>
    </row>
    <row r="287" spans="5:86" x14ac:dyDescent="0.2">
      <c r="E287" s="174">
        <v>71</v>
      </c>
      <c r="F287" s="221">
        <f t="shared" si="515"/>
        <v>0.29819999999999997</v>
      </c>
      <c r="G287" s="221"/>
      <c r="H287" s="221">
        <f t="shared" si="481"/>
        <v>4.6220999999999997</v>
      </c>
      <c r="I287" s="551">
        <f t="shared" si="482"/>
        <v>16</v>
      </c>
      <c r="J287" s="451">
        <f t="shared" si="483"/>
        <v>16.399999999999999</v>
      </c>
      <c r="K287" s="451">
        <f t="shared" si="484"/>
        <v>32.4</v>
      </c>
      <c r="L287" s="451"/>
      <c r="M287" s="221">
        <f t="shared" si="485"/>
        <v>0.50617283950617287</v>
      </c>
      <c r="N287" s="176">
        <f t="shared" si="486"/>
        <v>15.136592592592594</v>
      </c>
      <c r="O287" s="176">
        <f t="shared" si="478"/>
        <v>4.6220999999999997</v>
      </c>
      <c r="P287" s="221">
        <f t="shared" si="487"/>
        <v>0.97655436081242541</v>
      </c>
      <c r="Q287" s="221">
        <f t="shared" si="488"/>
        <v>15.5</v>
      </c>
      <c r="R287" s="221"/>
      <c r="S287" s="176">
        <f t="shared" si="489"/>
        <v>83.165259275318633</v>
      </c>
      <c r="T287" s="176">
        <f t="shared" si="490"/>
        <v>15.5</v>
      </c>
      <c r="U287" s="221">
        <f t="shared" si="491"/>
        <v>1.2682591463414632</v>
      </c>
      <c r="V287" s="221">
        <f t="shared" si="492"/>
        <v>0.71339576981707309</v>
      </c>
      <c r="W287" s="221">
        <f t="shared" si="493"/>
        <v>0.69599587299226651</v>
      </c>
      <c r="X287" s="201">
        <f t="shared" si="494"/>
        <v>350</v>
      </c>
      <c r="Y287" s="451">
        <f t="shared" si="480"/>
        <v>350</v>
      </c>
      <c r="AA287" s="221">
        <f t="shared" si="495"/>
        <v>2.5710366451107194</v>
      </c>
      <c r="AB287" s="177">
        <f t="shared" si="496"/>
        <v>1.4109347442680777</v>
      </c>
      <c r="AC287" s="177">
        <f t="shared" si="497"/>
        <v>0.63482386299030114</v>
      </c>
      <c r="AD287" s="177"/>
      <c r="AE287" s="177">
        <f t="shared" si="498"/>
        <v>0.45</v>
      </c>
      <c r="AF287" s="555">
        <f t="shared" si="499"/>
        <v>1616.260162601626</v>
      </c>
      <c r="AG287" s="538">
        <f t="shared" si="500"/>
        <v>6.4574999999999994E-2</v>
      </c>
      <c r="AI287" s="177">
        <f t="shared" si="501"/>
        <v>1.7621199353808656</v>
      </c>
      <c r="AJ287" s="177">
        <f t="shared" si="502"/>
        <v>1.7621199353808656</v>
      </c>
      <c r="AK287" s="177">
        <f t="shared" si="503"/>
        <v>1.8280799569205772</v>
      </c>
      <c r="AM287" s="555">
        <f t="shared" si="504"/>
        <v>298.2</v>
      </c>
      <c r="AN287" s="469">
        <f t="shared" si="505"/>
        <v>350</v>
      </c>
      <c r="AP287">
        <f t="shared" si="506"/>
        <v>298.2</v>
      </c>
      <c r="AQ287">
        <f t="shared" si="507"/>
        <v>350</v>
      </c>
      <c r="AS287" s="5">
        <f t="shared" si="479"/>
        <v>2.8571428571428572</v>
      </c>
      <c r="AT287" s="5">
        <f t="shared" si="508"/>
        <v>0.99119246365173697</v>
      </c>
      <c r="AU287" s="5">
        <f t="shared" si="440"/>
        <v>1.8659503934911204</v>
      </c>
      <c r="AV287" s="5"/>
      <c r="AW287" s="177">
        <f t="shared" si="441"/>
        <v>0.34691736227810793</v>
      </c>
      <c r="AX287" s="177"/>
      <c r="BA287" s="469">
        <f t="shared" si="509"/>
        <v>17.856916306602201</v>
      </c>
      <c r="BB287" s="469">
        <f t="shared" si="510"/>
        <v>11.512640411876831</v>
      </c>
      <c r="BC287" s="5">
        <f t="shared" si="442"/>
        <v>0.99821867057353075</v>
      </c>
      <c r="BD287" s="469">
        <f t="shared" si="511"/>
        <v>0</v>
      </c>
      <c r="BQ287" s="538">
        <f t="shared" si="512"/>
        <v>0.26837999999999995</v>
      </c>
      <c r="CG287" s="571">
        <f t="shared" si="513"/>
        <v>-50</v>
      </c>
      <c r="CH287">
        <f t="shared" si="514"/>
        <v>-50</v>
      </c>
    </row>
    <row r="288" spans="5:86" x14ac:dyDescent="0.2">
      <c r="E288" s="174">
        <v>72</v>
      </c>
      <c r="F288" s="221">
        <f t="shared" si="515"/>
        <v>0.3024</v>
      </c>
      <c r="G288" s="221"/>
      <c r="H288" s="221">
        <f t="shared" si="481"/>
        <v>4.6871999999999998</v>
      </c>
      <c r="I288" s="551">
        <f t="shared" si="482"/>
        <v>16</v>
      </c>
      <c r="J288" s="451">
        <f t="shared" si="483"/>
        <v>16.399999999999999</v>
      </c>
      <c r="K288" s="451">
        <f t="shared" si="484"/>
        <v>32.4</v>
      </c>
      <c r="L288" s="451"/>
      <c r="M288" s="221">
        <f t="shared" si="485"/>
        <v>0.50617283950617287</v>
      </c>
      <c r="N288" s="176">
        <f t="shared" si="486"/>
        <v>15.136592592592594</v>
      </c>
      <c r="O288" s="176">
        <f t="shared" si="478"/>
        <v>4.6871999999999998</v>
      </c>
      <c r="P288" s="221">
        <f t="shared" si="487"/>
        <v>0.97655436081242541</v>
      </c>
      <c r="Q288" s="221">
        <f t="shared" si="488"/>
        <v>15.5</v>
      </c>
      <c r="R288" s="221"/>
      <c r="S288" s="176">
        <f t="shared" si="489"/>
        <v>81.793185305807981</v>
      </c>
      <c r="T288" s="176">
        <f t="shared" si="490"/>
        <v>15.5</v>
      </c>
      <c r="U288" s="221">
        <f t="shared" si="491"/>
        <v>1.2861219512195121</v>
      </c>
      <c r="V288" s="221">
        <f t="shared" si="492"/>
        <v>0.72344359756097565</v>
      </c>
      <c r="W288" s="221">
        <f t="shared" si="493"/>
        <v>0.70579863176680557</v>
      </c>
      <c r="X288" s="201">
        <f t="shared" si="494"/>
        <v>350</v>
      </c>
      <c r="Y288" s="451">
        <f t="shared" si="480"/>
        <v>350</v>
      </c>
      <c r="AA288" s="221">
        <f t="shared" si="495"/>
        <v>2.5710366451107194</v>
      </c>
      <c r="AB288" s="177">
        <f t="shared" si="496"/>
        <v>1.4109347442680777</v>
      </c>
      <c r="AC288" s="177">
        <f t="shared" si="497"/>
        <v>0.63482386299030114</v>
      </c>
      <c r="AD288" s="177"/>
      <c r="AE288" s="177">
        <f t="shared" si="498"/>
        <v>0.45</v>
      </c>
      <c r="AF288" s="555">
        <f t="shared" si="499"/>
        <v>1639.0243902439026</v>
      </c>
      <c r="AG288" s="538">
        <f t="shared" si="500"/>
        <v>6.4574999999999994E-2</v>
      </c>
      <c r="AI288" s="177">
        <f t="shared" si="501"/>
        <v>1.7744858410255067</v>
      </c>
      <c r="AJ288" s="177">
        <f t="shared" si="502"/>
        <v>1.7744858410255067</v>
      </c>
      <c r="AK288" s="177">
        <f t="shared" si="503"/>
        <v>1.8363238940170046</v>
      </c>
      <c r="AM288" s="555">
        <f t="shared" si="504"/>
        <v>302.39999999999998</v>
      </c>
      <c r="AN288" s="469">
        <f t="shared" si="505"/>
        <v>350</v>
      </c>
      <c r="AP288">
        <f t="shared" si="506"/>
        <v>302.39999999999998</v>
      </c>
      <c r="AQ288">
        <f t="shared" si="507"/>
        <v>350</v>
      </c>
      <c r="AS288" s="5">
        <f t="shared" si="479"/>
        <v>2.8571428571428572</v>
      </c>
      <c r="AT288" s="5">
        <f t="shared" si="508"/>
        <v>0.99814828557684765</v>
      </c>
      <c r="AU288" s="5">
        <f t="shared" si="440"/>
        <v>1.8589945715660097</v>
      </c>
      <c r="AV288" s="5"/>
      <c r="AW288" s="177">
        <f t="shared" si="441"/>
        <v>0.34935189995189669</v>
      </c>
      <c r="AX288" s="177"/>
      <c r="BA288" s="469">
        <f t="shared" si="509"/>
        <v>17.856916306602201</v>
      </c>
      <c r="BB288" s="469">
        <f t="shared" si="510"/>
        <v>11.830705632844577</v>
      </c>
      <c r="BC288" s="5">
        <f t="shared" si="442"/>
        <v>1.0085045550745599</v>
      </c>
      <c r="BD288" s="469">
        <f t="shared" si="511"/>
        <v>0</v>
      </c>
      <c r="BQ288" s="538">
        <f t="shared" si="512"/>
        <v>0.27216000000000001</v>
      </c>
      <c r="CG288" s="571">
        <f t="shared" si="513"/>
        <v>-50</v>
      </c>
      <c r="CH288">
        <f t="shared" si="514"/>
        <v>-50</v>
      </c>
    </row>
    <row r="289" spans="5:86" x14ac:dyDescent="0.2">
      <c r="E289" s="174">
        <v>73</v>
      </c>
      <c r="F289" s="221">
        <f t="shared" si="515"/>
        <v>0.30659999999999998</v>
      </c>
      <c r="G289" s="221"/>
      <c r="H289" s="221">
        <f t="shared" si="481"/>
        <v>4.7523</v>
      </c>
      <c r="I289" s="551">
        <f t="shared" si="482"/>
        <v>16</v>
      </c>
      <c r="J289" s="451">
        <f t="shared" si="483"/>
        <v>16.399999999999999</v>
      </c>
      <c r="K289" s="451">
        <f t="shared" si="484"/>
        <v>32.4</v>
      </c>
      <c r="L289" s="451"/>
      <c r="M289" s="221">
        <f t="shared" si="485"/>
        <v>0.50617283950617287</v>
      </c>
      <c r="N289" s="176">
        <f t="shared" si="486"/>
        <v>15.136592592592594</v>
      </c>
      <c r="O289" s="176">
        <f t="shared" si="478"/>
        <v>4.7523</v>
      </c>
      <c r="P289" s="221">
        <f t="shared" si="487"/>
        <v>0.97655436081242541</v>
      </c>
      <c r="Q289" s="221">
        <f t="shared" si="488"/>
        <v>15.5</v>
      </c>
      <c r="R289" s="221"/>
      <c r="S289" s="176">
        <f t="shared" si="489"/>
        <v>80.458794165053135</v>
      </c>
      <c r="T289" s="176">
        <f t="shared" si="490"/>
        <v>15.5</v>
      </c>
      <c r="U289" s="221">
        <f t="shared" si="491"/>
        <v>1.3039847560975608</v>
      </c>
      <c r="V289" s="221">
        <f t="shared" si="492"/>
        <v>0.73349142530487799</v>
      </c>
      <c r="W289" s="221">
        <f t="shared" si="493"/>
        <v>0.71560139054134442</v>
      </c>
      <c r="X289" s="201">
        <f t="shared" si="494"/>
        <v>350</v>
      </c>
      <c r="Y289" s="451">
        <f t="shared" si="480"/>
        <v>350</v>
      </c>
      <c r="AA289" s="221">
        <f t="shared" si="495"/>
        <v>2.5710366451107194</v>
      </c>
      <c r="AB289" s="177">
        <f t="shared" si="496"/>
        <v>1.4109347442680777</v>
      </c>
      <c r="AC289" s="177">
        <f t="shared" si="497"/>
        <v>0.63482386299030114</v>
      </c>
      <c r="AD289" s="177"/>
      <c r="AE289" s="177">
        <f t="shared" si="498"/>
        <v>0.45</v>
      </c>
      <c r="AF289" s="555">
        <f t="shared" si="499"/>
        <v>1661.7886178861788</v>
      </c>
      <c r="AG289" s="538">
        <f t="shared" si="500"/>
        <v>6.4574999999999994E-2</v>
      </c>
      <c r="AI289" s="177">
        <f t="shared" si="501"/>
        <v>1.786766166383652</v>
      </c>
      <c r="AJ289" s="177">
        <f t="shared" si="502"/>
        <v>1.786766166383652</v>
      </c>
      <c r="AK289" s="177">
        <f t="shared" si="503"/>
        <v>1.8445107775891014</v>
      </c>
      <c r="AM289" s="555">
        <f t="shared" si="504"/>
        <v>306.59999999999997</v>
      </c>
      <c r="AN289" s="469">
        <f t="shared" si="505"/>
        <v>350</v>
      </c>
      <c r="AP289">
        <f t="shared" si="506"/>
        <v>306.59999999999997</v>
      </c>
      <c r="AQ289">
        <f t="shared" si="507"/>
        <v>350</v>
      </c>
      <c r="AS289" s="5">
        <f t="shared" si="479"/>
        <v>2.8571428571428572</v>
      </c>
      <c r="AT289" s="5">
        <f t="shared" si="508"/>
        <v>1.0050559685908043</v>
      </c>
      <c r="AU289" s="5">
        <f t="shared" si="440"/>
        <v>1.8520868885520529</v>
      </c>
      <c r="AV289" s="5"/>
      <c r="AW289" s="177">
        <f t="shared" si="441"/>
        <v>0.35176958900678146</v>
      </c>
      <c r="AX289" s="177"/>
      <c r="BA289" s="469">
        <f t="shared" si="509"/>
        <v>17.856916306602201</v>
      </c>
      <c r="BB289" s="469">
        <f t="shared" si="510"/>
        <v>12.153101835923756</v>
      </c>
      <c r="BC289" s="5">
        <f t="shared" si="442"/>
        <v>1.0187120972761481</v>
      </c>
      <c r="BD289" s="469">
        <f t="shared" si="511"/>
        <v>0</v>
      </c>
      <c r="BQ289" s="538">
        <f t="shared" si="512"/>
        <v>0.27594000000000002</v>
      </c>
      <c r="CG289" s="571">
        <f t="shared" si="513"/>
        <v>-50</v>
      </c>
      <c r="CH289">
        <f t="shared" si="514"/>
        <v>-50</v>
      </c>
    </row>
    <row r="290" spans="5:86" x14ac:dyDescent="0.2">
      <c r="E290" s="174">
        <v>74</v>
      </c>
      <c r="F290" s="221">
        <f t="shared" si="515"/>
        <v>0.31079999999999997</v>
      </c>
      <c r="G290" s="221"/>
      <c r="H290" s="221">
        <f t="shared" si="481"/>
        <v>4.8173999999999992</v>
      </c>
      <c r="I290" s="551">
        <f t="shared" si="482"/>
        <v>16</v>
      </c>
      <c r="J290" s="451">
        <f t="shared" si="483"/>
        <v>16.399999999999999</v>
      </c>
      <c r="K290" s="451">
        <f t="shared" si="484"/>
        <v>32.4</v>
      </c>
      <c r="L290" s="451"/>
      <c r="M290" s="221">
        <f t="shared" si="485"/>
        <v>0.50617283950617287</v>
      </c>
      <c r="N290" s="176">
        <f t="shared" si="486"/>
        <v>15.136592592592594</v>
      </c>
      <c r="O290" s="176">
        <f t="shared" si="478"/>
        <v>4.8173999999999992</v>
      </c>
      <c r="P290" s="221">
        <f t="shared" si="487"/>
        <v>0.97655436081242541</v>
      </c>
      <c r="Q290" s="221">
        <f t="shared" si="488"/>
        <v>15.5</v>
      </c>
      <c r="R290" s="221"/>
      <c r="S290" s="176">
        <f t="shared" si="489"/>
        <v>79.160558826402394</v>
      </c>
      <c r="T290" s="176">
        <f t="shared" si="490"/>
        <v>15.5</v>
      </c>
      <c r="U290" s="221">
        <f t="shared" si="491"/>
        <v>1.3218475609756095</v>
      </c>
      <c r="V290" s="221">
        <f t="shared" si="492"/>
        <v>0.74353925304878032</v>
      </c>
      <c r="W290" s="221">
        <f t="shared" si="493"/>
        <v>0.72540414931588337</v>
      </c>
      <c r="X290" s="201">
        <f t="shared" si="494"/>
        <v>350</v>
      </c>
      <c r="Y290" s="451">
        <f t="shared" si="480"/>
        <v>350</v>
      </c>
      <c r="AA290" s="221">
        <f t="shared" si="495"/>
        <v>2.5710366451107194</v>
      </c>
      <c r="AB290" s="177">
        <f t="shared" si="496"/>
        <v>1.4109347442680777</v>
      </c>
      <c r="AC290" s="177">
        <f t="shared" si="497"/>
        <v>0.63482386299030114</v>
      </c>
      <c r="AD290" s="177"/>
      <c r="AE290" s="177">
        <f t="shared" si="498"/>
        <v>0.45</v>
      </c>
      <c r="AF290" s="555">
        <f t="shared" si="499"/>
        <v>1684.5528455284552</v>
      </c>
      <c r="AG290" s="538">
        <f t="shared" si="500"/>
        <v>6.4574999999999994E-2</v>
      </c>
      <c r="AI290" s="177">
        <f t="shared" si="501"/>
        <v>1.7989626640557792</v>
      </c>
      <c r="AJ290" s="177">
        <f t="shared" si="502"/>
        <v>1.7989626640557792</v>
      </c>
      <c r="AK290" s="177">
        <f t="shared" si="503"/>
        <v>1.8526417760371863</v>
      </c>
      <c r="AM290" s="555">
        <f t="shared" si="504"/>
        <v>310.79999999999995</v>
      </c>
      <c r="AN290" s="469">
        <f t="shared" si="505"/>
        <v>350</v>
      </c>
      <c r="AP290">
        <f t="shared" si="506"/>
        <v>310.79999999999995</v>
      </c>
      <c r="AQ290">
        <f t="shared" si="507"/>
        <v>350</v>
      </c>
      <c r="AS290" s="5">
        <f t="shared" si="479"/>
        <v>2.8571428571428572</v>
      </c>
      <c r="AT290" s="5">
        <f t="shared" si="508"/>
        <v>1.0119164985313758</v>
      </c>
      <c r="AU290" s="5">
        <f t="shared" si="440"/>
        <v>1.8452263586114814</v>
      </c>
      <c r="AV290" s="5"/>
      <c r="AW290" s="177">
        <f t="shared" si="441"/>
        <v>0.3541707744859815</v>
      </c>
      <c r="AX290" s="177"/>
      <c r="BA290" s="469">
        <f t="shared" si="509"/>
        <v>17.856916306602201</v>
      </c>
      <c r="BB290" s="469">
        <f t="shared" si="510"/>
        <v>12.479829021114369</v>
      </c>
      <c r="BC290" s="5">
        <f t="shared" si="442"/>
        <v>1.0288418356452484</v>
      </c>
      <c r="BD290" s="469">
        <f t="shared" si="511"/>
        <v>0</v>
      </c>
      <c r="BQ290" s="538">
        <f t="shared" si="512"/>
        <v>0.27971999999999997</v>
      </c>
      <c r="CG290" s="571">
        <f t="shared" si="513"/>
        <v>-50</v>
      </c>
      <c r="CH290">
        <f t="shared" si="514"/>
        <v>-50</v>
      </c>
    </row>
    <row r="291" spans="5:86" x14ac:dyDescent="0.2">
      <c r="E291" s="174">
        <v>75</v>
      </c>
      <c r="F291" s="221">
        <f t="shared" si="515"/>
        <v>0.315</v>
      </c>
      <c r="G291" s="221"/>
      <c r="H291" s="221">
        <f t="shared" si="481"/>
        <v>4.8825000000000003</v>
      </c>
      <c r="I291" s="551">
        <f t="shared" si="482"/>
        <v>16</v>
      </c>
      <c r="J291" s="451">
        <f t="shared" si="483"/>
        <v>16.399999999999999</v>
      </c>
      <c r="K291" s="451">
        <f t="shared" si="484"/>
        <v>32.4</v>
      </c>
      <c r="L291" s="451"/>
      <c r="M291" s="221">
        <f t="shared" si="485"/>
        <v>0.50617283950617287</v>
      </c>
      <c r="N291" s="176">
        <f t="shared" si="486"/>
        <v>15.136592592592594</v>
      </c>
      <c r="O291" s="176">
        <f t="shared" si="478"/>
        <v>4.8825000000000003</v>
      </c>
      <c r="P291" s="221">
        <f t="shared" si="487"/>
        <v>0.97655436081242541</v>
      </c>
      <c r="Q291" s="221">
        <f t="shared" si="488"/>
        <v>15.5</v>
      </c>
      <c r="R291" s="221"/>
      <c r="S291" s="176">
        <f t="shared" si="489"/>
        <v>77.89703371026927</v>
      </c>
      <c r="T291" s="176">
        <f t="shared" si="490"/>
        <v>15.5</v>
      </c>
      <c r="U291" s="221">
        <f t="shared" si="491"/>
        <v>1.3397103658536584</v>
      </c>
      <c r="V291" s="221">
        <f t="shared" si="492"/>
        <v>0.75358708079268288</v>
      </c>
      <c r="W291" s="221">
        <f t="shared" si="493"/>
        <v>0.73520690809042244</v>
      </c>
      <c r="X291" s="201">
        <f t="shared" si="494"/>
        <v>350</v>
      </c>
      <c r="Y291" s="451">
        <f t="shared" si="480"/>
        <v>350</v>
      </c>
      <c r="AA291" s="221">
        <f t="shared" si="495"/>
        <v>2.5710366451107194</v>
      </c>
      <c r="AB291" s="177">
        <f t="shared" si="496"/>
        <v>1.4109347442680777</v>
      </c>
      <c r="AC291" s="177">
        <f t="shared" si="497"/>
        <v>0.63482386299030114</v>
      </c>
      <c r="AD291" s="177"/>
      <c r="AE291" s="177">
        <f t="shared" si="498"/>
        <v>0.45</v>
      </c>
      <c r="AF291" s="555">
        <f t="shared" si="499"/>
        <v>1707.3170731707319</v>
      </c>
      <c r="AG291" s="538">
        <f t="shared" si="500"/>
        <v>6.4574999999999994E-2</v>
      </c>
      <c r="AI291" s="177">
        <f t="shared" si="501"/>
        <v>1.8110770276274832</v>
      </c>
      <c r="AJ291" s="177">
        <f t="shared" si="502"/>
        <v>1.8110770276274832</v>
      </c>
      <c r="AK291" s="177">
        <f t="shared" si="503"/>
        <v>1.8607180184183223</v>
      </c>
      <c r="AM291" s="555">
        <f t="shared" si="504"/>
        <v>315</v>
      </c>
      <c r="AN291" s="469">
        <f t="shared" si="505"/>
        <v>350</v>
      </c>
      <c r="AP291">
        <f t="shared" si="506"/>
        <v>315</v>
      </c>
      <c r="AQ291">
        <f t="shared" si="507"/>
        <v>350</v>
      </c>
      <c r="AS291" s="5">
        <f t="shared" si="479"/>
        <v>2.8571428571428572</v>
      </c>
      <c r="AT291" s="5">
        <f t="shared" si="508"/>
        <v>1.0187308280404592</v>
      </c>
      <c r="AU291" s="5">
        <f t="shared" si="440"/>
        <v>1.838412029102398</v>
      </c>
      <c r="AV291" s="5"/>
      <c r="AW291" s="177">
        <f t="shared" si="441"/>
        <v>0.3565557898141607</v>
      </c>
      <c r="AX291" s="177"/>
      <c r="BA291" s="469">
        <f t="shared" si="509"/>
        <v>17.856916306602201</v>
      </c>
      <c r="BB291" s="469">
        <f t="shared" si="510"/>
        <v>12.810887188416427</v>
      </c>
      <c r="BC291" s="5">
        <f t="shared" si="442"/>
        <v>1.0388942976958861</v>
      </c>
      <c r="BD291" s="469">
        <f t="shared" si="511"/>
        <v>0</v>
      </c>
      <c r="BQ291" s="538">
        <f t="shared" si="512"/>
        <v>0.28350000000000003</v>
      </c>
      <c r="CG291" s="571">
        <f t="shared" si="513"/>
        <v>-50</v>
      </c>
      <c r="CH291">
        <f t="shared" si="514"/>
        <v>-50</v>
      </c>
    </row>
    <row r="292" spans="5:86" x14ac:dyDescent="0.2">
      <c r="E292" s="174">
        <v>76</v>
      </c>
      <c r="F292" s="221">
        <f t="shared" si="515"/>
        <v>0.31919999999999998</v>
      </c>
      <c r="G292" s="221"/>
      <c r="H292" s="221">
        <f t="shared" si="481"/>
        <v>4.9475999999999996</v>
      </c>
      <c r="I292" s="551">
        <f t="shared" si="482"/>
        <v>16</v>
      </c>
      <c r="J292" s="451">
        <f t="shared" si="483"/>
        <v>16.399999999999999</v>
      </c>
      <c r="K292" s="451">
        <f t="shared" si="484"/>
        <v>32.4</v>
      </c>
      <c r="L292" s="451"/>
      <c r="M292" s="221">
        <f t="shared" si="485"/>
        <v>0.50617283950617287</v>
      </c>
      <c r="N292" s="176">
        <f t="shared" si="486"/>
        <v>15.136592592592594</v>
      </c>
      <c r="O292" s="176">
        <f t="shared" si="478"/>
        <v>4.9475999999999996</v>
      </c>
      <c r="P292" s="221">
        <f t="shared" si="487"/>
        <v>0.97655436081242541</v>
      </c>
      <c r="Q292" s="221">
        <f t="shared" si="488"/>
        <v>15.5</v>
      </c>
      <c r="R292" s="221"/>
      <c r="S292" s="176">
        <f t="shared" si="489"/>
        <v>76.666849325825638</v>
      </c>
      <c r="T292" s="176">
        <f t="shared" si="490"/>
        <v>15.5</v>
      </c>
      <c r="U292" s="221">
        <f t="shared" si="491"/>
        <v>1.3575731707317071</v>
      </c>
      <c r="V292" s="221">
        <f t="shared" si="492"/>
        <v>0.76363490853658533</v>
      </c>
      <c r="W292" s="221">
        <f t="shared" si="493"/>
        <v>0.74500966686496128</v>
      </c>
      <c r="X292" s="201">
        <f t="shared" si="494"/>
        <v>350</v>
      </c>
      <c r="Y292" s="451">
        <f t="shared" si="480"/>
        <v>350</v>
      </c>
      <c r="AA292" s="221">
        <f t="shared" si="495"/>
        <v>2.5710366451107194</v>
      </c>
      <c r="AB292" s="177">
        <f t="shared" si="496"/>
        <v>1.4109347442680777</v>
      </c>
      <c r="AC292" s="177">
        <f t="shared" si="497"/>
        <v>0.63482386299030114</v>
      </c>
      <c r="AD292" s="177"/>
      <c r="AE292" s="177">
        <f t="shared" si="498"/>
        <v>0.45</v>
      </c>
      <c r="AF292" s="555">
        <f t="shared" si="499"/>
        <v>1730.0813008130081</v>
      </c>
      <c r="AG292" s="538">
        <f t="shared" si="500"/>
        <v>6.4574999999999994E-2</v>
      </c>
      <c r="AI292" s="177">
        <f t="shared" si="501"/>
        <v>1.8231108944146357</v>
      </c>
      <c r="AJ292" s="177">
        <f t="shared" si="502"/>
        <v>1.8231108944146357</v>
      </c>
      <c r="AK292" s="177">
        <f t="shared" si="503"/>
        <v>1.8687405962764239</v>
      </c>
      <c r="AM292" s="555">
        <f t="shared" si="504"/>
        <v>319.2</v>
      </c>
      <c r="AN292" s="469">
        <f t="shared" si="505"/>
        <v>350</v>
      </c>
      <c r="AP292">
        <f t="shared" si="506"/>
        <v>319.2</v>
      </c>
      <c r="AQ292">
        <f t="shared" si="507"/>
        <v>350</v>
      </c>
      <c r="AS292" s="5">
        <f t="shared" si="479"/>
        <v>2.8571428571428572</v>
      </c>
      <c r="AT292" s="5">
        <f t="shared" si="508"/>
        <v>1.0254998781082325</v>
      </c>
      <c r="AU292" s="5">
        <f t="shared" si="440"/>
        <v>1.8316429790346247</v>
      </c>
      <c r="AV292" s="5"/>
      <c r="AW292" s="177">
        <f t="shared" si="441"/>
        <v>0.35892495733788138</v>
      </c>
      <c r="AX292" s="177"/>
      <c r="BA292" s="469">
        <f t="shared" si="509"/>
        <v>17.856916306602201</v>
      </c>
      <c r="BB292" s="469">
        <f t="shared" si="510"/>
        <v>13.146276337829915</v>
      </c>
      <c r="BC292" s="5">
        <f t="shared" si="442"/>
        <v>1.0488700003555216</v>
      </c>
      <c r="BD292" s="469">
        <f t="shared" si="511"/>
        <v>0</v>
      </c>
      <c r="BQ292" s="538">
        <f t="shared" si="512"/>
        <v>0.28727999999999998</v>
      </c>
      <c r="CG292" s="571">
        <f t="shared" si="513"/>
        <v>-50</v>
      </c>
      <c r="CH292">
        <f t="shared" si="514"/>
        <v>-50</v>
      </c>
    </row>
    <row r="293" spans="5:86" x14ac:dyDescent="0.2">
      <c r="E293" s="174">
        <v>77</v>
      </c>
      <c r="F293" s="221">
        <f t="shared" si="515"/>
        <v>0.32340000000000002</v>
      </c>
      <c r="G293" s="221"/>
      <c r="H293" s="221">
        <f t="shared" si="481"/>
        <v>5.0127000000000006</v>
      </c>
      <c r="I293" s="551">
        <f t="shared" si="482"/>
        <v>16</v>
      </c>
      <c r="J293" s="451">
        <f t="shared" si="483"/>
        <v>16.399999999999999</v>
      </c>
      <c r="K293" s="451">
        <f t="shared" si="484"/>
        <v>32.4</v>
      </c>
      <c r="L293" s="451"/>
      <c r="M293" s="221">
        <f t="shared" si="485"/>
        <v>0.50617283950617287</v>
      </c>
      <c r="N293" s="176">
        <f t="shared" si="486"/>
        <v>15.136592592592594</v>
      </c>
      <c r="O293" s="176">
        <f t="shared" si="478"/>
        <v>5.0127000000000006</v>
      </c>
      <c r="P293" s="221">
        <f t="shared" si="487"/>
        <v>0.97655436081242541</v>
      </c>
      <c r="Q293" s="221">
        <f t="shared" si="488"/>
        <v>15.5</v>
      </c>
      <c r="R293" s="221"/>
      <c r="S293" s="176">
        <f t="shared" si="489"/>
        <v>75.468707330225669</v>
      </c>
      <c r="T293" s="176">
        <f t="shared" si="490"/>
        <v>15.5</v>
      </c>
      <c r="U293" s="221">
        <f t="shared" si="491"/>
        <v>1.3754359756097561</v>
      </c>
      <c r="V293" s="221">
        <f t="shared" si="492"/>
        <v>0.77368273628048778</v>
      </c>
      <c r="W293" s="221">
        <f t="shared" si="493"/>
        <v>0.75481242563950035</v>
      </c>
      <c r="X293" s="201">
        <f t="shared" si="494"/>
        <v>350</v>
      </c>
      <c r="Y293" s="451">
        <f t="shared" si="480"/>
        <v>350</v>
      </c>
      <c r="AA293" s="221">
        <f t="shared" si="495"/>
        <v>2.5710366451107194</v>
      </c>
      <c r="AB293" s="177">
        <f t="shared" si="496"/>
        <v>1.4109347442680777</v>
      </c>
      <c r="AC293" s="177">
        <f t="shared" si="497"/>
        <v>0.63482386299030114</v>
      </c>
      <c r="AD293" s="177"/>
      <c r="AE293" s="177">
        <f t="shared" si="498"/>
        <v>0.45</v>
      </c>
      <c r="AF293" s="555">
        <f t="shared" si="499"/>
        <v>1752.8455284552847</v>
      </c>
      <c r="AG293" s="538">
        <f t="shared" si="500"/>
        <v>6.4574999999999994E-2</v>
      </c>
      <c r="AI293" s="177">
        <f t="shared" si="501"/>
        <v>1.8350658480465125</v>
      </c>
      <c r="AJ293" s="177">
        <f t="shared" si="502"/>
        <v>1.8350658480465125</v>
      </c>
      <c r="AK293" s="177">
        <f t="shared" si="503"/>
        <v>1.8767105653643417</v>
      </c>
      <c r="AM293" s="555">
        <f t="shared" si="504"/>
        <v>323.40000000000003</v>
      </c>
      <c r="AN293" s="469">
        <f t="shared" si="505"/>
        <v>350</v>
      </c>
      <c r="AP293">
        <f t="shared" si="506"/>
        <v>323.40000000000003</v>
      </c>
      <c r="AQ293">
        <f t="shared" si="507"/>
        <v>350</v>
      </c>
      <c r="AS293" s="5">
        <f t="shared" si="479"/>
        <v>2.8571428571428572</v>
      </c>
      <c r="AT293" s="5">
        <f t="shared" si="508"/>
        <v>1.0322245395261633</v>
      </c>
      <c r="AU293" s="5">
        <f t="shared" si="440"/>
        <v>1.8249183176166939</v>
      </c>
      <c r="AV293" s="5"/>
      <c r="AW293" s="177">
        <f t="shared" si="441"/>
        <v>0.36127858883415714</v>
      </c>
      <c r="AX293" s="177"/>
      <c r="BA293" s="469">
        <f t="shared" si="509"/>
        <v>17.856916306602201</v>
      </c>
      <c r="BB293" s="469">
        <f t="shared" si="510"/>
        <v>13.485996469354843</v>
      </c>
      <c r="BC293" s="5">
        <f t="shared" si="442"/>
        <v>1.0587694503144909</v>
      </c>
      <c r="BD293" s="469">
        <f t="shared" si="511"/>
        <v>0</v>
      </c>
      <c r="BQ293" s="538">
        <f t="shared" si="512"/>
        <v>0.29106000000000004</v>
      </c>
      <c r="CG293" s="571">
        <f t="shared" si="513"/>
        <v>-50</v>
      </c>
      <c r="CH293">
        <f t="shared" si="514"/>
        <v>-50</v>
      </c>
    </row>
    <row r="294" spans="5:86" x14ac:dyDescent="0.2">
      <c r="E294" s="174">
        <v>78</v>
      </c>
      <c r="F294" s="221">
        <f t="shared" si="515"/>
        <v>0.3276</v>
      </c>
      <c r="G294" s="221"/>
      <c r="H294" s="221">
        <f t="shared" si="481"/>
        <v>5.0777999999999999</v>
      </c>
      <c r="I294" s="551">
        <f t="shared" si="482"/>
        <v>16</v>
      </c>
      <c r="J294" s="451">
        <f t="shared" si="483"/>
        <v>16.399999999999999</v>
      </c>
      <c r="K294" s="451">
        <f t="shared" si="484"/>
        <v>32.4</v>
      </c>
      <c r="L294" s="451"/>
      <c r="M294" s="221">
        <f t="shared" si="485"/>
        <v>0.50617283950617287</v>
      </c>
      <c r="N294" s="176">
        <f t="shared" si="486"/>
        <v>15.136592592592594</v>
      </c>
      <c r="O294" s="176">
        <f t="shared" si="478"/>
        <v>5.0777999999999999</v>
      </c>
      <c r="P294" s="221">
        <f t="shared" si="487"/>
        <v>0.97655436081242541</v>
      </c>
      <c r="Q294" s="221">
        <f t="shared" si="488"/>
        <v>15.5</v>
      </c>
      <c r="R294" s="221"/>
      <c r="S294" s="176">
        <f t="shared" si="489"/>
        <v>74.301375967890209</v>
      </c>
      <c r="T294" s="176">
        <f t="shared" si="490"/>
        <v>15.5</v>
      </c>
      <c r="U294" s="221">
        <f t="shared" si="491"/>
        <v>1.3932987804878048</v>
      </c>
      <c r="V294" s="221">
        <f t="shared" si="492"/>
        <v>0.78373056402439023</v>
      </c>
      <c r="W294" s="221">
        <f t="shared" si="493"/>
        <v>0.76461518441403931</v>
      </c>
      <c r="X294" s="201">
        <f t="shared" si="494"/>
        <v>350</v>
      </c>
      <c r="Y294" s="451">
        <f t="shared" si="480"/>
        <v>350</v>
      </c>
      <c r="AA294" s="221">
        <f t="shared" si="495"/>
        <v>2.5710366451107194</v>
      </c>
      <c r="AB294" s="177">
        <f t="shared" si="496"/>
        <v>1.4109347442680777</v>
      </c>
      <c r="AC294" s="177">
        <f t="shared" si="497"/>
        <v>0.63482386299030114</v>
      </c>
      <c r="AD294" s="177"/>
      <c r="AE294" s="177">
        <f t="shared" si="498"/>
        <v>0.45</v>
      </c>
      <c r="AF294" s="555">
        <f t="shared" si="499"/>
        <v>1775.6097560975609</v>
      </c>
      <c r="AG294" s="538">
        <f t="shared" si="500"/>
        <v>6.4574999999999994E-2</v>
      </c>
      <c r="AI294" s="177">
        <f t="shared" si="501"/>
        <v>1.8469434208984312</v>
      </c>
      <c r="AJ294" s="177">
        <f t="shared" si="502"/>
        <v>1.8469434208984312</v>
      </c>
      <c r="AK294" s="177">
        <f t="shared" si="503"/>
        <v>1.884628947265621</v>
      </c>
      <c r="AM294" s="555">
        <f t="shared" si="504"/>
        <v>327.60000000000002</v>
      </c>
      <c r="AN294" s="469">
        <f t="shared" si="505"/>
        <v>350</v>
      </c>
      <c r="AP294">
        <f t="shared" si="506"/>
        <v>327.60000000000002</v>
      </c>
      <c r="AQ294">
        <f t="shared" si="507"/>
        <v>350</v>
      </c>
      <c r="AS294" s="5">
        <f t="shared" si="479"/>
        <v>2.8571428571428572</v>
      </c>
      <c r="AT294" s="5">
        <f t="shared" si="508"/>
        <v>1.0389056742553677</v>
      </c>
      <c r="AU294" s="5">
        <f t="shared" si="440"/>
        <v>1.8182371828874895</v>
      </c>
      <c r="AV294" s="5"/>
      <c r="AW294" s="177">
        <f t="shared" si="441"/>
        <v>0.36361698598937869</v>
      </c>
      <c r="AX294" s="177"/>
      <c r="BA294" s="469">
        <f t="shared" si="509"/>
        <v>17.856916306602201</v>
      </c>
      <c r="BB294" s="469">
        <f t="shared" si="510"/>
        <v>13.830047582991206</v>
      </c>
      <c r="BC294" s="5">
        <f t="shared" si="442"/>
        <v>1.0685931443595014</v>
      </c>
      <c r="BD294" s="469">
        <f t="shared" si="511"/>
        <v>0</v>
      </c>
      <c r="BQ294" s="538">
        <f t="shared" si="512"/>
        <v>0.29483999999999999</v>
      </c>
      <c r="CG294" s="571">
        <f t="shared" si="513"/>
        <v>-50</v>
      </c>
      <c r="CH294">
        <f t="shared" si="514"/>
        <v>-50</v>
      </c>
    </row>
    <row r="295" spans="5:86" x14ac:dyDescent="0.2">
      <c r="E295" s="174">
        <v>79</v>
      </c>
      <c r="F295" s="221">
        <f t="shared" si="515"/>
        <v>0.33179999999999998</v>
      </c>
      <c r="G295" s="221"/>
      <c r="H295" s="221">
        <f t="shared" si="481"/>
        <v>5.1429</v>
      </c>
      <c r="I295" s="551">
        <f t="shared" si="482"/>
        <v>16</v>
      </c>
      <c r="J295" s="451">
        <f t="shared" si="483"/>
        <v>16.399999999999999</v>
      </c>
      <c r="K295" s="451">
        <f t="shared" si="484"/>
        <v>32.4</v>
      </c>
      <c r="L295" s="451"/>
      <c r="M295" s="221">
        <f t="shared" si="485"/>
        <v>0.50617283950617287</v>
      </c>
      <c r="N295" s="176">
        <f t="shared" si="486"/>
        <v>15.136592592592594</v>
      </c>
      <c r="O295" s="176">
        <f t="shared" si="478"/>
        <v>5.1429</v>
      </c>
      <c r="P295" s="221">
        <f t="shared" si="487"/>
        <v>0.97655436081242541</v>
      </c>
      <c r="Q295" s="221">
        <f t="shared" si="488"/>
        <v>15.5</v>
      </c>
      <c r="R295" s="221"/>
      <c r="S295" s="176">
        <f t="shared" si="489"/>
        <v>73.163685856174709</v>
      </c>
      <c r="T295" s="176">
        <f t="shared" si="490"/>
        <v>15.5</v>
      </c>
      <c r="U295" s="221">
        <f t="shared" si="491"/>
        <v>1.4111615853658535</v>
      </c>
      <c r="V295" s="221">
        <f t="shared" si="492"/>
        <v>0.79377839176829257</v>
      </c>
      <c r="W295" s="221">
        <f t="shared" si="493"/>
        <v>0.77441794318857815</v>
      </c>
      <c r="X295" s="201">
        <f t="shared" si="494"/>
        <v>350</v>
      </c>
      <c r="Y295" s="451">
        <f t="shared" si="480"/>
        <v>350</v>
      </c>
      <c r="AA295" s="221">
        <f t="shared" si="495"/>
        <v>2.5710366451107194</v>
      </c>
      <c r="AB295" s="177">
        <f t="shared" si="496"/>
        <v>1.4109347442680777</v>
      </c>
      <c r="AC295" s="177">
        <f t="shared" si="497"/>
        <v>0.63482386299030114</v>
      </c>
      <c r="AD295" s="177"/>
      <c r="AE295" s="177">
        <f t="shared" si="498"/>
        <v>0.45</v>
      </c>
      <c r="AF295" s="555">
        <f t="shared" si="499"/>
        <v>1798.3739837398373</v>
      </c>
      <c r="AG295" s="538">
        <f t="shared" si="500"/>
        <v>6.4574999999999994E-2</v>
      </c>
      <c r="AI295" s="177">
        <f t="shared" si="501"/>
        <v>1.8587450963844754</v>
      </c>
      <c r="AJ295" s="177">
        <f t="shared" si="502"/>
        <v>1.8587450963844754</v>
      </c>
      <c r="AK295" s="177">
        <f t="shared" si="503"/>
        <v>1.8924967309229836</v>
      </c>
      <c r="AM295" s="555">
        <f t="shared" si="504"/>
        <v>331.8</v>
      </c>
      <c r="AN295" s="469">
        <f t="shared" si="505"/>
        <v>350</v>
      </c>
      <c r="AP295">
        <f t="shared" si="506"/>
        <v>331.8</v>
      </c>
      <c r="AQ295">
        <f t="shared" si="507"/>
        <v>350</v>
      </c>
      <c r="AS295" s="5">
        <f t="shared" si="479"/>
        <v>2.8571428571428572</v>
      </c>
      <c r="AT295" s="5">
        <f t="shared" si="508"/>
        <v>1.0455441167162676</v>
      </c>
      <c r="AU295" s="5">
        <f t="shared" si="440"/>
        <v>1.8115987404265896</v>
      </c>
      <c r="AV295" s="5"/>
      <c r="AW295" s="177">
        <f t="shared" si="441"/>
        <v>0.36594044085069366</v>
      </c>
      <c r="AX295" s="177"/>
      <c r="BA295" s="469">
        <f t="shared" si="509"/>
        <v>17.856916306602201</v>
      </c>
      <c r="BB295" s="469">
        <f t="shared" si="510"/>
        <v>14.178429678739006</v>
      </c>
      <c r="BC295" s="5">
        <f t="shared" si="442"/>
        <v>1.0783415696921188</v>
      </c>
      <c r="BD295" s="469">
        <f t="shared" si="511"/>
        <v>0</v>
      </c>
      <c r="BQ295" s="538">
        <f t="shared" si="512"/>
        <v>0.29862</v>
      </c>
      <c r="CG295" s="571">
        <f t="shared" si="513"/>
        <v>-50</v>
      </c>
      <c r="CH295">
        <f t="shared" si="514"/>
        <v>-50</v>
      </c>
    </row>
    <row r="296" spans="5:86" x14ac:dyDescent="0.2">
      <c r="E296" s="174">
        <v>80</v>
      </c>
      <c r="F296" s="221">
        <f t="shared" si="515"/>
        <v>0.33600000000000002</v>
      </c>
      <c r="G296" s="221"/>
      <c r="H296" s="221">
        <f t="shared" si="481"/>
        <v>5.2080000000000002</v>
      </c>
      <c r="I296" s="551">
        <f t="shared" si="482"/>
        <v>16</v>
      </c>
      <c r="J296" s="451">
        <f t="shared" si="483"/>
        <v>16.399999999999999</v>
      </c>
      <c r="K296" s="451">
        <f t="shared" si="484"/>
        <v>32.4</v>
      </c>
      <c r="L296" s="451"/>
      <c r="M296" s="221">
        <f t="shared" si="485"/>
        <v>0.50617283950617287</v>
      </c>
      <c r="N296" s="176">
        <f t="shared" si="486"/>
        <v>15.136592592592594</v>
      </c>
      <c r="O296" s="176">
        <f t="shared" si="478"/>
        <v>5.2080000000000002</v>
      </c>
      <c r="P296" s="221">
        <f t="shared" si="487"/>
        <v>0.97655436081242541</v>
      </c>
      <c r="Q296" s="221">
        <f t="shared" si="488"/>
        <v>15.5</v>
      </c>
      <c r="R296" s="221"/>
      <c r="S296" s="176">
        <f t="shared" si="489"/>
        <v>72.054526087112777</v>
      </c>
      <c r="T296" s="176">
        <f t="shared" si="490"/>
        <v>15.5</v>
      </c>
      <c r="U296" s="221">
        <f t="shared" si="491"/>
        <v>1.4290243902439024</v>
      </c>
      <c r="V296" s="221">
        <f t="shared" si="492"/>
        <v>0.80382621951219502</v>
      </c>
      <c r="W296" s="221">
        <f t="shared" si="493"/>
        <v>0.78422070196311722</v>
      </c>
      <c r="X296" s="201">
        <f t="shared" si="494"/>
        <v>350</v>
      </c>
      <c r="Y296" s="451">
        <f t="shared" si="480"/>
        <v>350</v>
      </c>
      <c r="AA296" s="221">
        <f t="shared" si="495"/>
        <v>2.5710366451107194</v>
      </c>
      <c r="AB296" s="177">
        <f t="shared" si="496"/>
        <v>1.4109347442680777</v>
      </c>
      <c r="AC296" s="177">
        <f t="shared" si="497"/>
        <v>0.63482386299030114</v>
      </c>
      <c r="AD296" s="177"/>
      <c r="AE296" s="177">
        <f t="shared" si="498"/>
        <v>0.45</v>
      </c>
      <c r="AF296" s="555">
        <f t="shared" si="499"/>
        <v>1821.1382113821142</v>
      </c>
      <c r="AG296" s="538">
        <f t="shared" si="500"/>
        <v>6.4574999999999994E-2</v>
      </c>
      <c r="AI296" s="177">
        <f t="shared" si="501"/>
        <v>1.8704723111200192</v>
      </c>
      <c r="AJ296" s="177">
        <f t="shared" si="502"/>
        <v>1.8704723111200192</v>
      </c>
      <c r="AK296" s="177">
        <f t="shared" si="503"/>
        <v>1.9003148740800129</v>
      </c>
      <c r="AM296" s="555">
        <f t="shared" si="504"/>
        <v>336</v>
      </c>
      <c r="AN296" s="469">
        <f t="shared" si="505"/>
        <v>350</v>
      </c>
      <c r="AP296">
        <f t="shared" si="506"/>
        <v>336</v>
      </c>
      <c r="AQ296">
        <f t="shared" si="507"/>
        <v>350</v>
      </c>
      <c r="AS296" s="5">
        <f t="shared" si="479"/>
        <v>2.8571428571428572</v>
      </c>
      <c r="AT296" s="5">
        <f t="shared" si="508"/>
        <v>1.0521406750050109</v>
      </c>
      <c r="AU296" s="5">
        <f t="shared" si="440"/>
        <v>1.8050021821378464</v>
      </c>
      <c r="AV296" s="5"/>
      <c r="AW296" s="177">
        <f t="shared" si="441"/>
        <v>0.36824923625175376</v>
      </c>
      <c r="AX296" s="177"/>
      <c r="BA296" s="469">
        <f t="shared" si="509"/>
        <v>17.856916306602201</v>
      </c>
      <c r="BB296" s="469">
        <f t="shared" si="510"/>
        <v>14.531142756598246</v>
      </c>
      <c r="BC296" s="5">
        <f t="shared" si="442"/>
        <v>1.0880152042330906</v>
      </c>
      <c r="BD296" s="469">
        <f t="shared" si="511"/>
        <v>0</v>
      </c>
      <c r="BQ296" s="538">
        <f t="shared" si="512"/>
        <v>0.3024</v>
      </c>
      <c r="CG296" s="571">
        <f t="shared" si="513"/>
        <v>-50</v>
      </c>
      <c r="CH296">
        <f t="shared" si="514"/>
        <v>-50</v>
      </c>
    </row>
    <row r="297" spans="5:86" x14ac:dyDescent="0.2">
      <c r="E297" s="174">
        <v>81</v>
      </c>
      <c r="F297" s="221">
        <f t="shared" si="515"/>
        <v>0.3402</v>
      </c>
      <c r="G297" s="221"/>
      <c r="H297" s="221">
        <f t="shared" si="481"/>
        <v>5.2731000000000003</v>
      </c>
      <c r="I297" s="551">
        <f t="shared" si="482"/>
        <v>16</v>
      </c>
      <c r="J297" s="451">
        <f t="shared" si="483"/>
        <v>16.399999999999999</v>
      </c>
      <c r="K297" s="451">
        <f t="shared" si="484"/>
        <v>32.4</v>
      </c>
      <c r="L297" s="451"/>
      <c r="M297" s="221">
        <f t="shared" si="485"/>
        <v>0.50617283950617287</v>
      </c>
      <c r="N297" s="176">
        <f t="shared" si="486"/>
        <v>15.136592592592594</v>
      </c>
      <c r="O297" s="176">
        <f t="shared" si="478"/>
        <v>5.2731000000000003</v>
      </c>
      <c r="P297" s="221">
        <f t="shared" si="487"/>
        <v>0.97655436081242541</v>
      </c>
      <c r="Q297" s="221">
        <f t="shared" si="488"/>
        <v>15.5</v>
      </c>
      <c r="R297" s="221"/>
      <c r="S297" s="176">
        <f t="shared" si="489"/>
        <v>70.972840617919871</v>
      </c>
      <c r="T297" s="176">
        <f t="shared" si="490"/>
        <v>15.5</v>
      </c>
      <c r="U297" s="221">
        <f t="shared" si="491"/>
        <v>1.4468871951219511</v>
      </c>
      <c r="V297" s="221">
        <f t="shared" si="492"/>
        <v>0.81387404725609747</v>
      </c>
      <c r="W297" s="221">
        <f t="shared" si="493"/>
        <v>0.79402346073765617</v>
      </c>
      <c r="X297" s="201">
        <f t="shared" si="494"/>
        <v>350</v>
      </c>
      <c r="Y297" s="451">
        <f t="shared" si="480"/>
        <v>350</v>
      </c>
      <c r="AA297" s="221">
        <f t="shared" si="495"/>
        <v>2.5710366451107194</v>
      </c>
      <c r="AB297" s="177">
        <f t="shared" si="496"/>
        <v>1.4109347442680777</v>
      </c>
      <c r="AC297" s="177">
        <f t="shared" si="497"/>
        <v>0.63482386299030114</v>
      </c>
      <c r="AD297" s="177"/>
      <c r="AE297" s="177">
        <f t="shared" si="498"/>
        <v>0.45</v>
      </c>
      <c r="AF297" s="555">
        <f t="shared" si="499"/>
        <v>1843.9024390243903</v>
      </c>
      <c r="AG297" s="538">
        <f t="shared" si="500"/>
        <v>6.4574999999999994E-2</v>
      </c>
      <c r="AI297" s="177">
        <f t="shared" si="501"/>
        <v>1.8821264569629745</v>
      </c>
      <c r="AJ297" s="177">
        <f t="shared" si="502"/>
        <v>1.8821264569629745</v>
      </c>
      <c r="AK297" s="177">
        <f t="shared" si="503"/>
        <v>1.9080843046419831</v>
      </c>
      <c r="AM297" s="555">
        <f t="shared" si="504"/>
        <v>340.2</v>
      </c>
      <c r="AN297" s="469">
        <f t="shared" si="505"/>
        <v>350</v>
      </c>
      <c r="AP297">
        <f t="shared" si="506"/>
        <v>340.2</v>
      </c>
      <c r="AQ297">
        <f t="shared" si="507"/>
        <v>350</v>
      </c>
      <c r="AS297" s="5">
        <f t="shared" si="479"/>
        <v>2.8571428571428572</v>
      </c>
      <c r="AT297" s="5">
        <f t="shared" si="508"/>
        <v>1.0586961320416732</v>
      </c>
      <c r="AU297" s="5">
        <f t="shared" si="440"/>
        <v>1.798446725101184</v>
      </c>
      <c r="AV297" s="5"/>
      <c r="AW297" s="177">
        <f t="shared" si="441"/>
        <v>0.37054364621458563</v>
      </c>
      <c r="AX297" s="177"/>
      <c r="BA297" s="469">
        <f t="shared" si="509"/>
        <v>17.856916306602201</v>
      </c>
      <c r="BB297" s="469">
        <f t="shared" si="510"/>
        <v>14.888186816568918</v>
      </c>
      <c r="BC297" s="5">
        <f t="shared" si="442"/>
        <v>1.0976145169133162</v>
      </c>
      <c r="BD297" s="469">
        <f t="shared" si="511"/>
        <v>0</v>
      </c>
      <c r="BQ297" s="538">
        <f t="shared" si="512"/>
        <v>0.30618000000000001</v>
      </c>
      <c r="CG297" s="571">
        <f t="shared" si="513"/>
        <v>-50</v>
      </c>
      <c r="CH297">
        <f t="shared" si="514"/>
        <v>-50</v>
      </c>
    </row>
    <row r="298" spans="5:86" x14ac:dyDescent="0.2">
      <c r="E298" s="174">
        <v>82</v>
      </c>
      <c r="F298" s="221">
        <f t="shared" si="515"/>
        <v>0.34439999999999998</v>
      </c>
      <c r="G298" s="221"/>
      <c r="H298" s="221">
        <f t="shared" si="481"/>
        <v>5.3381999999999996</v>
      </c>
      <c r="I298" s="551">
        <f t="shared" si="482"/>
        <v>16</v>
      </c>
      <c r="J298" s="451">
        <f t="shared" si="483"/>
        <v>16.399999999999999</v>
      </c>
      <c r="K298" s="451">
        <f t="shared" si="484"/>
        <v>32.4</v>
      </c>
      <c r="L298" s="451"/>
      <c r="M298" s="221">
        <f t="shared" si="485"/>
        <v>0.50617283950617287</v>
      </c>
      <c r="N298" s="176">
        <f t="shared" si="486"/>
        <v>15.136592592592594</v>
      </c>
      <c r="O298" s="176">
        <f t="shared" si="478"/>
        <v>5.3381999999999996</v>
      </c>
      <c r="P298" s="221">
        <f t="shared" si="487"/>
        <v>0.97655436081242541</v>
      </c>
      <c r="Q298" s="221">
        <f t="shared" si="488"/>
        <v>15.5</v>
      </c>
      <c r="R298" s="221"/>
      <c r="S298" s="176">
        <f t="shared" si="489"/>
        <v>69.917624925606717</v>
      </c>
      <c r="T298" s="176">
        <f t="shared" si="490"/>
        <v>15.5</v>
      </c>
      <c r="U298" s="221">
        <f t="shared" si="491"/>
        <v>1.4647499999999998</v>
      </c>
      <c r="V298" s="221">
        <f t="shared" si="492"/>
        <v>0.82392187499999991</v>
      </c>
      <c r="W298" s="221">
        <f t="shared" si="493"/>
        <v>0.80382621951219502</v>
      </c>
      <c r="X298" s="201">
        <f t="shared" si="494"/>
        <v>350</v>
      </c>
      <c r="Y298" s="451">
        <f t="shared" si="480"/>
        <v>350</v>
      </c>
      <c r="AA298" s="221">
        <f t="shared" si="495"/>
        <v>2.5710366451107194</v>
      </c>
      <c r="AB298" s="177">
        <f t="shared" si="496"/>
        <v>1.4109347442680777</v>
      </c>
      <c r="AC298" s="177">
        <f t="shared" si="497"/>
        <v>0.63482386299030114</v>
      </c>
      <c r="AD298" s="177"/>
      <c r="AE298" s="177">
        <f t="shared" si="498"/>
        <v>0.45</v>
      </c>
      <c r="AF298" s="555">
        <f t="shared" si="499"/>
        <v>1866.6666666666667</v>
      </c>
      <c r="AG298" s="538">
        <f t="shared" si="500"/>
        <v>6.4574999999999994E-2</v>
      </c>
      <c r="AI298" s="177">
        <f t="shared" si="501"/>
        <v>1.8937088829419724</v>
      </c>
      <c r="AJ298" s="177">
        <f t="shared" si="502"/>
        <v>1.8937088829419724</v>
      </c>
      <c r="AK298" s="177">
        <f t="shared" si="503"/>
        <v>1.9158059219613148</v>
      </c>
      <c r="AM298" s="555">
        <f t="shared" si="504"/>
        <v>344.4</v>
      </c>
      <c r="AN298" s="469">
        <f t="shared" si="505"/>
        <v>350</v>
      </c>
      <c r="AP298">
        <f t="shared" si="506"/>
        <v>344.4</v>
      </c>
      <c r="AQ298">
        <f t="shared" si="507"/>
        <v>350</v>
      </c>
      <c r="AS298" s="5">
        <f t="shared" si="479"/>
        <v>2.8571428571428572</v>
      </c>
      <c r="AT298" s="5">
        <f t="shared" si="508"/>
        <v>1.0652112466548596</v>
      </c>
      <c r="AU298" s="5">
        <f t="shared" ref="AU298:AU316" si="516">AS298-AT298</f>
        <v>1.7919316104879977</v>
      </c>
      <c r="AV298" s="5"/>
      <c r="AW298" s="177">
        <f t="shared" ref="AW298:AW316" si="517">AT298/AS298</f>
        <v>0.37282393632920086</v>
      </c>
      <c r="AX298" s="177"/>
      <c r="BA298" s="469">
        <f t="shared" si="509"/>
        <v>17.856916306602201</v>
      </c>
      <c r="BB298" s="469">
        <f t="shared" si="510"/>
        <v>15.249561858651028</v>
      </c>
      <c r="BC298" s="5">
        <f t="shared" si="442"/>
        <v>1.1071399679522023</v>
      </c>
      <c r="BD298" s="469">
        <f t="shared" si="511"/>
        <v>0</v>
      </c>
      <c r="BQ298" s="538">
        <f t="shared" si="512"/>
        <v>0.30996000000000001</v>
      </c>
      <c r="CG298" s="571">
        <f t="shared" si="513"/>
        <v>-50</v>
      </c>
      <c r="CH298">
        <f t="shared" si="514"/>
        <v>-50</v>
      </c>
    </row>
    <row r="299" spans="5:86" x14ac:dyDescent="0.2">
      <c r="E299" s="174">
        <v>83</v>
      </c>
      <c r="F299" s="221">
        <f t="shared" si="515"/>
        <v>0.34859999999999997</v>
      </c>
      <c r="G299" s="221"/>
      <c r="H299" s="221">
        <f t="shared" si="481"/>
        <v>5.4032999999999998</v>
      </c>
      <c r="I299" s="551">
        <f t="shared" si="482"/>
        <v>16</v>
      </c>
      <c r="J299" s="451">
        <f t="shared" si="483"/>
        <v>16.399999999999999</v>
      </c>
      <c r="K299" s="451">
        <f t="shared" si="484"/>
        <v>32.4</v>
      </c>
      <c r="L299" s="451"/>
      <c r="M299" s="221">
        <f t="shared" si="485"/>
        <v>0.50617283950617287</v>
      </c>
      <c r="N299" s="176">
        <f t="shared" si="486"/>
        <v>15.136592592592594</v>
      </c>
      <c r="O299" s="176">
        <f t="shared" si="478"/>
        <v>5.4032999999999998</v>
      </c>
      <c r="P299" s="221">
        <f t="shared" si="487"/>
        <v>0.97655436081242541</v>
      </c>
      <c r="Q299" s="221">
        <f t="shared" si="488"/>
        <v>15.5</v>
      </c>
      <c r="R299" s="221"/>
      <c r="S299" s="176">
        <f t="shared" si="489"/>
        <v>68.887922903428702</v>
      </c>
      <c r="T299" s="176">
        <f t="shared" si="490"/>
        <v>15.5</v>
      </c>
      <c r="U299" s="221">
        <f t="shared" si="491"/>
        <v>1.4826128048780485</v>
      </c>
      <c r="V299" s="221">
        <f t="shared" si="492"/>
        <v>0.83396970274390236</v>
      </c>
      <c r="W299" s="221">
        <f t="shared" si="493"/>
        <v>0.81362897828673397</v>
      </c>
      <c r="X299" s="201">
        <f t="shared" si="494"/>
        <v>350</v>
      </c>
      <c r="Y299" s="451">
        <f t="shared" si="480"/>
        <v>350</v>
      </c>
      <c r="AA299" s="221">
        <f t="shared" si="495"/>
        <v>2.5710366451107194</v>
      </c>
      <c r="AB299" s="177">
        <f t="shared" si="496"/>
        <v>1.4109347442680777</v>
      </c>
      <c r="AC299" s="177">
        <f t="shared" si="497"/>
        <v>0.63482386299030114</v>
      </c>
      <c r="AD299" s="177"/>
      <c r="AE299" s="177">
        <f t="shared" si="498"/>
        <v>0.45</v>
      </c>
      <c r="AF299" s="555">
        <f t="shared" si="499"/>
        <v>1889.4308943089432</v>
      </c>
      <c r="AG299" s="538">
        <f t="shared" si="500"/>
        <v>6.4574999999999994E-2</v>
      </c>
      <c r="AI299" s="177">
        <f t="shared" si="501"/>
        <v>1.905220897079041</v>
      </c>
      <c r="AJ299" s="177">
        <f t="shared" si="502"/>
        <v>1.905220897079041</v>
      </c>
      <c r="AK299" s="177">
        <f t="shared" si="503"/>
        <v>1.9234805980526939</v>
      </c>
      <c r="AM299" s="555">
        <f t="shared" si="504"/>
        <v>348.59999999999997</v>
      </c>
      <c r="AN299" s="469">
        <f t="shared" si="505"/>
        <v>350</v>
      </c>
      <c r="AP299">
        <f t="shared" si="506"/>
        <v>348.59999999999997</v>
      </c>
      <c r="AQ299">
        <f t="shared" si="507"/>
        <v>350</v>
      </c>
      <c r="AS299" s="5">
        <f t="shared" si="479"/>
        <v>2.8571428571428572</v>
      </c>
      <c r="AT299" s="5">
        <f t="shared" si="508"/>
        <v>1.0716867546069606</v>
      </c>
      <c r="AU299" s="5">
        <f t="shared" si="516"/>
        <v>1.7854561025358966</v>
      </c>
      <c r="AV299" s="5"/>
      <c r="AW299" s="177">
        <f t="shared" si="517"/>
        <v>0.37509036411243618</v>
      </c>
      <c r="AX299" s="177"/>
      <c r="BA299" s="469">
        <f t="shared" si="509"/>
        <v>17.856916306602201</v>
      </c>
      <c r="BB299" s="469">
        <f t="shared" si="510"/>
        <v>15.615267882844575</v>
      </c>
      <c r="BC299" s="5">
        <f t="shared" si="442"/>
        <v>1.1165920091240982</v>
      </c>
      <c r="BD299" s="469">
        <f t="shared" si="511"/>
        <v>0</v>
      </c>
      <c r="BQ299" s="538">
        <f t="shared" si="512"/>
        <v>0.31373999999999996</v>
      </c>
      <c r="CG299" s="571">
        <f t="shared" si="513"/>
        <v>-50</v>
      </c>
      <c r="CH299">
        <f t="shared" si="514"/>
        <v>-50</v>
      </c>
    </row>
    <row r="300" spans="5:86" x14ac:dyDescent="0.2">
      <c r="E300" s="174">
        <v>84</v>
      </c>
      <c r="F300" s="221">
        <f t="shared" si="515"/>
        <v>0.35279999999999995</v>
      </c>
      <c r="G300" s="221"/>
      <c r="H300" s="221">
        <f t="shared" si="481"/>
        <v>5.468399999999999</v>
      </c>
      <c r="I300" s="551">
        <f t="shared" si="482"/>
        <v>16</v>
      </c>
      <c r="J300" s="451">
        <f t="shared" si="483"/>
        <v>16.399999999999999</v>
      </c>
      <c r="K300" s="451">
        <f t="shared" si="484"/>
        <v>32.4</v>
      </c>
      <c r="L300" s="451"/>
      <c r="M300" s="221">
        <f t="shared" si="485"/>
        <v>0.50617283950617287</v>
      </c>
      <c r="N300" s="176">
        <f t="shared" si="486"/>
        <v>15.136592592592594</v>
      </c>
      <c r="O300" s="176">
        <f t="shared" si="478"/>
        <v>5.468399999999999</v>
      </c>
      <c r="P300" s="221">
        <f t="shared" si="487"/>
        <v>0.97655436081242541</v>
      </c>
      <c r="Q300" s="221">
        <f t="shared" si="488"/>
        <v>15.5</v>
      </c>
      <c r="R300" s="221"/>
      <c r="S300" s="176">
        <f t="shared" si="489"/>
        <v>67.882823979017516</v>
      </c>
      <c r="T300" s="176">
        <f t="shared" si="490"/>
        <v>15.5</v>
      </c>
      <c r="U300" s="221">
        <f t="shared" si="491"/>
        <v>1.5004756097560972</v>
      </c>
      <c r="V300" s="221">
        <f t="shared" si="492"/>
        <v>0.84401753048780459</v>
      </c>
      <c r="W300" s="221">
        <f t="shared" si="493"/>
        <v>0.82343173706127282</v>
      </c>
      <c r="X300" s="201">
        <f t="shared" si="494"/>
        <v>350</v>
      </c>
      <c r="Y300" s="451">
        <f t="shared" si="480"/>
        <v>350</v>
      </c>
      <c r="AA300" s="221">
        <f t="shared" si="495"/>
        <v>2.5710366451107194</v>
      </c>
      <c r="AB300" s="177">
        <f t="shared" si="496"/>
        <v>1.4109347442680777</v>
      </c>
      <c r="AC300" s="177">
        <f t="shared" si="497"/>
        <v>0.63482386299030114</v>
      </c>
      <c r="AD300" s="177"/>
      <c r="AE300" s="177">
        <f t="shared" si="498"/>
        <v>0.45</v>
      </c>
      <c r="AF300" s="555">
        <f t="shared" si="499"/>
        <v>1912.1951219512193</v>
      </c>
      <c r="AG300" s="538">
        <f t="shared" si="500"/>
        <v>6.4574999999999994E-2</v>
      </c>
      <c r="AI300" s="177">
        <f t="shared" si="501"/>
        <v>1.9166637681137499</v>
      </c>
      <c r="AJ300" s="177">
        <f t="shared" si="502"/>
        <v>1.9166637681137499</v>
      </c>
      <c r="AK300" s="177">
        <f t="shared" si="503"/>
        <v>1.9311091787424999</v>
      </c>
      <c r="AM300" s="555">
        <f t="shared" si="504"/>
        <v>352.79999999999995</v>
      </c>
      <c r="AN300" s="469">
        <f t="shared" si="505"/>
        <v>350</v>
      </c>
      <c r="AP300">
        <f t="shared" si="506"/>
        <v>352.79999999999995</v>
      </c>
      <c r="AQ300">
        <f t="shared" si="507"/>
        <v>350</v>
      </c>
      <c r="AS300" s="5">
        <f t="shared" si="479"/>
        <v>2.8571428571428572</v>
      </c>
      <c r="AT300" s="5">
        <f t="shared" si="508"/>
        <v>1.0781233695639845</v>
      </c>
      <c r="AU300" s="5">
        <f t="shared" si="516"/>
        <v>1.7790194875788727</v>
      </c>
      <c r="AV300" s="5"/>
      <c r="AW300" s="177">
        <f t="shared" si="517"/>
        <v>0.37734317934739453</v>
      </c>
      <c r="AX300" s="177"/>
      <c r="BA300" s="469">
        <f t="shared" si="509"/>
        <v>17.856916306602201</v>
      </c>
      <c r="BB300" s="469">
        <f t="shared" si="510"/>
        <v>15.985304889149559</v>
      </c>
      <c r="BC300" s="5">
        <f t="shared" si="442"/>
        <v>1.1259710840134611</v>
      </c>
      <c r="BD300" s="469">
        <f t="shared" si="511"/>
        <v>0</v>
      </c>
      <c r="BQ300" s="538">
        <f t="shared" si="512"/>
        <v>0.31751999999999997</v>
      </c>
      <c r="CG300" s="571">
        <f t="shared" si="513"/>
        <v>-50</v>
      </c>
      <c r="CH300">
        <f t="shared" si="514"/>
        <v>-50</v>
      </c>
    </row>
    <row r="301" spans="5:86" x14ac:dyDescent="0.2">
      <c r="E301" s="174">
        <v>85</v>
      </c>
      <c r="F301" s="221">
        <f t="shared" si="515"/>
        <v>0.35699999999999998</v>
      </c>
      <c r="G301" s="221"/>
      <c r="H301" s="221">
        <f t="shared" si="481"/>
        <v>5.5335000000000001</v>
      </c>
      <c r="I301" s="551">
        <f t="shared" si="482"/>
        <v>16</v>
      </c>
      <c r="J301" s="451">
        <f t="shared" si="483"/>
        <v>16.399999999999999</v>
      </c>
      <c r="K301" s="451">
        <f t="shared" si="484"/>
        <v>32.4</v>
      </c>
      <c r="L301" s="451"/>
      <c r="M301" s="221">
        <f t="shared" si="485"/>
        <v>0.50617283950617287</v>
      </c>
      <c r="N301" s="176">
        <f t="shared" si="486"/>
        <v>15.136592592592594</v>
      </c>
      <c r="O301" s="176">
        <f t="shared" si="478"/>
        <v>5.5335000000000001</v>
      </c>
      <c r="P301" s="221">
        <f t="shared" si="487"/>
        <v>0.97655436081242541</v>
      </c>
      <c r="Q301" s="221">
        <f t="shared" si="488"/>
        <v>15.5</v>
      </c>
      <c r="R301" s="221"/>
      <c r="S301" s="176">
        <f t="shared" si="489"/>
        <v>66.901460435939384</v>
      </c>
      <c r="T301" s="176">
        <f t="shared" si="490"/>
        <v>15.5</v>
      </c>
      <c r="U301" s="221">
        <f t="shared" si="491"/>
        <v>1.5183384146341463</v>
      </c>
      <c r="V301" s="221">
        <f t="shared" si="492"/>
        <v>0.85406535823170737</v>
      </c>
      <c r="W301" s="221">
        <f t="shared" si="493"/>
        <v>0.83323449583581211</v>
      </c>
      <c r="X301" s="201">
        <f t="shared" si="494"/>
        <v>350</v>
      </c>
      <c r="Y301" s="451">
        <f t="shared" si="480"/>
        <v>350</v>
      </c>
      <c r="AA301" s="221">
        <f t="shared" si="495"/>
        <v>2.5710366451107194</v>
      </c>
      <c r="AB301" s="177">
        <f t="shared" si="496"/>
        <v>1.4109347442680777</v>
      </c>
      <c r="AC301" s="177">
        <f t="shared" si="497"/>
        <v>0.63482386299030114</v>
      </c>
      <c r="AD301" s="177"/>
      <c r="AE301" s="177">
        <f t="shared" si="498"/>
        <v>0.45</v>
      </c>
      <c r="AF301" s="555">
        <f t="shared" si="499"/>
        <v>1934.959349593496</v>
      </c>
      <c r="AG301" s="538">
        <f t="shared" si="500"/>
        <v>6.4574999999999994E-2</v>
      </c>
      <c r="AI301" s="177">
        <f t="shared" si="501"/>
        <v>1.9280387271352546</v>
      </c>
      <c r="AJ301" s="177">
        <f t="shared" si="502"/>
        <v>1.9280387271352546</v>
      </c>
      <c r="AK301" s="177">
        <f t="shared" si="503"/>
        <v>1.9386924847568365</v>
      </c>
      <c r="AM301" s="555">
        <f t="shared" si="504"/>
        <v>357</v>
      </c>
      <c r="AN301" s="469">
        <f t="shared" si="505"/>
        <v>350</v>
      </c>
      <c r="AP301">
        <f t="shared" si="506"/>
        <v>357</v>
      </c>
      <c r="AQ301">
        <f t="shared" si="507"/>
        <v>350</v>
      </c>
      <c r="AS301" s="5">
        <f t="shared" si="479"/>
        <v>2.8571428571428572</v>
      </c>
      <c r="AT301" s="5">
        <f t="shared" si="508"/>
        <v>1.0845217840135806</v>
      </c>
      <c r="AU301" s="5">
        <f t="shared" si="516"/>
        <v>1.7726210731292766</v>
      </c>
      <c r="AV301" s="5"/>
      <c r="AW301" s="177">
        <f t="shared" si="517"/>
        <v>0.37958262440475321</v>
      </c>
      <c r="AX301" s="177"/>
      <c r="BA301" s="469">
        <f t="shared" si="509"/>
        <v>17.856916306602201</v>
      </c>
      <c r="BB301" s="469">
        <f t="shared" si="510"/>
        <v>16.359672877565984</v>
      </c>
      <c r="BC301" s="5">
        <f t="shared" si="442"/>
        <v>1.1352776282593577</v>
      </c>
      <c r="BD301" s="469">
        <f t="shared" si="511"/>
        <v>0</v>
      </c>
      <c r="BQ301" s="538">
        <f t="shared" si="512"/>
        <v>0.32129999999999997</v>
      </c>
      <c r="CG301" s="571">
        <f t="shared" si="513"/>
        <v>-50</v>
      </c>
      <c r="CH301">
        <f t="shared" si="514"/>
        <v>-50</v>
      </c>
    </row>
    <row r="302" spans="5:86" x14ac:dyDescent="0.2">
      <c r="E302" s="174">
        <v>86</v>
      </c>
      <c r="F302" s="221">
        <f t="shared" si="515"/>
        <v>0.36119999999999997</v>
      </c>
      <c r="G302" s="221"/>
      <c r="H302" s="221">
        <f t="shared" si="481"/>
        <v>5.5985999999999994</v>
      </c>
      <c r="I302" s="551">
        <f t="shared" si="482"/>
        <v>16</v>
      </c>
      <c r="J302" s="451">
        <f t="shared" si="483"/>
        <v>16.399999999999999</v>
      </c>
      <c r="K302" s="451">
        <f t="shared" si="484"/>
        <v>32.4</v>
      </c>
      <c r="L302" s="451"/>
      <c r="M302" s="221">
        <f t="shared" si="485"/>
        <v>0.50617283950617287</v>
      </c>
      <c r="N302" s="176">
        <f t="shared" si="486"/>
        <v>15.136592592592594</v>
      </c>
      <c r="O302" s="176">
        <f t="shared" si="478"/>
        <v>5.5985999999999994</v>
      </c>
      <c r="P302" s="221">
        <f t="shared" si="487"/>
        <v>0.97655436081242541</v>
      </c>
      <c r="Q302" s="221">
        <f t="shared" si="488"/>
        <v>15.5</v>
      </c>
      <c r="R302" s="221"/>
      <c r="S302" s="176">
        <f t="shared" si="489"/>
        <v>65.943004922121901</v>
      </c>
      <c r="T302" s="176">
        <f t="shared" si="490"/>
        <v>15.5</v>
      </c>
      <c r="U302" s="221">
        <f t="shared" si="491"/>
        <v>1.5362012195121948</v>
      </c>
      <c r="V302" s="221">
        <f t="shared" si="492"/>
        <v>0.8641131859756096</v>
      </c>
      <c r="W302" s="221">
        <f t="shared" si="493"/>
        <v>0.84303725461035084</v>
      </c>
      <c r="X302" s="201">
        <f t="shared" si="494"/>
        <v>350</v>
      </c>
      <c r="Y302" s="451">
        <f t="shared" si="480"/>
        <v>350</v>
      </c>
      <c r="AA302" s="221">
        <f t="shared" si="495"/>
        <v>2.5710366451107194</v>
      </c>
      <c r="AB302" s="177">
        <f t="shared" si="496"/>
        <v>1.4109347442680777</v>
      </c>
      <c r="AC302" s="177">
        <f t="shared" si="497"/>
        <v>0.63482386299030114</v>
      </c>
      <c r="AD302" s="177"/>
      <c r="AE302" s="177">
        <f t="shared" si="498"/>
        <v>0.45</v>
      </c>
      <c r="AF302" s="555">
        <f t="shared" si="499"/>
        <v>1957.7235772357724</v>
      </c>
      <c r="AG302" s="538">
        <f t="shared" si="500"/>
        <v>6.4574999999999994E-2</v>
      </c>
      <c r="AI302" s="177">
        <f t="shared" si="501"/>
        <v>1.9393469691281819</v>
      </c>
      <c r="AJ302" s="177">
        <f t="shared" si="502"/>
        <v>1.9393469691281819</v>
      </c>
      <c r="AK302" s="177">
        <f t="shared" si="503"/>
        <v>1.9462313127521214</v>
      </c>
      <c r="AM302" s="555">
        <f t="shared" si="504"/>
        <v>361.2</v>
      </c>
      <c r="AN302" s="469">
        <f t="shared" si="505"/>
        <v>350</v>
      </c>
      <c r="AP302">
        <f t="shared" si="506"/>
        <v>361.2</v>
      </c>
      <c r="AQ302">
        <f t="shared" si="507"/>
        <v>350</v>
      </c>
      <c r="AS302" s="5">
        <f t="shared" si="479"/>
        <v>2.8571428571428572</v>
      </c>
      <c r="AT302" s="5">
        <f t="shared" si="508"/>
        <v>1.0908826701346024</v>
      </c>
      <c r="AU302" s="5">
        <f t="shared" si="516"/>
        <v>1.7662601870082548</v>
      </c>
      <c r="AV302" s="5"/>
      <c r="AW302" s="177">
        <f t="shared" si="517"/>
        <v>0.38180893454711085</v>
      </c>
      <c r="AX302" s="177"/>
      <c r="BA302" s="469">
        <f t="shared" si="509"/>
        <v>17.856916306602201</v>
      </c>
      <c r="BB302" s="469">
        <f t="shared" si="510"/>
        <v>16.738371848093841</v>
      </c>
      <c r="BC302" s="5">
        <f t="shared" si="442"/>
        <v>1.1445120697898625</v>
      </c>
      <c r="BD302" s="469">
        <f t="shared" si="511"/>
        <v>0</v>
      </c>
      <c r="BQ302" s="538">
        <f t="shared" si="512"/>
        <v>0.32507999999999998</v>
      </c>
      <c r="CG302" s="571">
        <f t="shared" si="513"/>
        <v>-50</v>
      </c>
      <c r="CH302">
        <f t="shared" si="514"/>
        <v>-50</v>
      </c>
    </row>
    <row r="303" spans="5:86" x14ac:dyDescent="0.2">
      <c r="E303" s="174">
        <v>87</v>
      </c>
      <c r="F303" s="221">
        <f t="shared" si="515"/>
        <v>0.3654</v>
      </c>
      <c r="G303" s="221"/>
      <c r="H303" s="221">
        <f t="shared" si="481"/>
        <v>5.6637000000000004</v>
      </c>
      <c r="I303" s="551">
        <f t="shared" si="482"/>
        <v>16</v>
      </c>
      <c r="J303" s="451">
        <f t="shared" si="483"/>
        <v>16.399999999999999</v>
      </c>
      <c r="K303" s="451">
        <f t="shared" si="484"/>
        <v>32.4</v>
      </c>
      <c r="L303" s="451"/>
      <c r="M303" s="221">
        <f t="shared" si="485"/>
        <v>0.50617283950617287</v>
      </c>
      <c r="N303" s="176">
        <f t="shared" si="486"/>
        <v>15.136592592592594</v>
      </c>
      <c r="O303" s="176">
        <f t="shared" si="478"/>
        <v>5.6637000000000004</v>
      </c>
      <c r="P303" s="221">
        <f t="shared" si="487"/>
        <v>0.97655436081242541</v>
      </c>
      <c r="Q303" s="221">
        <f t="shared" si="488"/>
        <v>15.5</v>
      </c>
      <c r="R303" s="221"/>
      <c r="S303" s="176">
        <f t="shared" si="489"/>
        <v>65.006668130113653</v>
      </c>
      <c r="T303" s="176">
        <f t="shared" si="490"/>
        <v>15.5</v>
      </c>
      <c r="U303" s="221">
        <f t="shared" si="491"/>
        <v>1.5540640243902439</v>
      </c>
      <c r="V303" s="221">
        <f t="shared" si="492"/>
        <v>0.87416101371951216</v>
      </c>
      <c r="W303" s="221">
        <f t="shared" si="493"/>
        <v>0.85284001338489013</v>
      </c>
      <c r="X303" s="201">
        <f t="shared" si="494"/>
        <v>350</v>
      </c>
      <c r="Y303" s="451">
        <f t="shared" si="480"/>
        <v>350</v>
      </c>
      <c r="AA303" s="221">
        <f t="shared" si="495"/>
        <v>2.5710366451107194</v>
      </c>
      <c r="AB303" s="177">
        <f t="shared" si="496"/>
        <v>1.4109347442680777</v>
      </c>
      <c r="AC303" s="177">
        <f t="shared" si="497"/>
        <v>0.63482386299030114</v>
      </c>
      <c r="AD303" s="177"/>
      <c r="AE303" s="177">
        <f t="shared" si="498"/>
        <v>0.45</v>
      </c>
      <c r="AF303" s="555">
        <f t="shared" si="499"/>
        <v>1980.4878048780488</v>
      </c>
      <c r="AG303" s="538">
        <f t="shared" si="500"/>
        <v>6.4574999999999994E-2</v>
      </c>
      <c r="AI303" s="177">
        <f t="shared" si="501"/>
        <v>1.9505896544378571</v>
      </c>
      <c r="AJ303" s="177">
        <f t="shared" si="502"/>
        <v>1.9505896544378571</v>
      </c>
      <c r="AK303" s="177">
        <f t="shared" si="503"/>
        <v>1.9537264362919049</v>
      </c>
      <c r="AM303" s="555">
        <f t="shared" si="504"/>
        <v>365.4</v>
      </c>
      <c r="AN303" s="469">
        <f t="shared" si="505"/>
        <v>350</v>
      </c>
      <c r="AP303">
        <f t="shared" si="506"/>
        <v>365.4</v>
      </c>
      <c r="AQ303">
        <f t="shared" si="507"/>
        <v>350</v>
      </c>
      <c r="AS303" s="5">
        <f t="shared" si="479"/>
        <v>2.8571428571428572</v>
      </c>
      <c r="AT303" s="5">
        <f t="shared" si="508"/>
        <v>1.0972066806212946</v>
      </c>
      <c r="AU303" s="5">
        <f t="shared" si="516"/>
        <v>1.7599361765215626</v>
      </c>
      <c r="AV303" s="5"/>
      <c r="AW303" s="177">
        <f t="shared" si="517"/>
        <v>0.38402233821745307</v>
      </c>
      <c r="AX303" s="177"/>
      <c r="BA303" s="469">
        <f t="shared" si="509"/>
        <v>17.856916306602201</v>
      </c>
      <c r="BB303" s="469">
        <f t="shared" si="510"/>
        <v>17.121401800733139</v>
      </c>
      <c r="BC303" s="5">
        <f t="shared" si="442"/>
        <v>1.1536748290468952</v>
      </c>
      <c r="BD303" s="469">
        <f t="shared" si="511"/>
        <v>0</v>
      </c>
      <c r="BQ303" s="538">
        <f t="shared" si="512"/>
        <v>0.32885999999999999</v>
      </c>
      <c r="CG303" s="571">
        <f t="shared" si="513"/>
        <v>-50</v>
      </c>
      <c r="CH303">
        <f t="shared" si="514"/>
        <v>-50</v>
      </c>
    </row>
    <row r="304" spans="5:86" x14ac:dyDescent="0.2">
      <c r="E304" s="174">
        <v>88</v>
      </c>
      <c r="F304" s="221">
        <f t="shared" si="515"/>
        <v>0.36959999999999998</v>
      </c>
      <c r="G304" s="221"/>
      <c r="H304" s="221">
        <f t="shared" si="481"/>
        <v>5.7287999999999997</v>
      </c>
      <c r="I304" s="551">
        <f t="shared" si="482"/>
        <v>16</v>
      </c>
      <c r="J304" s="451">
        <f t="shared" si="483"/>
        <v>16.399999999999999</v>
      </c>
      <c r="K304" s="451">
        <f t="shared" si="484"/>
        <v>32.4</v>
      </c>
      <c r="L304" s="451"/>
      <c r="M304" s="221">
        <f t="shared" si="485"/>
        <v>0.50617283950617287</v>
      </c>
      <c r="N304" s="176">
        <f t="shared" si="486"/>
        <v>15.136592592592594</v>
      </c>
      <c r="O304" s="176">
        <f t="shared" si="478"/>
        <v>5.7287999999999997</v>
      </c>
      <c r="P304" s="221">
        <f t="shared" si="487"/>
        <v>0.97655436081242541</v>
      </c>
      <c r="Q304" s="221">
        <f t="shared" si="488"/>
        <v>15.5</v>
      </c>
      <c r="R304" s="221"/>
      <c r="S304" s="176">
        <f t="shared" si="489"/>
        <v>64.091696635508526</v>
      </c>
      <c r="T304" s="176">
        <f t="shared" si="490"/>
        <v>15.5</v>
      </c>
      <c r="U304" s="221">
        <f t="shared" si="491"/>
        <v>1.5719268292682924</v>
      </c>
      <c r="V304" s="221">
        <f t="shared" si="492"/>
        <v>0.8842088414634145</v>
      </c>
      <c r="W304" s="221">
        <f t="shared" si="493"/>
        <v>0.86264277215942886</v>
      </c>
      <c r="X304" s="201">
        <f t="shared" si="494"/>
        <v>350</v>
      </c>
      <c r="Y304" s="451">
        <f t="shared" si="480"/>
        <v>350</v>
      </c>
      <c r="AA304" s="221">
        <f t="shared" si="495"/>
        <v>2.5710366451107194</v>
      </c>
      <c r="AB304" s="177">
        <f t="shared" si="496"/>
        <v>1.4109347442680777</v>
      </c>
      <c r="AC304" s="177">
        <f t="shared" si="497"/>
        <v>0.63482386299030114</v>
      </c>
      <c r="AD304" s="177"/>
      <c r="AE304" s="177">
        <f t="shared" si="498"/>
        <v>0.45</v>
      </c>
      <c r="AF304" s="555">
        <f t="shared" si="499"/>
        <v>2003.2520325203252</v>
      </c>
      <c r="AG304" s="538">
        <f t="shared" si="500"/>
        <v>6.4574999999999994E-2</v>
      </c>
      <c r="AI304" s="177">
        <f t="shared" si="501"/>
        <v>1.9617679101599488</v>
      </c>
      <c r="AJ304" s="177">
        <f t="shared" si="502"/>
        <v>1.9617679101599488</v>
      </c>
      <c r="AK304" s="177">
        <f t="shared" si="503"/>
        <v>1.9611786067732992</v>
      </c>
      <c r="AM304" s="555">
        <f t="shared" si="504"/>
        <v>369.59999999999997</v>
      </c>
      <c r="AN304" s="469">
        <f t="shared" si="505"/>
        <v>350</v>
      </c>
      <c r="AP304">
        <f t="shared" si="506"/>
        <v>369.59999999999997</v>
      </c>
      <c r="AQ304">
        <f t="shared" si="507"/>
        <v>350</v>
      </c>
      <c r="AS304" s="5">
        <f t="shared" si="479"/>
        <v>2.8571428571428572</v>
      </c>
      <c r="AT304" s="5">
        <f t="shared" si="508"/>
        <v>1.1034944494649712</v>
      </c>
      <c r="AU304" s="5">
        <f t="shared" si="516"/>
        <v>1.753648407677886</v>
      </c>
      <c r="AV304" s="5"/>
      <c r="AW304" s="177">
        <f t="shared" si="517"/>
        <v>0.38622305731273993</v>
      </c>
      <c r="AX304" s="177"/>
      <c r="BA304" s="469">
        <f t="shared" si="509"/>
        <v>17.856916306602201</v>
      </c>
      <c r="BB304" s="469">
        <f t="shared" si="510"/>
        <v>17.508762735483874</v>
      </c>
      <c r="BC304" s="5">
        <f t="shared" si="442"/>
        <v>1.1627663192019759</v>
      </c>
      <c r="BD304" s="469">
        <f t="shared" si="511"/>
        <v>0</v>
      </c>
      <c r="BQ304" s="538">
        <f t="shared" si="512"/>
        <v>0.33263999999999999</v>
      </c>
      <c r="CG304" s="571">
        <f t="shared" si="513"/>
        <v>-50</v>
      </c>
      <c r="CH304">
        <f t="shared" si="514"/>
        <v>-50</v>
      </c>
    </row>
    <row r="305" spans="4:86" x14ac:dyDescent="0.2">
      <c r="E305" s="174">
        <v>89</v>
      </c>
      <c r="F305" s="221">
        <f t="shared" si="515"/>
        <v>0.37379999999999997</v>
      </c>
      <c r="G305" s="221"/>
      <c r="H305" s="221">
        <f t="shared" si="481"/>
        <v>5.7938999999999998</v>
      </c>
      <c r="I305" s="551">
        <f t="shared" si="482"/>
        <v>16</v>
      </c>
      <c r="J305" s="451">
        <f t="shared" si="483"/>
        <v>16.399999999999999</v>
      </c>
      <c r="K305" s="451">
        <f t="shared" si="484"/>
        <v>32.4</v>
      </c>
      <c r="L305" s="451"/>
      <c r="M305" s="221">
        <f t="shared" si="485"/>
        <v>0.50617283950617287</v>
      </c>
      <c r="N305" s="176">
        <f t="shared" si="486"/>
        <v>15.136592592592594</v>
      </c>
      <c r="O305" s="176">
        <f t="shared" si="478"/>
        <v>5.7938999999999998</v>
      </c>
      <c r="P305" s="221">
        <f t="shared" si="487"/>
        <v>0.97655436081242541</v>
      </c>
      <c r="Q305" s="221">
        <f t="shared" si="488"/>
        <v>15.5</v>
      </c>
      <c r="R305" s="221"/>
      <c r="S305" s="176">
        <f t="shared" si="489"/>
        <v>63.197370881094585</v>
      </c>
      <c r="T305" s="176">
        <f t="shared" si="490"/>
        <v>15.5</v>
      </c>
      <c r="U305" s="221">
        <f t="shared" si="491"/>
        <v>1.5897896341463413</v>
      </c>
      <c r="V305" s="221">
        <f t="shared" si="492"/>
        <v>0.89425666920731706</v>
      </c>
      <c r="W305" s="221">
        <f t="shared" si="493"/>
        <v>0.87244553093396793</v>
      </c>
      <c r="X305" s="201">
        <f t="shared" si="494"/>
        <v>350</v>
      </c>
      <c r="Y305" s="451">
        <f t="shared" si="480"/>
        <v>350</v>
      </c>
      <c r="AA305" s="221">
        <f t="shared" si="495"/>
        <v>2.5710366451107194</v>
      </c>
      <c r="AB305" s="177">
        <f t="shared" si="496"/>
        <v>1.4109347442680777</v>
      </c>
      <c r="AC305" s="177">
        <f t="shared" si="497"/>
        <v>0.63482386299030114</v>
      </c>
      <c r="AD305" s="177"/>
      <c r="AE305" s="177">
        <f t="shared" si="498"/>
        <v>0.45</v>
      </c>
      <c r="AF305" s="555">
        <f t="shared" si="499"/>
        <v>2026.0162601626014</v>
      </c>
      <c r="AG305" s="538">
        <f t="shared" si="500"/>
        <v>6.4574999999999994E-2</v>
      </c>
      <c r="AI305" s="177">
        <f t="shared" si="501"/>
        <v>1.9728828314592495</v>
      </c>
      <c r="AJ305" s="177">
        <f t="shared" si="502"/>
        <v>1.9728828314592495</v>
      </c>
      <c r="AK305" s="177">
        <f t="shared" si="503"/>
        <v>1.9685885543061663</v>
      </c>
      <c r="AM305" s="555">
        <f t="shared" si="504"/>
        <v>373.79999999999995</v>
      </c>
      <c r="AN305" s="469">
        <f t="shared" si="505"/>
        <v>350</v>
      </c>
      <c r="AP305">
        <f t="shared" si="506"/>
        <v>373.79999999999995</v>
      </c>
      <c r="AQ305">
        <f t="shared" si="507"/>
        <v>350</v>
      </c>
      <c r="AS305" s="5">
        <f t="shared" si="479"/>
        <v>2.8571428571428572</v>
      </c>
      <c r="AT305" s="5">
        <f t="shared" si="508"/>
        <v>1.1097465926958279</v>
      </c>
      <c r="AU305" s="5">
        <f t="shared" si="516"/>
        <v>1.7473962644470293</v>
      </c>
      <c r="AV305" s="5"/>
      <c r="AW305" s="177">
        <f t="shared" si="517"/>
        <v>0.38841130744353974</v>
      </c>
      <c r="AX305" s="177"/>
      <c r="BA305" s="469">
        <f t="shared" si="509"/>
        <v>17.856916306602201</v>
      </c>
      <c r="BB305" s="469">
        <f t="shared" si="510"/>
        <v>17.900454652346042</v>
      </c>
      <c r="BC305" s="5">
        <f t="shared" si="442"/>
        <v>1.1717869463633843</v>
      </c>
      <c r="BD305" s="469">
        <f t="shared" si="511"/>
        <v>0</v>
      </c>
      <c r="BQ305" s="538">
        <f t="shared" si="512"/>
        <v>0.33642</v>
      </c>
      <c r="CG305" s="571">
        <f t="shared" si="513"/>
        <v>-50</v>
      </c>
      <c r="CH305">
        <f t="shared" si="514"/>
        <v>-50</v>
      </c>
    </row>
    <row r="306" spans="4:86" x14ac:dyDescent="0.2">
      <c r="E306" s="174">
        <v>90</v>
      </c>
      <c r="F306" s="221">
        <f t="shared" si="515"/>
        <v>0.378</v>
      </c>
      <c r="G306" s="221"/>
      <c r="H306" s="221">
        <f t="shared" si="481"/>
        <v>5.859</v>
      </c>
      <c r="I306" s="551">
        <f t="shared" si="482"/>
        <v>16</v>
      </c>
      <c r="J306" s="451">
        <f t="shared" si="483"/>
        <v>16.399999999999999</v>
      </c>
      <c r="K306" s="451">
        <f t="shared" si="484"/>
        <v>32.4</v>
      </c>
      <c r="L306" s="451"/>
      <c r="M306" s="221">
        <f t="shared" si="485"/>
        <v>0.50617283950617287</v>
      </c>
      <c r="N306" s="176">
        <f t="shared" si="486"/>
        <v>15.136592592592594</v>
      </c>
      <c r="O306" s="176">
        <f t="shared" si="478"/>
        <v>5.859</v>
      </c>
      <c r="P306" s="221">
        <f t="shared" si="487"/>
        <v>0.97655436081242541</v>
      </c>
      <c r="Q306" s="221">
        <f t="shared" si="488"/>
        <v>15.5</v>
      </c>
      <c r="R306" s="221"/>
      <c r="S306" s="176">
        <f t="shared" si="489"/>
        <v>62.323003295393484</v>
      </c>
      <c r="T306" s="176">
        <f t="shared" si="490"/>
        <v>15.5</v>
      </c>
      <c r="U306" s="221">
        <f t="shared" si="491"/>
        <v>1.60765243902439</v>
      </c>
      <c r="V306" s="221">
        <f t="shared" si="492"/>
        <v>0.90430449695121951</v>
      </c>
      <c r="W306" s="221">
        <f t="shared" si="493"/>
        <v>0.88224828970850688</v>
      </c>
      <c r="X306" s="201">
        <f t="shared" si="494"/>
        <v>350</v>
      </c>
      <c r="Y306" s="451">
        <f t="shared" si="480"/>
        <v>350</v>
      </c>
      <c r="AA306" s="221">
        <f t="shared" si="495"/>
        <v>2.5710366451107194</v>
      </c>
      <c r="AB306" s="177">
        <f t="shared" si="496"/>
        <v>1.4109347442680777</v>
      </c>
      <c r="AC306" s="177">
        <f t="shared" si="497"/>
        <v>0.63482386299030114</v>
      </c>
      <c r="AD306" s="177"/>
      <c r="AE306" s="177">
        <f t="shared" si="498"/>
        <v>0.45</v>
      </c>
      <c r="AF306" s="555">
        <f t="shared" si="499"/>
        <v>2048.7804878048782</v>
      </c>
      <c r="AG306" s="538">
        <f t="shared" si="500"/>
        <v>6.4574999999999994E-2</v>
      </c>
      <c r="AI306" s="177">
        <f t="shared" si="501"/>
        <v>1.9839354828219591</v>
      </c>
      <c r="AJ306" s="177">
        <f t="shared" si="502"/>
        <v>1.9839354828219591</v>
      </c>
      <c r="AK306" s="177">
        <f t="shared" si="503"/>
        <v>1.9759569885479729</v>
      </c>
      <c r="AM306" s="555">
        <f t="shared" si="504"/>
        <v>378</v>
      </c>
      <c r="AN306" s="469">
        <f t="shared" si="505"/>
        <v>350</v>
      </c>
      <c r="AP306">
        <f t="shared" si="506"/>
        <v>378</v>
      </c>
      <c r="AQ306">
        <f t="shared" si="507"/>
        <v>350</v>
      </c>
      <c r="AS306" s="5">
        <f t="shared" si="479"/>
        <v>2.8571428571428572</v>
      </c>
      <c r="AT306" s="5">
        <f t="shared" si="508"/>
        <v>1.115963709087352</v>
      </c>
      <c r="AU306" s="5">
        <f t="shared" si="516"/>
        <v>1.7411791480555052</v>
      </c>
      <c r="AV306" s="5"/>
      <c r="AW306" s="177">
        <f t="shared" si="517"/>
        <v>0.39058729818057319</v>
      </c>
      <c r="AX306" s="177"/>
      <c r="BA306" s="469">
        <f t="shared" si="509"/>
        <v>17.856916306602201</v>
      </c>
      <c r="BB306" s="469">
        <f t="shared" si="510"/>
        <v>18.296477551319654</v>
      </c>
      <c r="BC306" s="5">
        <f t="shared" si="442"/>
        <v>1.1807371097751391</v>
      </c>
      <c r="BD306" s="469">
        <f t="shared" si="511"/>
        <v>0</v>
      </c>
      <c r="BQ306" s="538">
        <f t="shared" si="512"/>
        <v>0.3402</v>
      </c>
      <c r="CG306" s="571">
        <f t="shared" si="513"/>
        <v>-50</v>
      </c>
      <c r="CH306">
        <f t="shared" si="514"/>
        <v>-50</v>
      </c>
    </row>
    <row r="307" spans="4:86" x14ac:dyDescent="0.2">
      <c r="E307" s="174">
        <v>91</v>
      </c>
      <c r="F307" s="221">
        <f t="shared" si="515"/>
        <v>0.38219999999999998</v>
      </c>
      <c r="G307" s="221"/>
      <c r="H307" s="221">
        <f t="shared" si="481"/>
        <v>5.9241000000000001</v>
      </c>
      <c r="I307" s="551">
        <f t="shared" si="482"/>
        <v>16</v>
      </c>
      <c r="J307" s="451">
        <f t="shared" si="483"/>
        <v>16.399999999999999</v>
      </c>
      <c r="K307" s="451">
        <f t="shared" si="484"/>
        <v>32.4</v>
      </c>
      <c r="L307" s="451"/>
      <c r="M307" s="221">
        <f t="shared" si="485"/>
        <v>0.50617283950617287</v>
      </c>
      <c r="N307" s="176">
        <f t="shared" si="486"/>
        <v>15.136592592592594</v>
      </c>
      <c r="O307" s="176">
        <f t="shared" si="478"/>
        <v>5.9241000000000001</v>
      </c>
      <c r="P307" s="221">
        <f t="shared" si="487"/>
        <v>0.97655436081242541</v>
      </c>
      <c r="Q307" s="221">
        <f t="shared" si="488"/>
        <v>15.5</v>
      </c>
      <c r="R307" s="221"/>
      <c r="S307" s="176">
        <f t="shared" si="489"/>
        <v>61.467936535252598</v>
      </c>
      <c r="T307" s="176">
        <f t="shared" si="490"/>
        <v>15.5</v>
      </c>
      <c r="U307" s="221">
        <f t="shared" si="491"/>
        <v>1.625515243902439</v>
      </c>
      <c r="V307" s="221">
        <f t="shared" si="492"/>
        <v>0.91435232469512195</v>
      </c>
      <c r="W307" s="221">
        <f t="shared" si="493"/>
        <v>0.89205104848304595</v>
      </c>
      <c r="X307" s="201">
        <f t="shared" si="494"/>
        <v>350</v>
      </c>
      <c r="Y307" s="451">
        <f t="shared" si="480"/>
        <v>350</v>
      </c>
      <c r="AA307" s="221">
        <f t="shared" si="495"/>
        <v>2.5710366451107194</v>
      </c>
      <c r="AB307" s="177">
        <f t="shared" si="496"/>
        <v>1.4109347442680777</v>
      </c>
      <c r="AC307" s="177">
        <f t="shared" si="497"/>
        <v>0.63482386299030114</v>
      </c>
      <c r="AD307" s="177"/>
      <c r="AE307" s="177">
        <f t="shared" si="498"/>
        <v>0.45</v>
      </c>
      <c r="AF307" s="555">
        <f t="shared" si="499"/>
        <v>2071.5447154471544</v>
      </c>
      <c r="AG307" s="538">
        <f t="shared" si="500"/>
        <v>6.4574999999999994E-2</v>
      </c>
      <c r="AI307" s="177">
        <f t="shared" si="501"/>
        <v>1.9949268992455169</v>
      </c>
      <c r="AJ307" s="177">
        <f t="shared" si="502"/>
        <v>1.9949268992455169</v>
      </c>
      <c r="AK307" s="177">
        <f t="shared" si="503"/>
        <v>1.9832845994970112</v>
      </c>
      <c r="AM307" s="555">
        <f t="shared" si="504"/>
        <v>382.2</v>
      </c>
      <c r="AN307" s="469">
        <f t="shared" si="505"/>
        <v>350</v>
      </c>
      <c r="AP307">
        <f t="shared" si="506"/>
        <v>382.2</v>
      </c>
      <c r="AQ307">
        <f t="shared" si="507"/>
        <v>350</v>
      </c>
      <c r="AS307" s="5">
        <f t="shared" si="479"/>
        <v>2.8571428571428572</v>
      </c>
      <c r="AT307" s="5">
        <f t="shared" si="508"/>
        <v>1.1221463808256034</v>
      </c>
      <c r="AU307" s="5">
        <f t="shared" si="516"/>
        <v>1.7349964763172538</v>
      </c>
      <c r="AV307" s="5"/>
      <c r="AW307" s="177">
        <f t="shared" si="517"/>
        <v>0.39275123328896117</v>
      </c>
      <c r="AX307" s="177"/>
      <c r="BA307" s="469">
        <f t="shared" si="509"/>
        <v>17.856916306602201</v>
      </c>
      <c r="BB307" s="469">
        <f t="shared" si="510"/>
        <v>18.696831432404693</v>
      </c>
      <c r="BC307" s="5">
        <f t="shared" si="442"/>
        <v>1.1896172020082225</v>
      </c>
      <c r="BD307" s="469">
        <f t="shared" si="511"/>
        <v>0</v>
      </c>
      <c r="BQ307" s="538">
        <f t="shared" si="512"/>
        <v>0.34398000000000001</v>
      </c>
      <c r="CG307" s="571">
        <f t="shared" si="513"/>
        <v>-50</v>
      </c>
      <c r="CH307">
        <f t="shared" si="514"/>
        <v>-50</v>
      </c>
    </row>
    <row r="308" spans="4:86" x14ac:dyDescent="0.2">
      <c r="E308" s="174">
        <v>92</v>
      </c>
      <c r="F308" s="221">
        <f t="shared" si="515"/>
        <v>0.38640000000000002</v>
      </c>
      <c r="G308" s="221"/>
      <c r="H308" s="221">
        <f t="shared" si="481"/>
        <v>5.9892000000000003</v>
      </c>
      <c r="I308" s="551">
        <f t="shared" si="482"/>
        <v>16</v>
      </c>
      <c r="J308" s="451">
        <f t="shared" si="483"/>
        <v>16.399999999999999</v>
      </c>
      <c r="K308" s="451">
        <f t="shared" si="484"/>
        <v>32.4</v>
      </c>
      <c r="L308" s="451"/>
      <c r="M308" s="221">
        <f t="shared" si="485"/>
        <v>0.50617283950617287</v>
      </c>
      <c r="N308" s="176">
        <f t="shared" si="486"/>
        <v>15.136592592592594</v>
      </c>
      <c r="O308" s="176">
        <f t="shared" si="478"/>
        <v>5.9892000000000003</v>
      </c>
      <c r="P308" s="221">
        <f t="shared" si="487"/>
        <v>0.97655436081242541</v>
      </c>
      <c r="Q308" s="221">
        <f t="shared" si="488"/>
        <v>15.5</v>
      </c>
      <c r="R308" s="221"/>
      <c r="S308" s="176">
        <f t="shared" si="489"/>
        <v>60.631541843051103</v>
      </c>
      <c r="T308" s="176">
        <f t="shared" si="490"/>
        <v>15.5</v>
      </c>
      <c r="U308" s="221">
        <f t="shared" si="491"/>
        <v>1.6433780487804877</v>
      </c>
      <c r="V308" s="221">
        <f t="shared" si="492"/>
        <v>0.92440015243902429</v>
      </c>
      <c r="W308" s="221">
        <f t="shared" si="493"/>
        <v>0.90185380725758479</v>
      </c>
      <c r="X308" s="201">
        <f t="shared" si="494"/>
        <v>350</v>
      </c>
      <c r="Y308" s="451">
        <f t="shared" si="480"/>
        <v>350</v>
      </c>
      <c r="AA308" s="221">
        <f t="shared" si="495"/>
        <v>2.5710366451107194</v>
      </c>
      <c r="AB308" s="177">
        <f t="shared" si="496"/>
        <v>1.4109347442680777</v>
      </c>
      <c r="AC308" s="177">
        <f t="shared" si="497"/>
        <v>0.63482386299030114</v>
      </c>
      <c r="AD308" s="177"/>
      <c r="AE308" s="177">
        <f t="shared" si="498"/>
        <v>0.45</v>
      </c>
      <c r="AF308" s="555">
        <f t="shared" si="499"/>
        <v>2094.3089430894311</v>
      </c>
      <c r="AG308" s="538">
        <f t="shared" si="500"/>
        <v>6.4574999999999994E-2</v>
      </c>
      <c r="AI308" s="177">
        <f t="shared" si="501"/>
        <v>2.0058580873697585</v>
      </c>
      <c r="AJ308" s="177">
        <f t="shared" si="502"/>
        <v>2.0058580873697585</v>
      </c>
      <c r="AK308" s="177">
        <f t="shared" si="503"/>
        <v>1.9905720582465058</v>
      </c>
      <c r="AM308" s="555">
        <f t="shared" si="504"/>
        <v>386.40000000000003</v>
      </c>
      <c r="AN308" s="469">
        <f t="shared" si="505"/>
        <v>350</v>
      </c>
      <c r="AP308">
        <f t="shared" si="506"/>
        <v>386.40000000000003</v>
      </c>
      <c r="AQ308">
        <f t="shared" si="507"/>
        <v>350</v>
      </c>
      <c r="AS308" s="5">
        <f t="shared" si="479"/>
        <v>2.8571428571428572</v>
      </c>
      <c r="AT308" s="5">
        <f t="shared" si="508"/>
        <v>1.1282951741454892</v>
      </c>
      <c r="AU308" s="5">
        <f t="shared" si="516"/>
        <v>1.728847682997368</v>
      </c>
      <c r="AV308" s="5"/>
      <c r="AW308" s="177">
        <f t="shared" si="517"/>
        <v>0.39490331095092118</v>
      </c>
      <c r="AX308" s="177"/>
      <c r="BA308" s="469">
        <f t="shared" si="509"/>
        <v>17.856916306602201</v>
      </c>
      <c r="BB308" s="469">
        <f t="shared" si="510"/>
        <v>19.101516295601176</v>
      </c>
      <c r="BC308" s="5">
        <f t="shared" si="442"/>
        <v>1.1984276091444253</v>
      </c>
      <c r="BD308" s="469">
        <f t="shared" si="511"/>
        <v>0</v>
      </c>
      <c r="BQ308" s="538">
        <f t="shared" si="512"/>
        <v>0.34776000000000001</v>
      </c>
      <c r="CG308" s="571">
        <f t="shared" si="513"/>
        <v>-50</v>
      </c>
      <c r="CH308">
        <f t="shared" si="514"/>
        <v>-50</v>
      </c>
    </row>
    <row r="309" spans="4:86" x14ac:dyDescent="0.2">
      <c r="E309" s="174">
        <v>93</v>
      </c>
      <c r="F309" s="221">
        <f t="shared" si="515"/>
        <v>0.3906</v>
      </c>
      <c r="G309" s="221"/>
      <c r="H309" s="221">
        <f t="shared" si="481"/>
        <v>6.0543000000000005</v>
      </c>
      <c r="I309" s="551">
        <f t="shared" si="482"/>
        <v>16</v>
      </c>
      <c r="J309" s="451">
        <f t="shared" si="483"/>
        <v>16.399999999999999</v>
      </c>
      <c r="K309" s="451">
        <f t="shared" si="484"/>
        <v>32.4</v>
      </c>
      <c r="L309" s="451"/>
      <c r="M309" s="221">
        <f t="shared" si="485"/>
        <v>0.50617283950617287</v>
      </c>
      <c r="N309" s="176">
        <f t="shared" si="486"/>
        <v>15.136592592592594</v>
      </c>
      <c r="O309" s="176">
        <f t="shared" si="478"/>
        <v>6.0543000000000005</v>
      </c>
      <c r="P309" s="221">
        <f t="shared" si="487"/>
        <v>0.97655436081242541</v>
      </c>
      <c r="Q309" s="221">
        <f t="shared" si="488"/>
        <v>15.5</v>
      </c>
      <c r="R309" s="221"/>
      <c r="S309" s="176">
        <f t="shared" si="489"/>
        <v>59.813217509893185</v>
      </c>
      <c r="T309" s="176">
        <f t="shared" si="490"/>
        <v>15.5</v>
      </c>
      <c r="U309" s="221">
        <f t="shared" si="491"/>
        <v>1.6612408536585366</v>
      </c>
      <c r="V309" s="221">
        <f t="shared" si="492"/>
        <v>0.93444798018292685</v>
      </c>
      <c r="W309" s="221">
        <f t="shared" si="493"/>
        <v>0.91165656603212386</v>
      </c>
      <c r="X309" s="201">
        <f t="shared" si="494"/>
        <v>350</v>
      </c>
      <c r="Y309" s="451">
        <f t="shared" si="480"/>
        <v>350</v>
      </c>
      <c r="AA309" s="221">
        <f t="shared" si="495"/>
        <v>2.5710366451107194</v>
      </c>
      <c r="AB309" s="177">
        <f t="shared" si="496"/>
        <v>1.4109347442680777</v>
      </c>
      <c r="AC309" s="177">
        <f t="shared" si="497"/>
        <v>0.63482386299030114</v>
      </c>
      <c r="AD309" s="177"/>
      <c r="AE309" s="177">
        <f t="shared" si="498"/>
        <v>0.45</v>
      </c>
      <c r="AF309" s="555">
        <f t="shared" si="499"/>
        <v>2117.0731707317073</v>
      </c>
      <c r="AG309" s="538">
        <f t="shared" si="500"/>
        <v>6.4574999999999994E-2</v>
      </c>
      <c r="AI309" s="177">
        <f t="shared" si="501"/>
        <v>2.0167300265528847</v>
      </c>
      <c r="AJ309" s="177">
        <f t="shared" si="502"/>
        <v>2.0167300265528847</v>
      </c>
      <c r="AK309" s="177">
        <f t="shared" si="503"/>
        <v>1.9978200177019232</v>
      </c>
      <c r="AM309" s="555">
        <f t="shared" si="504"/>
        <v>390.6</v>
      </c>
      <c r="AN309" s="469">
        <f t="shared" si="505"/>
        <v>350</v>
      </c>
      <c r="AP309">
        <f t="shared" si="506"/>
        <v>390.6</v>
      </c>
      <c r="AQ309">
        <f t="shared" si="507"/>
        <v>350</v>
      </c>
      <c r="AS309" s="5">
        <f t="shared" si="479"/>
        <v>2.8571428571428572</v>
      </c>
      <c r="AT309" s="5">
        <f t="shared" si="508"/>
        <v>1.1344106399359977</v>
      </c>
      <c r="AU309" s="5">
        <f t="shared" si="516"/>
        <v>1.7227322172068595</v>
      </c>
      <c r="AV309" s="5"/>
      <c r="AW309" s="177">
        <f t="shared" si="517"/>
        <v>0.39704372397759918</v>
      </c>
      <c r="AX309" s="177"/>
      <c r="BA309" s="469">
        <f t="shared" si="509"/>
        <v>17.856916306602201</v>
      </c>
      <c r="BB309" s="469">
        <f t="shared" si="510"/>
        <v>19.510532140909095</v>
      </c>
      <c r="BC309" s="5">
        <f t="shared" ref="BC309:BC316" si="518">H309/Efficiency/I309*AU309/Vinripple1</f>
        <v>1.2071687109531817</v>
      </c>
      <c r="BD309" s="469">
        <f t="shared" si="511"/>
        <v>0</v>
      </c>
      <c r="BQ309" s="538">
        <f t="shared" si="512"/>
        <v>0.35154000000000002</v>
      </c>
      <c r="CG309" s="571">
        <f t="shared" si="513"/>
        <v>-50</v>
      </c>
      <c r="CH309">
        <f t="shared" si="514"/>
        <v>-50</v>
      </c>
    </row>
    <row r="310" spans="4:86" x14ac:dyDescent="0.2">
      <c r="E310" s="174">
        <v>94</v>
      </c>
      <c r="F310" s="221">
        <f t="shared" si="515"/>
        <v>0.39479999999999998</v>
      </c>
      <c r="G310" s="221"/>
      <c r="H310" s="221">
        <f t="shared" si="481"/>
        <v>6.1193999999999997</v>
      </c>
      <c r="I310" s="551">
        <f t="shared" si="482"/>
        <v>16</v>
      </c>
      <c r="J310" s="451">
        <f t="shared" si="483"/>
        <v>16.399999999999999</v>
      </c>
      <c r="K310" s="451">
        <f t="shared" si="484"/>
        <v>32.4</v>
      </c>
      <c r="L310" s="451"/>
      <c r="M310" s="221">
        <f t="shared" si="485"/>
        <v>0.50617283950617287</v>
      </c>
      <c r="N310" s="176">
        <f t="shared" si="486"/>
        <v>15.136592592592594</v>
      </c>
      <c r="O310" s="176">
        <f t="shared" si="478"/>
        <v>6.1193999999999997</v>
      </c>
      <c r="P310" s="221">
        <f t="shared" si="487"/>
        <v>0.97655436081242541</v>
      </c>
      <c r="Q310" s="221">
        <f t="shared" si="488"/>
        <v>15.5</v>
      </c>
      <c r="R310" s="221"/>
      <c r="S310" s="176">
        <f t="shared" si="489"/>
        <v>59.012387436895622</v>
      </c>
      <c r="T310" s="176">
        <f t="shared" si="490"/>
        <v>15.5</v>
      </c>
      <c r="U310" s="221">
        <f t="shared" si="491"/>
        <v>1.6791036585365851</v>
      </c>
      <c r="V310" s="221">
        <f t="shared" si="492"/>
        <v>0.94449580792682908</v>
      </c>
      <c r="W310" s="221">
        <f t="shared" si="493"/>
        <v>0.92145932480666259</v>
      </c>
      <c r="X310" s="201">
        <f t="shared" si="494"/>
        <v>350</v>
      </c>
      <c r="Y310" s="451">
        <f t="shared" si="480"/>
        <v>350</v>
      </c>
      <c r="AA310" s="221">
        <f t="shared" si="495"/>
        <v>2.5710366451107194</v>
      </c>
      <c r="AB310" s="177">
        <f t="shared" si="496"/>
        <v>1.4109347442680777</v>
      </c>
      <c r="AC310" s="177">
        <f t="shared" si="497"/>
        <v>0.63482386299030114</v>
      </c>
      <c r="AD310" s="177"/>
      <c r="AE310" s="177">
        <f t="shared" si="498"/>
        <v>0.45</v>
      </c>
      <c r="AF310" s="555">
        <f t="shared" si="499"/>
        <v>2139.8373983739839</v>
      </c>
      <c r="AG310" s="538">
        <f t="shared" si="500"/>
        <v>6.4574999999999994E-2</v>
      </c>
      <c r="AI310" s="177">
        <f t="shared" si="501"/>
        <v>2.0275436698955049</v>
      </c>
      <c r="AJ310" s="177">
        <f t="shared" si="502"/>
        <v>2.0275436698955049</v>
      </c>
      <c r="AK310" s="177">
        <f t="shared" si="503"/>
        <v>2.0050291132636699</v>
      </c>
      <c r="AM310" s="555">
        <f t="shared" si="504"/>
        <v>394.8</v>
      </c>
      <c r="AN310" s="469">
        <f t="shared" si="505"/>
        <v>350</v>
      </c>
      <c r="AP310">
        <f t="shared" si="506"/>
        <v>394.8</v>
      </c>
      <c r="AQ310">
        <f t="shared" si="507"/>
        <v>350</v>
      </c>
      <c r="AS310" s="5">
        <f t="shared" si="479"/>
        <v>2.8571428571428572</v>
      </c>
      <c r="AT310" s="5">
        <f t="shared" si="508"/>
        <v>1.1404933143162215</v>
      </c>
      <c r="AU310" s="5">
        <f t="shared" si="516"/>
        <v>1.7166495428266357</v>
      </c>
      <c r="AV310" s="5"/>
      <c r="AW310" s="177">
        <f t="shared" si="517"/>
        <v>0.39917266001067753</v>
      </c>
      <c r="AX310" s="177"/>
      <c r="BA310" s="469">
        <f t="shared" si="509"/>
        <v>17.856916306602201</v>
      </c>
      <c r="BB310" s="469">
        <f t="shared" si="510"/>
        <v>19.923878968328445</v>
      </c>
      <c r="BC310" s="5">
        <f t="shared" si="518"/>
        <v>1.2158408810617261</v>
      </c>
      <c r="BD310" s="469">
        <f t="shared" si="511"/>
        <v>0</v>
      </c>
      <c r="BQ310" s="538">
        <f t="shared" si="512"/>
        <v>0.35531999999999997</v>
      </c>
      <c r="CG310" s="571">
        <f t="shared" si="513"/>
        <v>-50</v>
      </c>
      <c r="CH310">
        <f t="shared" si="514"/>
        <v>-50</v>
      </c>
    </row>
    <row r="311" spans="4:86" x14ac:dyDescent="0.2">
      <c r="E311" s="174">
        <v>95</v>
      </c>
      <c r="F311" s="221">
        <f t="shared" si="515"/>
        <v>0.39899999999999997</v>
      </c>
      <c r="G311" s="221"/>
      <c r="H311" s="221">
        <f t="shared" si="481"/>
        <v>6.1844999999999999</v>
      </c>
      <c r="I311" s="551">
        <f t="shared" si="482"/>
        <v>16</v>
      </c>
      <c r="J311" s="451">
        <f t="shared" si="483"/>
        <v>16.399999999999999</v>
      </c>
      <c r="K311" s="451">
        <f t="shared" si="484"/>
        <v>32.4</v>
      </c>
      <c r="L311" s="451"/>
      <c r="M311" s="221">
        <f t="shared" si="485"/>
        <v>0.50617283950617287</v>
      </c>
      <c r="N311" s="176">
        <f t="shared" si="486"/>
        <v>15.136592592592594</v>
      </c>
      <c r="O311" s="176">
        <f t="shared" si="478"/>
        <v>6.1844999999999999</v>
      </c>
      <c r="P311" s="221">
        <f t="shared" si="487"/>
        <v>0.97655436081242541</v>
      </c>
      <c r="Q311" s="221">
        <f t="shared" si="488"/>
        <v>15.5</v>
      </c>
      <c r="R311" s="221"/>
      <c r="S311" s="176">
        <f t="shared" si="489"/>
        <v>58.228499787341981</v>
      </c>
      <c r="T311" s="176">
        <f t="shared" si="490"/>
        <v>15.5</v>
      </c>
      <c r="U311" s="221">
        <f t="shared" si="491"/>
        <v>1.696966463414634</v>
      </c>
      <c r="V311" s="221">
        <f t="shared" si="492"/>
        <v>0.95454363567073164</v>
      </c>
      <c r="W311" s="221">
        <f t="shared" si="493"/>
        <v>0.93126208358120166</v>
      </c>
      <c r="X311" s="201">
        <f t="shared" si="494"/>
        <v>350</v>
      </c>
      <c r="Y311" s="451">
        <f t="shared" si="480"/>
        <v>350</v>
      </c>
      <c r="AA311" s="221">
        <f t="shared" si="495"/>
        <v>2.5710366451107194</v>
      </c>
      <c r="AB311" s="177">
        <f t="shared" si="496"/>
        <v>1.4109347442680777</v>
      </c>
      <c r="AC311" s="177">
        <f t="shared" si="497"/>
        <v>0.63482386299030114</v>
      </c>
      <c r="AD311" s="177"/>
      <c r="AE311" s="177">
        <f t="shared" si="498"/>
        <v>0.45</v>
      </c>
      <c r="AF311" s="555">
        <f t="shared" si="499"/>
        <v>2162.6016260162601</v>
      </c>
      <c r="AG311" s="538">
        <f t="shared" si="500"/>
        <v>6.4574999999999994E-2</v>
      </c>
      <c r="AI311" s="177">
        <f t="shared" si="501"/>
        <v>2.0382999452157833</v>
      </c>
      <c r="AJ311" s="177">
        <f t="shared" si="502"/>
        <v>2.0382999452157833</v>
      </c>
      <c r="AK311" s="177">
        <f t="shared" si="503"/>
        <v>2.012199963477189</v>
      </c>
      <c r="AM311" s="555">
        <f t="shared" si="504"/>
        <v>398.99999999999994</v>
      </c>
      <c r="AN311" s="469">
        <f t="shared" si="505"/>
        <v>350</v>
      </c>
      <c r="AP311">
        <f t="shared" si="506"/>
        <v>398.99999999999994</v>
      </c>
      <c r="AQ311">
        <f t="shared" si="507"/>
        <v>350</v>
      </c>
      <c r="AS311" s="5">
        <f t="shared" si="479"/>
        <v>2.8571428571428572</v>
      </c>
      <c r="AT311" s="5">
        <f t="shared" si="508"/>
        <v>1.1465437191838781</v>
      </c>
      <c r="AU311" s="5">
        <f t="shared" si="516"/>
        <v>1.7105991379589791</v>
      </c>
      <c r="AV311" s="5"/>
      <c r="AW311" s="177">
        <f t="shared" si="517"/>
        <v>0.40129030171435731</v>
      </c>
      <c r="AX311" s="177"/>
      <c r="BA311" s="469">
        <f t="shared" si="509"/>
        <v>17.856916306602201</v>
      </c>
      <c r="BB311" s="469">
        <f t="shared" si="510"/>
        <v>20.341556777859239</v>
      </c>
      <c r="BC311" s="5">
        <f t="shared" si="518"/>
        <v>1.2244444871189009</v>
      </c>
      <c r="BD311" s="469">
        <f t="shared" si="511"/>
        <v>0</v>
      </c>
      <c r="BQ311" s="538">
        <f t="shared" si="512"/>
        <v>0.35909999999999997</v>
      </c>
      <c r="CG311" s="571">
        <f t="shared" si="513"/>
        <v>-50</v>
      </c>
      <c r="CH311">
        <f t="shared" si="514"/>
        <v>-50</v>
      </c>
    </row>
    <row r="312" spans="4:86" x14ac:dyDescent="0.2">
      <c r="E312" s="174">
        <v>96</v>
      </c>
      <c r="F312" s="221">
        <f t="shared" si="515"/>
        <v>0.40319999999999995</v>
      </c>
      <c r="G312" s="221"/>
      <c r="H312" s="221">
        <f t="shared" ref="H312:H316" si="519">F312*Vout</f>
        <v>6.2495999999999992</v>
      </c>
      <c r="I312" s="551">
        <f t="shared" si="482"/>
        <v>16</v>
      </c>
      <c r="J312" s="451">
        <f t="shared" si="483"/>
        <v>16.399999999999999</v>
      </c>
      <c r="K312" s="451">
        <f t="shared" si="484"/>
        <v>32.4</v>
      </c>
      <c r="L312" s="451"/>
      <c r="M312" s="221">
        <f t="shared" si="485"/>
        <v>0.50617283950617287</v>
      </c>
      <c r="N312" s="176">
        <f t="shared" ref="N312:N316" si="520">M312*I312*(Isw_max+VIN_max/Lmag*ILIM_delay)*0.5*Efficiency</f>
        <v>15.136592592592594</v>
      </c>
      <c r="O312" s="176">
        <f t="shared" si="478"/>
        <v>6.2495999999999992</v>
      </c>
      <c r="P312" s="221">
        <f t="shared" ref="P312:P316" si="521">N312/Vout</f>
        <v>0.97655436081242541</v>
      </c>
      <c r="Q312" s="221">
        <f t="shared" si="488"/>
        <v>15.5</v>
      </c>
      <c r="R312" s="221"/>
      <c r="S312" s="176">
        <f t="shared" si="489"/>
        <v>57.461025723077341</v>
      </c>
      <c r="T312" s="176">
        <f t="shared" ref="T312:T316" si="522">MIN(Vout, S312)</f>
        <v>15.5</v>
      </c>
      <c r="U312" s="221">
        <f t="shared" si="491"/>
        <v>1.7148292682926825</v>
      </c>
      <c r="V312" s="221">
        <f t="shared" ref="V312:V316" si="523">L*U312/I312*1000000</f>
        <v>0.96459146341463398</v>
      </c>
      <c r="W312" s="221">
        <f t="shared" si="493"/>
        <v>0.94106484235574051</v>
      </c>
      <c r="X312" s="201">
        <f t="shared" si="494"/>
        <v>350</v>
      </c>
      <c r="Y312" s="451">
        <f t="shared" si="480"/>
        <v>350</v>
      </c>
      <c r="AA312" s="221">
        <f t="shared" si="495"/>
        <v>2.5710366451107194</v>
      </c>
      <c r="AB312" s="177">
        <f t="shared" ref="AB312:AB316" si="524">L*AA312/J312*1000000</f>
        <v>1.4109347442680777</v>
      </c>
      <c r="AC312" s="177">
        <f t="shared" ref="AC312:AC316" si="525">0.5*AB312*AA312*Nps*X312/1000</f>
        <v>0.63482386299030114</v>
      </c>
      <c r="AD312" s="177"/>
      <c r="AE312" s="177">
        <f t="shared" si="498"/>
        <v>0.45</v>
      </c>
      <c r="AF312" s="555">
        <f t="shared" ref="AF312:AF316" si="526">MAX(12000,F312/(0.5*AE312/1000000*Isw_min*Nps))/1000</f>
        <v>2185.3658536585363</v>
      </c>
      <c r="AG312" s="538">
        <f t="shared" si="500"/>
        <v>6.4574999999999994E-2</v>
      </c>
      <c r="AI312" s="177">
        <f t="shared" si="501"/>
        <v>2.0489997559785111</v>
      </c>
      <c r="AJ312" s="177">
        <f t="shared" ref="AJ312:AJ316" si="527">MAX(IF(F312&gt;AC312,U312,AI312),Isw_min)</f>
        <v>2.0489997559785111</v>
      </c>
      <c r="AK312" s="177">
        <f t="shared" ref="AK312:AK316" si="528">IF(F312&gt;AG312, (AJ312-Isw_min)/1.2*0.8+1.2, AF312*0.2/350+1)</f>
        <v>2.0193331706523407</v>
      </c>
      <c r="AM312" s="555">
        <f t="shared" si="504"/>
        <v>403.19999999999993</v>
      </c>
      <c r="AN312" s="469">
        <f t="shared" si="505"/>
        <v>350</v>
      </c>
      <c r="AP312">
        <f t="shared" si="506"/>
        <v>403.19999999999993</v>
      </c>
      <c r="AQ312">
        <f t="shared" si="507"/>
        <v>350</v>
      </c>
      <c r="AS312" s="5">
        <f t="shared" si="479"/>
        <v>2.8571428571428572</v>
      </c>
      <c r="AT312" s="5">
        <f t="shared" si="508"/>
        <v>1.1525623627379125</v>
      </c>
      <c r="AU312" s="5">
        <f t="shared" si="516"/>
        <v>1.7045804944049447</v>
      </c>
      <c r="AV312" s="5"/>
      <c r="AW312" s="177">
        <f t="shared" si="517"/>
        <v>0.40339682695826934</v>
      </c>
      <c r="AX312" s="177"/>
      <c r="BA312" s="469">
        <f t="shared" si="509"/>
        <v>17.856916306602201</v>
      </c>
      <c r="BB312" s="469">
        <f t="shared" si="510"/>
        <v>20.763565569501463</v>
      </c>
      <c r="BC312" s="5">
        <f t="shared" si="518"/>
        <v>1.2329798909529097</v>
      </c>
      <c r="BD312" s="469">
        <f t="shared" si="511"/>
        <v>0</v>
      </c>
      <c r="BQ312" s="538">
        <f t="shared" si="512"/>
        <v>0.36287999999999998</v>
      </c>
      <c r="CG312" s="571">
        <f t="shared" si="513"/>
        <v>-50</v>
      </c>
      <c r="CH312">
        <f t="shared" si="514"/>
        <v>-50</v>
      </c>
    </row>
    <row r="313" spans="4:86" x14ac:dyDescent="0.2">
      <c r="E313" s="174">
        <v>97</v>
      </c>
      <c r="F313" s="221">
        <f t="shared" ref="F313:F316" si="529">IF(PLOT_TYPE=1, E313/100*Iout_max, min_I*EXP(N313*rr/100))</f>
        <v>0.40739999999999998</v>
      </c>
      <c r="G313" s="221"/>
      <c r="H313" s="221">
        <f t="shared" si="519"/>
        <v>6.3147000000000002</v>
      </c>
      <c r="I313" s="551">
        <f t="shared" si="482"/>
        <v>16</v>
      </c>
      <c r="J313" s="451">
        <f t="shared" si="483"/>
        <v>16.399999999999999</v>
      </c>
      <c r="K313" s="451">
        <f t="shared" si="484"/>
        <v>32.4</v>
      </c>
      <c r="L313" s="451"/>
      <c r="M313" s="221">
        <f t="shared" si="485"/>
        <v>0.50617283950617287</v>
      </c>
      <c r="N313" s="176">
        <f t="shared" si="520"/>
        <v>15.136592592592594</v>
      </c>
      <c r="O313" s="176">
        <f t="shared" si="478"/>
        <v>6.3147000000000002</v>
      </c>
      <c r="P313" s="221">
        <f t="shared" si="521"/>
        <v>0.97655436081242541</v>
      </c>
      <c r="Q313" s="221">
        <f t="shared" si="488"/>
        <v>15.5</v>
      </c>
      <c r="R313" s="221"/>
      <c r="S313" s="176">
        <f t="shared" si="489"/>
        <v>56.709458219064686</v>
      </c>
      <c r="T313" s="176">
        <f t="shared" si="522"/>
        <v>15.5</v>
      </c>
      <c r="U313" s="221">
        <f t="shared" si="491"/>
        <v>1.7326920731707316</v>
      </c>
      <c r="V313" s="221">
        <f t="shared" si="523"/>
        <v>0.97463929115853642</v>
      </c>
      <c r="W313" s="221">
        <f t="shared" si="493"/>
        <v>0.95086760113027957</v>
      </c>
      <c r="X313" s="201">
        <f t="shared" si="494"/>
        <v>350</v>
      </c>
      <c r="Y313" s="451">
        <f t="shared" si="480"/>
        <v>350</v>
      </c>
      <c r="AA313" s="221">
        <f t="shared" si="495"/>
        <v>2.5710366451107194</v>
      </c>
      <c r="AB313" s="177">
        <f t="shared" si="524"/>
        <v>1.4109347442680777</v>
      </c>
      <c r="AC313" s="177">
        <f t="shared" si="525"/>
        <v>0.63482386299030114</v>
      </c>
      <c r="AD313" s="177"/>
      <c r="AE313" s="177">
        <f t="shared" si="498"/>
        <v>0.45</v>
      </c>
      <c r="AF313" s="555">
        <f t="shared" si="526"/>
        <v>2208.1300813008133</v>
      </c>
      <c r="AG313" s="538">
        <f t="shared" si="500"/>
        <v>6.4574999999999994E-2</v>
      </c>
      <c r="AI313" s="177">
        <f t="shared" si="501"/>
        <v>2.0596439821807389</v>
      </c>
      <c r="AJ313" s="177">
        <f t="shared" si="527"/>
        <v>2.0596439821807389</v>
      </c>
      <c r="AK313" s="177">
        <f t="shared" si="528"/>
        <v>2.026429321453826</v>
      </c>
      <c r="AM313" s="555">
        <f t="shared" si="504"/>
        <v>407.4</v>
      </c>
      <c r="AN313" s="469">
        <f t="shared" si="505"/>
        <v>350</v>
      </c>
      <c r="AP313">
        <f t="shared" si="506"/>
        <v>407.4</v>
      </c>
      <c r="AQ313">
        <f t="shared" si="507"/>
        <v>350</v>
      </c>
      <c r="AS313" s="5">
        <f t="shared" si="479"/>
        <v>2.8571428571428572</v>
      </c>
      <c r="AT313" s="5">
        <f t="shared" si="508"/>
        <v>1.1585497399766655</v>
      </c>
      <c r="AU313" s="5">
        <f t="shared" si="516"/>
        <v>1.6985931171661917</v>
      </c>
      <c r="AV313" s="5"/>
      <c r="AW313" s="177">
        <f t="shared" si="517"/>
        <v>0.40549240899183292</v>
      </c>
      <c r="AX313" s="177"/>
      <c r="BA313" s="469">
        <f t="shared" si="509"/>
        <v>17.856916306602201</v>
      </c>
      <c r="BB313" s="469">
        <f t="shared" si="510"/>
        <v>21.189905343255134</v>
      </c>
      <c r="BC313" s="5">
        <f t="shared" si="518"/>
        <v>1.2414474487233045</v>
      </c>
      <c r="BD313" s="469">
        <f t="shared" si="511"/>
        <v>0</v>
      </c>
      <c r="BQ313" s="538">
        <f t="shared" si="512"/>
        <v>0.36665999999999999</v>
      </c>
      <c r="CG313" s="571">
        <f t="shared" si="513"/>
        <v>-50</v>
      </c>
      <c r="CH313">
        <f t="shared" si="514"/>
        <v>-50</v>
      </c>
    </row>
    <row r="314" spans="4:86" x14ac:dyDescent="0.2">
      <c r="E314" s="174">
        <v>98</v>
      </c>
      <c r="F314" s="221">
        <f t="shared" si="529"/>
        <v>0.41159999999999997</v>
      </c>
      <c r="G314" s="221"/>
      <c r="H314" s="221">
        <f t="shared" si="519"/>
        <v>6.3797999999999995</v>
      </c>
      <c r="I314" s="551">
        <f t="shared" si="482"/>
        <v>16</v>
      </c>
      <c r="J314" s="451">
        <f t="shared" si="483"/>
        <v>16.399999999999999</v>
      </c>
      <c r="K314" s="451">
        <f t="shared" si="484"/>
        <v>32.4</v>
      </c>
      <c r="L314" s="451"/>
      <c r="M314" s="221">
        <f t="shared" si="485"/>
        <v>0.50617283950617287</v>
      </c>
      <c r="N314" s="176">
        <f t="shared" si="520"/>
        <v>15.136592592592594</v>
      </c>
      <c r="O314" s="176">
        <f t="shared" si="478"/>
        <v>6.3797999999999995</v>
      </c>
      <c r="P314" s="221">
        <f t="shared" si="521"/>
        <v>0.97655436081242541</v>
      </c>
      <c r="Q314" s="221">
        <f t="shared" si="488"/>
        <v>15.5</v>
      </c>
      <c r="R314" s="221"/>
      <c r="S314" s="176">
        <f t="shared" si="489"/>
        <v>55.973310950519867</v>
      </c>
      <c r="T314" s="176">
        <f t="shared" si="522"/>
        <v>15.5</v>
      </c>
      <c r="U314" s="221">
        <f t="shared" si="491"/>
        <v>1.7505548780487801</v>
      </c>
      <c r="V314" s="221">
        <f t="shared" si="523"/>
        <v>0.98468711890243876</v>
      </c>
      <c r="W314" s="221">
        <f t="shared" si="493"/>
        <v>0.96067035990481853</v>
      </c>
      <c r="X314" s="201">
        <f t="shared" si="494"/>
        <v>350</v>
      </c>
      <c r="Y314" s="451">
        <f t="shared" si="480"/>
        <v>350</v>
      </c>
      <c r="AA314" s="221">
        <f t="shared" si="495"/>
        <v>2.5710366451107194</v>
      </c>
      <c r="AB314" s="177">
        <f t="shared" si="524"/>
        <v>1.4109347442680777</v>
      </c>
      <c r="AC314" s="177">
        <f t="shared" si="525"/>
        <v>0.63482386299030114</v>
      </c>
      <c r="AD314" s="177"/>
      <c r="AE314" s="177">
        <f t="shared" si="498"/>
        <v>0.45</v>
      </c>
      <c r="AF314" s="555">
        <f t="shared" si="526"/>
        <v>2230.8943089430895</v>
      </c>
      <c r="AG314" s="538">
        <f t="shared" si="500"/>
        <v>6.4574999999999994E-2</v>
      </c>
      <c r="AI314" s="177">
        <f t="shared" si="501"/>
        <v>2.070233481196424</v>
      </c>
      <c r="AJ314" s="177">
        <f t="shared" si="527"/>
        <v>2.070233481196424</v>
      </c>
      <c r="AK314" s="177">
        <f t="shared" si="528"/>
        <v>2.033488987464283</v>
      </c>
      <c r="AM314" s="555">
        <f t="shared" si="504"/>
        <v>411.59999999999997</v>
      </c>
      <c r="AN314" s="469">
        <f t="shared" si="505"/>
        <v>350</v>
      </c>
      <c r="AP314">
        <f t="shared" si="506"/>
        <v>411.59999999999997</v>
      </c>
      <c r="AQ314">
        <f t="shared" si="507"/>
        <v>350</v>
      </c>
      <c r="AS314" s="5">
        <f t="shared" si="479"/>
        <v>2.8571428571428572</v>
      </c>
      <c r="AT314" s="5">
        <f t="shared" si="508"/>
        <v>1.1645063331729886</v>
      </c>
      <c r="AU314" s="5">
        <f t="shared" si="516"/>
        <v>1.6926365239698686</v>
      </c>
      <c r="AV314" s="5"/>
      <c r="AW314" s="177">
        <f t="shared" si="517"/>
        <v>0.40757721661054597</v>
      </c>
      <c r="AX314" s="177"/>
      <c r="BA314" s="469">
        <f t="shared" si="509"/>
        <v>17.856916306602201</v>
      </c>
      <c r="BB314" s="469">
        <f t="shared" si="510"/>
        <v>21.620576099120232</v>
      </c>
      <c r="BC314" s="5">
        <f t="shared" si="518"/>
        <v>1.2498475110674727</v>
      </c>
      <c r="BD314" s="469">
        <f t="shared" si="511"/>
        <v>0</v>
      </c>
      <c r="BQ314" s="538">
        <f t="shared" si="512"/>
        <v>0.37043999999999999</v>
      </c>
      <c r="CG314" s="571">
        <f t="shared" si="513"/>
        <v>-50</v>
      </c>
      <c r="CH314">
        <f t="shared" si="514"/>
        <v>-50</v>
      </c>
    </row>
    <row r="315" spans="4:86" x14ac:dyDescent="0.2">
      <c r="E315" s="174">
        <v>99</v>
      </c>
      <c r="F315" s="221">
        <f t="shared" si="529"/>
        <v>0.4158</v>
      </c>
      <c r="G315" s="221"/>
      <c r="H315" s="221">
        <f t="shared" si="519"/>
        <v>6.4448999999999996</v>
      </c>
      <c r="I315" s="551">
        <f t="shared" si="482"/>
        <v>16</v>
      </c>
      <c r="J315" s="451">
        <f t="shared" si="483"/>
        <v>16.399999999999999</v>
      </c>
      <c r="K315" s="451">
        <f t="shared" si="484"/>
        <v>32.4</v>
      </c>
      <c r="L315" s="451"/>
      <c r="M315" s="221">
        <f t="shared" si="485"/>
        <v>0.50617283950617287</v>
      </c>
      <c r="N315" s="176">
        <f t="shared" si="520"/>
        <v>15.136592592592594</v>
      </c>
      <c r="O315" s="176">
        <f t="shared" si="478"/>
        <v>6.4448999999999996</v>
      </c>
      <c r="P315" s="221">
        <f t="shared" si="521"/>
        <v>0.97655436081242541</v>
      </c>
      <c r="Q315" s="221">
        <f t="shared" si="488"/>
        <v>15.5</v>
      </c>
      <c r="R315" s="221"/>
      <c r="S315" s="176">
        <f t="shared" si="489"/>
        <v>55.252117247493196</v>
      </c>
      <c r="T315" s="176">
        <f t="shared" si="522"/>
        <v>15.5</v>
      </c>
      <c r="U315" s="221">
        <f t="shared" si="491"/>
        <v>1.768417682926829</v>
      </c>
      <c r="V315" s="221">
        <f t="shared" si="523"/>
        <v>0.99473494664634132</v>
      </c>
      <c r="W315" s="221">
        <f t="shared" si="493"/>
        <v>0.97047311867935748</v>
      </c>
      <c r="X315" s="201">
        <f t="shared" si="494"/>
        <v>350</v>
      </c>
      <c r="Y315" s="451">
        <f t="shared" si="480"/>
        <v>350</v>
      </c>
      <c r="AA315" s="221">
        <f t="shared" si="495"/>
        <v>2.5710366451107194</v>
      </c>
      <c r="AB315" s="177">
        <f t="shared" si="524"/>
        <v>1.4109347442680777</v>
      </c>
      <c r="AC315" s="177">
        <f t="shared" si="525"/>
        <v>0.63482386299030114</v>
      </c>
      <c r="AD315" s="177"/>
      <c r="AE315" s="177">
        <f t="shared" si="498"/>
        <v>0.45</v>
      </c>
      <c r="AF315" s="555">
        <f t="shared" si="526"/>
        <v>2253.6585365853657</v>
      </c>
      <c r="AG315" s="538">
        <f t="shared" si="500"/>
        <v>6.4574999999999994E-2</v>
      </c>
      <c r="AI315" s="177">
        <f t="shared" si="501"/>
        <v>2.0807690885823922</v>
      </c>
      <c r="AJ315" s="177">
        <f t="shared" si="527"/>
        <v>2.0807690885823922</v>
      </c>
      <c r="AK315" s="177">
        <f t="shared" si="528"/>
        <v>2.0405127257215949</v>
      </c>
      <c r="AM315" s="555">
        <f t="shared" si="504"/>
        <v>415.8</v>
      </c>
      <c r="AN315" s="469">
        <f t="shared" si="505"/>
        <v>350</v>
      </c>
      <c r="AP315">
        <f t="shared" si="506"/>
        <v>415.8</v>
      </c>
      <c r="AQ315">
        <f t="shared" si="507"/>
        <v>350</v>
      </c>
      <c r="AS315" s="5">
        <f t="shared" si="479"/>
        <v>2.8571428571428572</v>
      </c>
      <c r="AT315" s="5">
        <f t="shared" si="508"/>
        <v>1.1704326123275957</v>
      </c>
      <c r="AU315" s="5">
        <f t="shared" si="516"/>
        <v>1.6867102448152616</v>
      </c>
      <c r="AV315" s="5"/>
      <c r="AW315" s="177">
        <f t="shared" si="517"/>
        <v>0.40965141431465846</v>
      </c>
      <c r="AX315" s="177"/>
      <c r="BA315" s="469">
        <f t="shared" si="509"/>
        <v>17.856916306602201</v>
      </c>
      <c r="BB315" s="469">
        <f t="shared" si="510"/>
        <v>22.055577837096784</v>
      </c>
      <c r="BC315" s="5">
        <f t="shared" si="518"/>
        <v>1.2581804232418841</v>
      </c>
      <c r="BD315" s="469">
        <f t="shared" si="511"/>
        <v>0</v>
      </c>
      <c r="BQ315" s="538">
        <f t="shared" si="512"/>
        <v>0.37422</v>
      </c>
      <c r="CG315" s="571">
        <f t="shared" si="513"/>
        <v>-50</v>
      </c>
      <c r="CH315">
        <f t="shared" si="514"/>
        <v>-50</v>
      </c>
    </row>
    <row r="316" spans="4:86" x14ac:dyDescent="0.2">
      <c r="E316" s="174">
        <v>100</v>
      </c>
      <c r="F316" s="221">
        <f t="shared" si="529"/>
        <v>0.42</v>
      </c>
      <c r="G316" s="221"/>
      <c r="H316" s="221">
        <f t="shared" si="519"/>
        <v>6.51</v>
      </c>
      <c r="I316" s="551">
        <f t="shared" si="482"/>
        <v>16</v>
      </c>
      <c r="J316" s="451">
        <f t="shared" si="483"/>
        <v>16.399999999999999</v>
      </c>
      <c r="K316" s="451">
        <f t="shared" si="484"/>
        <v>32.4</v>
      </c>
      <c r="L316" s="451"/>
      <c r="M316" s="221">
        <f t="shared" si="485"/>
        <v>0.50617283950617287</v>
      </c>
      <c r="N316" s="176">
        <f t="shared" si="520"/>
        <v>15.136592592592594</v>
      </c>
      <c r="O316" s="176">
        <f t="shared" si="478"/>
        <v>6.51</v>
      </c>
      <c r="P316" s="221">
        <f t="shared" si="521"/>
        <v>0.97655436081242541</v>
      </c>
      <c r="Q316" s="221">
        <f t="shared" si="488"/>
        <v>15.5</v>
      </c>
      <c r="R316" s="221"/>
      <c r="S316" s="176">
        <f t="shared" si="489"/>
        <v>54.545429112176649</v>
      </c>
      <c r="T316" s="176">
        <f t="shared" si="522"/>
        <v>15.5</v>
      </c>
      <c r="U316" s="221">
        <f t="shared" si="491"/>
        <v>1.7862804878048779</v>
      </c>
      <c r="V316" s="221">
        <f t="shared" si="523"/>
        <v>1.0047827743902438</v>
      </c>
      <c r="W316" s="221">
        <f t="shared" si="493"/>
        <v>0.98027587745389655</v>
      </c>
      <c r="X316" s="201">
        <f t="shared" si="494"/>
        <v>350</v>
      </c>
      <c r="Y316" s="451">
        <f t="shared" si="480"/>
        <v>350</v>
      </c>
      <c r="AA316" s="221">
        <f t="shared" si="495"/>
        <v>2.5710366451107194</v>
      </c>
      <c r="AB316" s="177">
        <f t="shared" si="524"/>
        <v>1.4109347442680777</v>
      </c>
      <c r="AC316" s="177">
        <f t="shared" si="525"/>
        <v>0.63482386299030114</v>
      </c>
      <c r="AD316" s="177"/>
      <c r="AE316" s="177">
        <f t="shared" si="498"/>
        <v>0.45</v>
      </c>
      <c r="AF316" s="555">
        <f t="shared" si="526"/>
        <v>2276.4227642276423</v>
      </c>
      <c r="AG316" s="538">
        <f t="shared" si="500"/>
        <v>6.4574999999999994E-2</v>
      </c>
      <c r="AI316" s="177">
        <f t="shared" si="501"/>
        <v>2.0912516188477492</v>
      </c>
      <c r="AJ316" s="177">
        <f t="shared" si="527"/>
        <v>2.0912516188477492</v>
      </c>
      <c r="AK316" s="177">
        <f t="shared" si="528"/>
        <v>2.0475010792318331</v>
      </c>
      <c r="AM316" s="555">
        <f t="shared" si="504"/>
        <v>420</v>
      </c>
      <c r="AN316" s="469">
        <f t="shared" si="505"/>
        <v>350</v>
      </c>
      <c r="AP316">
        <f t="shared" si="506"/>
        <v>420</v>
      </c>
      <c r="AQ316">
        <f t="shared" si="507"/>
        <v>350</v>
      </c>
      <c r="AS316" s="5">
        <f t="shared" si="479"/>
        <v>2.8571428571428572</v>
      </c>
      <c r="AT316" s="5">
        <f t="shared" si="508"/>
        <v>1.176329035601859</v>
      </c>
      <c r="AU316" s="5">
        <f t="shared" si="516"/>
        <v>1.6808138215409982</v>
      </c>
      <c r="AV316" s="5"/>
      <c r="AW316" s="177">
        <f t="shared" si="517"/>
        <v>0.41171516246065065</v>
      </c>
      <c r="AX316" s="177"/>
      <c r="BA316" s="469">
        <f t="shared" si="509"/>
        <v>17.856916306602201</v>
      </c>
      <c r="BB316" s="469">
        <f t="shared" si="510"/>
        <v>22.494910557184753</v>
      </c>
      <c r="BC316" s="5">
        <f t="shared" si="518"/>
        <v>1.2664465252583212</v>
      </c>
      <c r="BD316" s="469">
        <f t="shared" si="511"/>
        <v>0</v>
      </c>
      <c r="BQ316" s="538">
        <f t="shared" si="512"/>
        <v>0.378</v>
      </c>
      <c r="CG316" s="571">
        <f t="shared" si="513"/>
        <v>-50</v>
      </c>
      <c r="CH316">
        <f t="shared" si="514"/>
        <v>-50</v>
      </c>
    </row>
    <row r="317" spans="4:86" x14ac:dyDescent="0.2">
      <c r="E317" s="174"/>
      <c r="F317" s="221"/>
      <c r="G317" s="221"/>
      <c r="CG317" s="571"/>
    </row>
    <row r="318" spans="4:86" x14ac:dyDescent="0.2">
      <c r="CG318" s="571"/>
    </row>
    <row r="319" spans="4:86" x14ac:dyDescent="0.2">
      <c r="D319" s="77" t="s">
        <v>824</v>
      </c>
      <c r="CG319" s="571"/>
    </row>
    <row r="320" spans="4:86" x14ac:dyDescent="0.2">
      <c r="E320" s="77" t="s">
        <v>831</v>
      </c>
      <c r="CG320" s="571"/>
    </row>
    <row r="321" spans="4:85" x14ac:dyDescent="0.2">
      <c r="F321" s="77" t="s">
        <v>826</v>
      </c>
      <c r="G321" s="77" t="s">
        <v>825</v>
      </c>
      <c r="BB321" s="77" t="s">
        <v>827</v>
      </c>
      <c r="BC321" s="77" t="s">
        <v>829</v>
      </c>
      <c r="BD321" s="77" t="s">
        <v>830</v>
      </c>
      <c r="BF321" s="77" t="s">
        <v>828</v>
      </c>
      <c r="CG321" s="571"/>
    </row>
    <row r="322" spans="4:85" x14ac:dyDescent="0.2">
      <c r="F322">
        <f>'LM(2)518x PSR flyback converter'!E57</f>
        <v>1E-3</v>
      </c>
      <c r="G322" s="772">
        <f>F322*Vout</f>
        <v>1.55E-2</v>
      </c>
      <c r="BB322">
        <f>F322*Vout</f>
        <v>1.55E-2</v>
      </c>
      <c r="BC322" s="771">
        <v>2.2000000000000001E-7</v>
      </c>
    </row>
    <row r="323" spans="4:85" x14ac:dyDescent="0.2">
      <c r="E323" t="s">
        <v>832</v>
      </c>
    </row>
    <row r="324" spans="4:85" x14ac:dyDescent="0.2">
      <c r="F324" t="s">
        <v>833</v>
      </c>
      <c r="G324" t="s">
        <v>834</v>
      </c>
      <c r="H324" t="s">
        <v>835</v>
      </c>
      <c r="I324" s="77" t="s">
        <v>676</v>
      </c>
    </row>
    <row r="325" spans="4:85" x14ac:dyDescent="0.2">
      <c r="F325" s="771">
        <v>1.9999999999999999E-7</v>
      </c>
      <c r="G325">
        <f>VIN_max</f>
        <v>16</v>
      </c>
      <c r="H325">
        <f>15000</f>
        <v>15000</v>
      </c>
      <c r="I325">
        <f>L*0.9</f>
        <v>8.1000000000000004E-6</v>
      </c>
    </row>
    <row r="326" spans="4:85" x14ac:dyDescent="0.2">
      <c r="G326" s="77" t="s">
        <v>836</v>
      </c>
    </row>
    <row r="327" spans="4:85" x14ac:dyDescent="0.2">
      <c r="G327" s="772">
        <f>0.5*(G325/I325*F325)^2*H325*I325</f>
        <v>9.4814814814814814E-3</v>
      </c>
    </row>
    <row r="328" spans="4:85" x14ac:dyDescent="0.2">
      <c r="E328" s="77" t="s">
        <v>837</v>
      </c>
    </row>
    <row r="329" spans="4:85" x14ac:dyDescent="0.2">
      <c r="G329" t="str">
        <f>IF(G327&gt;G322, "Yes", "No")</f>
        <v>No</v>
      </c>
      <c r="H329">
        <f>(Vout*1.05)^2/G327</f>
        <v>27936.101074218757</v>
      </c>
    </row>
    <row r="332" spans="4:85" x14ac:dyDescent="0.2">
      <c r="D332" s="77"/>
    </row>
    <row r="334" spans="4:85" x14ac:dyDescent="0.2">
      <c r="F334" s="555"/>
    </row>
    <row r="335" spans="4:85" x14ac:dyDescent="0.2">
      <c r="F335" s="555"/>
    </row>
    <row r="336" spans="4:85" x14ac:dyDescent="0.2">
      <c r="F336" s="555"/>
    </row>
  </sheetData>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CJ340"/>
  <sheetViews>
    <sheetView zoomScaleNormal="100" workbookViewId="0">
      <pane xSplit="10" ySplit="4" topLeftCell="K305" activePane="bottomRight" state="frozen"/>
      <selection pane="topRight" activeCell="K1" sqref="K1"/>
      <selection pane="bottomLeft" activeCell="A5" sqref="A5"/>
      <selection pane="bottomRight" activeCell="O332" sqref="O332"/>
    </sheetView>
  </sheetViews>
  <sheetFormatPr defaultRowHeight="12.75" x14ac:dyDescent="0.2"/>
  <cols>
    <col min="1" max="1" width="2.7109375" customWidth="1"/>
    <col min="2" max="2" width="3.5703125" customWidth="1"/>
    <col min="3" max="3" width="2.7109375" customWidth="1"/>
    <col min="4" max="4" width="3.7109375" customWidth="1"/>
    <col min="5" max="5" width="6.28515625" customWidth="1"/>
    <col min="6" max="6" width="9" customWidth="1"/>
    <col min="7" max="9" width="7.7109375" customWidth="1"/>
    <col min="10" max="10" width="6.28515625" customWidth="1"/>
    <col min="11" max="11" width="9.5703125" customWidth="1"/>
    <col min="12" max="12" width="9.28515625" customWidth="1"/>
    <col min="13" max="13" width="10.5703125" customWidth="1"/>
    <col min="14" max="14" width="8.42578125" customWidth="1"/>
    <col min="15" max="16" width="9.5703125" customWidth="1"/>
    <col min="17" max="18" width="8.7109375" customWidth="1"/>
    <col min="19" max="19" width="8.5703125" customWidth="1"/>
    <col min="20" max="20" width="7.5703125" customWidth="1"/>
    <col min="21" max="21" width="9" customWidth="1"/>
    <col min="22" max="22" width="8.7109375" customWidth="1"/>
    <col min="23" max="23" width="10" customWidth="1"/>
    <col min="24" max="24" width="9.5703125" customWidth="1"/>
    <col min="25" max="25" width="1.7109375" customWidth="1"/>
    <col min="26" max="26" width="9.7109375" customWidth="1"/>
    <col min="27" max="27" width="10.42578125" customWidth="1"/>
    <col min="28" max="28" width="10.28515625" customWidth="1"/>
    <col min="29" max="29" width="2" customWidth="1"/>
    <col min="30" max="30" width="9.28515625" customWidth="1"/>
    <col min="31" max="31" width="9.42578125" customWidth="1"/>
    <col min="32" max="32" width="10.42578125" customWidth="1"/>
    <col min="33" max="33" width="2.28515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28515625" customWidth="1"/>
    <col min="44" max="46" width="7" customWidth="1"/>
    <col min="47" max="47" width="8.42578125" customWidth="1"/>
    <col min="48" max="48" width="2.28515625" customWidth="1"/>
    <col min="49" max="49" width="9.42578125" customWidth="1"/>
    <col min="50" max="50" width="12.5703125" customWidth="1"/>
    <col min="51" max="51" width="9.42578125" customWidth="1"/>
    <col min="52" max="52" width="12.7109375" customWidth="1"/>
    <col min="53" max="54" width="9.7109375" customWidth="1"/>
    <col min="55" max="55" width="2" customWidth="1"/>
    <col min="59" max="59" width="2.28515625" customWidth="1"/>
    <col min="60" max="60" width="9" customWidth="1"/>
    <col min="61" max="62" width="8.28515625" customWidth="1"/>
    <col min="63" max="63" width="8.7109375" customWidth="1"/>
    <col min="64" max="64" width="7.5703125" customWidth="1"/>
    <col min="65" max="65" width="8.5703125" customWidth="1"/>
    <col min="66" max="67" width="7.5703125" customWidth="1"/>
    <col min="68" max="69" width="10.28515625" customWidth="1"/>
    <col min="70" max="70" width="9.42578125" customWidth="1"/>
    <col min="71" max="71" width="9.5703125" customWidth="1"/>
    <col min="72" max="72" width="10" customWidth="1"/>
    <col min="73" max="73" width="8.7109375" customWidth="1"/>
    <col min="76" max="78" width="9.7109375" customWidth="1"/>
    <col min="79" max="79" width="12.28515625" customWidth="1"/>
    <col min="80" max="80" width="9.28515625" customWidth="1"/>
    <col min="82" max="82" width="7.7109375" customWidth="1"/>
    <col min="83" max="83" width="10.42578125" customWidth="1"/>
    <col min="84" max="84" width="12.42578125" bestFit="1" customWidth="1"/>
    <col min="85" max="85" width="6.5703125" customWidth="1"/>
    <col min="86" max="86" width="5" customWidth="1"/>
    <col min="87" max="87" width="9.5703125" customWidth="1"/>
  </cols>
  <sheetData>
    <row r="1" spans="2:88" x14ac:dyDescent="0.2">
      <c r="B1" s="453" t="s">
        <v>526</v>
      </c>
    </row>
    <row r="2" spans="2:88" ht="13.5" thickBot="1" x14ac:dyDescent="0.25">
      <c r="AW2">
        <f>Vout_ripple</f>
        <v>155</v>
      </c>
    </row>
    <row r="3" spans="2:88" x14ac:dyDescent="0.2">
      <c r="E3" s="224" t="s">
        <v>428</v>
      </c>
      <c r="F3" s="550"/>
      <c r="G3" s="550"/>
      <c r="H3" s="550"/>
      <c r="I3" s="550"/>
      <c r="J3" s="225"/>
      <c r="K3" s="226"/>
      <c r="L3" s="534"/>
      <c r="M3" s="534"/>
      <c r="N3" s="849" t="s">
        <v>189</v>
      </c>
      <c r="O3" s="850"/>
      <c r="P3" s="851"/>
      <c r="Q3" s="849"/>
      <c r="R3" s="851"/>
      <c r="S3" s="849"/>
      <c r="T3" s="849"/>
      <c r="U3" s="850"/>
      <c r="V3" s="850"/>
      <c r="W3" s="849"/>
      <c r="X3" s="850"/>
      <c r="Y3" s="849"/>
      <c r="Z3" s="852"/>
      <c r="AA3" s="543"/>
      <c r="AB3" s="543"/>
      <c r="AC3" s="543"/>
      <c r="AD3" s="543"/>
      <c r="AE3" s="543"/>
      <c r="AF3" s="543"/>
      <c r="AG3" s="543"/>
      <c r="AH3" s="543"/>
      <c r="AI3" s="543"/>
      <c r="AJ3" s="543"/>
      <c r="AK3" s="543"/>
      <c r="AL3" s="543"/>
      <c r="AM3" s="543"/>
      <c r="AN3" s="543"/>
      <c r="AO3" s="543"/>
      <c r="AP3" s="543"/>
      <c r="AQ3" s="543"/>
      <c r="AR3" s="543" t="s">
        <v>467</v>
      </c>
      <c r="AS3" s="543"/>
      <c r="AT3" s="543"/>
      <c r="AU3" s="543"/>
      <c r="AV3" s="543"/>
      <c r="AW3" s="543"/>
      <c r="AX3" s="543"/>
      <c r="AY3" s="543" t="s">
        <v>477</v>
      </c>
      <c r="AZ3" s="543"/>
      <c r="BA3" s="543"/>
      <c r="BB3" s="543"/>
      <c r="BC3" s="543"/>
      <c r="BD3" s="568" t="s">
        <v>478</v>
      </c>
      <c r="BE3" s="543"/>
      <c r="BF3" s="543"/>
      <c r="BG3" s="543"/>
      <c r="BH3" s="568" t="s">
        <v>502</v>
      </c>
      <c r="BI3" s="543"/>
      <c r="BJ3" s="543"/>
      <c r="BK3" s="543"/>
      <c r="BL3" s="543"/>
      <c r="BM3" s="543"/>
      <c r="BN3" s="543"/>
      <c r="BO3" s="543"/>
      <c r="BP3" s="568" t="s">
        <v>498</v>
      </c>
      <c r="BQ3" s="543"/>
      <c r="BR3" s="543"/>
      <c r="BS3" s="543"/>
      <c r="BT3" s="543"/>
      <c r="BU3" s="569" t="s">
        <v>499</v>
      </c>
      <c r="BV3" s="543"/>
      <c r="BW3" s="543"/>
      <c r="BX3" s="543"/>
      <c r="BY3" s="543"/>
      <c r="BZ3" s="543"/>
      <c r="CA3" s="543"/>
      <c r="CB3" s="543"/>
      <c r="CC3" s="568"/>
      <c r="CD3" s="543"/>
      <c r="CE3" s="543"/>
      <c r="CF3" s="543"/>
      <c r="CG3" s="543"/>
    </row>
    <row r="4" spans="2:88" ht="45" customHeight="1" thickBot="1" x14ac:dyDescent="0.25">
      <c r="E4" s="245" t="s">
        <v>25</v>
      </c>
      <c r="F4" s="613" t="s">
        <v>594</v>
      </c>
      <c r="G4" s="452" t="s">
        <v>593</v>
      </c>
      <c r="H4" s="614" t="s">
        <v>595</v>
      </c>
      <c r="I4" s="615" t="s">
        <v>596</v>
      </c>
      <c r="J4" s="246" t="s">
        <v>419</v>
      </c>
      <c r="K4" s="247" t="s">
        <v>600</v>
      </c>
      <c r="L4" s="616" t="s">
        <v>420</v>
      </c>
      <c r="M4" s="617"/>
      <c r="N4" s="248" t="s">
        <v>48</v>
      </c>
      <c r="O4" s="617" t="s">
        <v>604</v>
      </c>
      <c r="P4" s="617" t="s">
        <v>619</v>
      </c>
      <c r="Q4" s="617" t="s">
        <v>597</v>
      </c>
      <c r="R4" s="617" t="s">
        <v>598</v>
      </c>
      <c r="S4" s="617" t="s">
        <v>599</v>
      </c>
      <c r="T4" s="617" t="s">
        <v>421</v>
      </c>
      <c r="U4" s="617" t="s">
        <v>473</v>
      </c>
      <c r="V4" s="617" t="s">
        <v>472</v>
      </c>
      <c r="W4" s="618" t="s">
        <v>427</v>
      </c>
      <c r="X4" s="619" t="s">
        <v>432</v>
      </c>
      <c r="Z4" s="249" t="s">
        <v>424</v>
      </c>
      <c r="AA4" s="249" t="s">
        <v>471</v>
      </c>
      <c r="AB4" s="249" t="s">
        <v>601</v>
      </c>
      <c r="AC4" s="554"/>
      <c r="AD4" s="249" t="s">
        <v>470</v>
      </c>
      <c r="AE4" s="618" t="s">
        <v>433</v>
      </c>
      <c r="AF4" s="249" t="s">
        <v>602</v>
      </c>
      <c r="AG4" s="554"/>
      <c r="AH4" s="249" t="s">
        <v>436</v>
      </c>
      <c r="AI4" s="557" t="s">
        <v>437</v>
      </c>
      <c r="AJ4" s="557" t="s">
        <v>438</v>
      </c>
      <c r="AL4" s="553" t="s">
        <v>274</v>
      </c>
      <c r="AM4" s="553" t="s">
        <v>439</v>
      </c>
      <c r="AO4" s="249" t="s">
        <v>274</v>
      </c>
      <c r="AP4" s="249" t="s">
        <v>439</v>
      </c>
      <c r="AQ4" s="558"/>
      <c r="AR4" s="249" t="s">
        <v>474</v>
      </c>
      <c r="AS4" s="249" t="s">
        <v>468</v>
      </c>
      <c r="AT4" s="249" t="s">
        <v>469</v>
      </c>
      <c r="AU4" s="249" t="s">
        <v>48</v>
      </c>
      <c r="AV4" s="554"/>
      <c r="AW4" s="249" t="s">
        <v>605</v>
      </c>
      <c r="AX4" s="249" t="s">
        <v>796</v>
      </c>
      <c r="AY4" s="249" t="s">
        <v>606</v>
      </c>
      <c r="AZ4" s="249" t="s">
        <v>797</v>
      </c>
      <c r="BA4" s="249" t="s">
        <v>525</v>
      </c>
      <c r="BB4" s="249" t="s">
        <v>795</v>
      </c>
      <c r="BC4" s="554"/>
      <c r="BD4" s="567" t="s">
        <v>463</v>
      </c>
      <c r="BE4" s="249" t="s">
        <v>613</v>
      </c>
      <c r="BF4" s="249" t="s">
        <v>612</v>
      </c>
      <c r="BG4" s="554"/>
      <c r="BH4" s="567" t="s">
        <v>481</v>
      </c>
      <c r="BI4" s="249" t="s">
        <v>482</v>
      </c>
      <c r="BJ4" s="249" t="s">
        <v>480</v>
      </c>
      <c r="BK4" s="249" t="s">
        <v>476</v>
      </c>
      <c r="BL4" s="249" t="s">
        <v>485</v>
      </c>
      <c r="BM4" s="249" t="s">
        <v>793</v>
      </c>
      <c r="BN4" s="249" t="s">
        <v>686</v>
      </c>
      <c r="BO4" s="249" t="s">
        <v>500</v>
      </c>
      <c r="BP4" s="567" t="s">
        <v>615</v>
      </c>
      <c r="BQ4" s="249" t="s">
        <v>614</v>
      </c>
      <c r="BR4" s="249" t="s">
        <v>484</v>
      </c>
      <c r="BS4" s="249" t="s">
        <v>492</v>
      </c>
      <c r="BT4" s="249" t="s">
        <v>816</v>
      </c>
      <c r="BU4" s="567" t="s">
        <v>465</v>
      </c>
      <c r="BV4" s="249" t="s">
        <v>617</v>
      </c>
      <c r="BW4" s="249" t="s">
        <v>616</v>
      </c>
      <c r="BX4" s="249" t="s">
        <v>475</v>
      </c>
      <c r="BY4" s="249" t="s">
        <v>692</v>
      </c>
      <c r="BZ4" s="249" t="s">
        <v>800</v>
      </c>
      <c r="CA4" s="249" t="s">
        <v>493</v>
      </c>
      <c r="CB4" s="249" t="s">
        <v>495</v>
      </c>
      <c r="CC4" s="567" t="s">
        <v>491</v>
      </c>
      <c r="CD4" s="249" t="s">
        <v>223</v>
      </c>
      <c r="CE4" s="249" t="s">
        <v>47</v>
      </c>
      <c r="CF4" s="249" t="s">
        <v>494</v>
      </c>
      <c r="CG4" s="249" t="s">
        <v>618</v>
      </c>
      <c r="CI4" s="579" t="s">
        <v>507</v>
      </c>
    </row>
    <row r="5" spans="2:88" x14ac:dyDescent="0.2">
      <c r="E5" s="174">
        <v>0.1</v>
      </c>
      <c r="F5" s="221">
        <v>1.0000000000000001E-9</v>
      </c>
      <c r="G5" s="221">
        <v>1.0000000000000001E-9</v>
      </c>
      <c r="H5" s="221">
        <f t="shared" ref="H5:H36" si="0">F5*Vout</f>
        <v>1.55E-8</v>
      </c>
      <c r="I5" s="221">
        <f>G5*Vout2</f>
        <v>8.0000000000000005E-9</v>
      </c>
      <c r="J5" s="551">
        <f t="shared" ref="J5:J68" si="1">Vin</f>
        <v>12</v>
      </c>
      <c r="K5" s="451">
        <f t="shared" ref="K5:K68" si="2">(S5+Vfwd1)*Nps</f>
        <v>16.399999999999999</v>
      </c>
      <c r="L5" s="451">
        <f t="shared" ref="L5:L68" si="3">(Vout+Vfwd1)*Nps+J5</f>
        <v>28.4</v>
      </c>
      <c r="M5" s="451"/>
      <c r="N5" s="221">
        <f t="shared" ref="N5:N68" si="4">(Vout+Vfwd1)*Nps/((Vout+Vfwd1)*Nps+J5)</f>
        <v>0.57746478873239437</v>
      </c>
      <c r="O5" s="176">
        <f>N5*J5*Isw_max*0.5*Efficiency*(Pout/Pout_total)</f>
        <v>12.78507042253521</v>
      </c>
      <c r="P5" s="176">
        <f t="shared" ref="P5:P36" si="5">N5*J5*Isw_max*0.5*Efficiency*(Pout2/Pout_total)</f>
        <v>11.390692542350877</v>
      </c>
      <c r="Q5" s="221">
        <f t="shared" ref="Q5:Q68" si="6">O5/Vout</f>
        <v>0.82484325306678774</v>
      </c>
      <c r="R5" s="221">
        <f t="shared" ref="R5:R36" si="7">O5/Vout2</f>
        <v>1.5981338028169012</v>
      </c>
      <c r="S5" s="451">
        <f t="shared" ref="S5:S36" si="8">MIN(Vout,O5/F5)</f>
        <v>15.5</v>
      </c>
      <c r="T5" s="221">
        <f t="shared" ref="T5:T36" si="9">MIN(2*(Vout*F5+Vout2*G5)/(Efficiency*J5*N5), Isw_max)</f>
        <v>7.5361336946702785E-9</v>
      </c>
      <c r="U5" s="221">
        <f t="shared" ref="U5:U68" si="10">L*T5/J5*1000000</f>
        <v>5.6521002710027093E-9</v>
      </c>
      <c r="V5" s="221">
        <f t="shared" ref="V5:V68" si="11">L*T5/K5*1000000</f>
        <v>4.1356831251239341E-9</v>
      </c>
      <c r="W5" s="201">
        <f t="shared" ref="W5:W68" si="12">IF(1/((350000*L)*(1/J5+1/K5))&gt;Isw_min, 350, 0.001/((Isw_min*L)*(1/J5+1/K5)))</f>
        <v>350</v>
      </c>
      <c r="X5" s="451">
        <f>MIN(1/(U5+V5)*1000, 350)</f>
        <v>350</v>
      </c>
      <c r="Z5" s="221">
        <f t="shared" ref="Z5:Z68" si="13">1/((W5*1000*L)*(1/J5+1/K5))</f>
        <v>2.1998658618376927</v>
      </c>
      <c r="AA5" s="177">
        <f t="shared" ref="AA5:AA68" si="14">L*Z5/K5*1000000</f>
        <v>1.2072434607645877</v>
      </c>
      <c r="AB5" s="177">
        <f t="shared" ref="AB5:AB36" si="15">0.5*AA5*Z5*Nps*W5/1000*(Pout/Pout_total)</f>
        <v>0.46476039334599145</v>
      </c>
      <c r="AC5" s="177"/>
      <c r="AD5" s="177">
        <f t="shared" ref="AD5:AD68" si="16">L*Isw_min/K5*1000000</f>
        <v>0.45</v>
      </c>
      <c r="AE5" s="555">
        <f t="shared" ref="AE5:AE36" si="17">MAX(10, F5/(0.5*AD5/1000000*Isw_min*Nps)/1000*Pout_total/Pout)</f>
        <v>10</v>
      </c>
      <c r="AF5" s="538">
        <f t="shared" ref="AF5:AF36" si="18">0.5*AD5/1000000*Isw_min*Nps*W5*1000*(Pout/Pout_total)</f>
        <v>6.4574999999999994E-2</v>
      </c>
      <c r="AH5" s="177">
        <f t="shared" ref="AH5:AH36" si="19">SQRT((H5+I5)/(0.5*L*Fsw_DCM))</f>
        <v>1.2215005084172058E-4</v>
      </c>
      <c r="AI5" s="177">
        <f t="shared" ref="AI5:AI36" si="20">MAX(IF(F5&gt;AB5,T5,AH5),Isw_min)</f>
        <v>0.82</v>
      </c>
      <c r="AJ5" s="177">
        <f t="shared" ref="AJ5:AJ36" si="21">IF(F5&gt;AF5, (AI5-Isw_min)/1.08*0.8+1.2, AE5*0.2/350+1)</f>
        <v>1.0057142857142858</v>
      </c>
      <c r="AL5" s="555">
        <f t="shared" ref="AL5:AL36" si="22">F5*1000</f>
        <v>1.0000000000000002E-6</v>
      </c>
      <c r="AM5" s="469">
        <f t="shared" ref="AM5:AM36" si="23">IF(F5&gt;AF5, X5, AE5)</f>
        <v>10</v>
      </c>
      <c r="AO5">
        <f>IF(H5&gt;O5, "",AL5)</f>
        <v>1.0000000000000002E-6</v>
      </c>
      <c r="AP5" s="469">
        <f t="shared" ref="AP5:AP68" si="24">IF(H5&gt;O5, "",AM5)</f>
        <v>10</v>
      </c>
      <c r="AQ5" s="469"/>
      <c r="AR5" s="5">
        <f>1/AM5*1000</f>
        <v>100</v>
      </c>
      <c r="AS5" s="5">
        <f t="shared" ref="AS5:AS68" si="25">L*AI5/J5*1000000</f>
        <v>0.61499999999999988</v>
      </c>
      <c r="AT5" s="5">
        <f>AR5-AS5</f>
        <v>99.385000000000005</v>
      </c>
      <c r="AU5" s="177">
        <f>AS5/AR5</f>
        <v>6.1499999999999992E-3</v>
      </c>
      <c r="AW5" s="5">
        <f t="shared" ref="AW5:AW36" si="26">L*Iout^2/(2*Vripple1_spec*Vout*Npri_sec1^2)*1000000000*((1+N5)/(1-N5))^2</f>
        <v>4.6051229968782526</v>
      </c>
      <c r="AX5" s="5">
        <f t="shared" ref="AX5:AX36" si="27">L*F5^2/(2*Cout*Vout*Nps^2)*1000000000*((1+N5)/(1-N5))^2+F5*RCoutEsr</f>
        <v>2.0000001839296188E-9</v>
      </c>
      <c r="AY5" s="5">
        <f t="shared" ref="AY5:AY36" si="28">L*Iout2^2/(2*Vripple2_spec*Vout2*Npri_sec2^2)*1000000000*((1+N5)/(1-N5))^2</f>
        <v>15.170308270746586</v>
      </c>
      <c r="AZ5" s="5">
        <f t="shared" ref="AZ5:AZ36" si="29">L*G5^2/(2*Cout2*Vout2*Npri_sec2^2)*1000000000*((1+N5)/(1-N5))^2+G5*CoutEsr2</f>
        <v>2.000000104950787E-9</v>
      </c>
      <c r="BA5" s="5">
        <f t="shared" ref="BA5:BA36" si="30">(H5+I5)/Efficiency/J5*AT5/Vinripple1</f>
        <v>3.6042399691358018E-7</v>
      </c>
      <c r="BB5" s="469">
        <f t="shared" ref="BB5:BB36" si="31">((CD5/J5/Efficiency)*AT5/Cin+(CD5/J5/Efficiency)*RCinEsr)*1000</f>
        <v>2.1631967592592593E-5</v>
      </c>
      <c r="BC5" s="5"/>
      <c r="BD5" s="177">
        <f>AI5*SQRT(AU5/3)</f>
        <v>3.7127079066363401E-2</v>
      </c>
      <c r="BE5" s="177">
        <f t="shared" ref="BE5:BE36" si="32">AI5*Npri_sec1*SQRT((1-AU5)/3)*(Pout/Pout_total)</f>
        <v>0.47196918684733363</v>
      </c>
      <c r="BF5" s="177">
        <f t="shared" ref="BF5:BF36" si="33">AI5*Npri_sec2*SQRT((1-AU5)/3)*(Pout2/Pout_total)</f>
        <v>0.77484438897665431</v>
      </c>
      <c r="BG5" s="177"/>
      <c r="BH5" s="538">
        <f t="shared" ref="BH5:BH68" si="34">Rdson*BD5^2</f>
        <v>1.5162619999999996E-4</v>
      </c>
      <c r="BI5" s="538">
        <f t="shared" ref="BI5:BI68" si="35">0.5*L5*AI5*AM5*1000*Trise</f>
        <v>1.1643999999999999E-3</v>
      </c>
      <c r="BJ5" s="538">
        <f t="shared" ref="BJ5:BJ68" si="36">Qg*Vdd*AM5*1000</f>
        <v>5.0000000000000001E-4</v>
      </c>
      <c r="BK5" s="538">
        <f t="shared" ref="BK5:BK68" si="37">0.5*(Coss+Csw)*L5^2*AM5*1000</f>
        <v>1.8147599999999997E-3</v>
      </c>
      <c r="BL5">
        <f t="shared" ref="BL5:BL68" si="38">J5*IQ</f>
        <v>3.48E-3</v>
      </c>
      <c r="BM5">
        <f t="shared" ref="BM5:BM36" si="39">(J5-Vdd)*Qg*AM5</f>
        <v>7.0000000000000007E-7</v>
      </c>
      <c r="BN5">
        <f t="shared" ref="BN5:BN36" si="40">(BI5+BJ5+BK5+BL5+BM5+BH5*(1+RdsonTC*(Ta-25)))/(1-BH5*RdsonTC*ThetaJA)</f>
        <v>7.1116851496331466E-3</v>
      </c>
      <c r="BO5" s="469">
        <f>BN5*1000</f>
        <v>7.1116851496331464</v>
      </c>
      <c r="BP5" s="177">
        <f t="shared" ref="BP5:BP36" si="41">(Vfwd2*F5+BE5^2*Rdiode)*(1+Diode_TC/1000*(Ta-25))</f>
        <v>9.000000000000001E-10</v>
      </c>
      <c r="BQ5" s="177">
        <f t="shared" ref="BQ5:BQ36" si="42">(Vfwd2*G5+BF5^2*Rdiode)*(1+Diode_TC/1000*(Ta-25))</f>
        <v>9.000000000000001E-10</v>
      </c>
      <c r="BR5" s="538"/>
      <c r="BT5" s="469">
        <f>SUM(BP5:BS5)*1000</f>
        <v>1.8000000000000001E-6</v>
      </c>
      <c r="BU5" s="538">
        <f t="shared" ref="BU5:BU68" si="43">Rdcr_pri*BD5^2</f>
        <v>6.6164159999999983E-5</v>
      </c>
      <c r="BV5" s="538">
        <f>Rdcr_sec*BE5^2</f>
        <v>5.34611792E-2</v>
      </c>
      <c r="BW5" s="538">
        <f t="shared" ref="BW5:BW36" si="44">Rdcr_sec2*BF5^2</f>
        <v>0.14409211851086512</v>
      </c>
      <c r="BX5" s="538">
        <f t="shared" ref="BX5:BX68" si="45">AI5^2.5*AM5^2.5*k_core</f>
        <v>0</v>
      </c>
      <c r="BY5" s="538">
        <f t="shared" ref="BY5:BY36" si="46">(BX5+(BU5+BV5+BW5)*(1+Ltc*(Ta-25)))/(1-(BU5+BV5+BW5)*Ltc*ThetaCa)</f>
        <v>0.20079392486110437</v>
      </c>
      <c r="BZ5" s="538">
        <f>SUM(BU5:BX5)</f>
        <v>0.19761946187086513</v>
      </c>
      <c r="CA5" s="641">
        <f t="shared" ref="CA5:CA36" si="47">0.5*Lleak*0.000000001*AI5^2*AM5*1000</f>
        <v>3.3619999999999999E-4</v>
      </c>
      <c r="CB5" s="469">
        <f>(BY5+CA5)*1000</f>
        <v>201.13012486110438</v>
      </c>
      <c r="CC5" s="177">
        <f>SUM(BN5,BP5:BS5,BY5, CA5)</f>
        <v>0.20824181181073753</v>
      </c>
      <c r="CD5" s="5">
        <f>MIN(H5+I5,O5+P5)</f>
        <v>2.3499999999999999E-8</v>
      </c>
      <c r="CE5" s="177">
        <f>CD5/(CD5+CC5)</f>
        <v>1.1284956245671483E-7</v>
      </c>
      <c r="CF5" s="5">
        <f>CE5*100</f>
        <v>1.1284956245671482E-5</v>
      </c>
      <c r="CG5">
        <v>0</v>
      </c>
      <c r="CI5" s="571">
        <f t="shared" ref="CI5:CI36" si="48">IF(ABS(F5-Ioutmax_Vinnom)&lt;Iout/200, AM5, -50)</f>
        <v>-50</v>
      </c>
      <c r="CJ5">
        <f t="shared" ref="CJ5:CJ36" si="49">IF(ABS(F5-Ioutmax_Vinnom)&lt;Iout/200, (O5+P5)*CE5, -50)</f>
        <v>-50</v>
      </c>
    </row>
    <row r="6" spans="2:88" x14ac:dyDescent="0.2">
      <c r="E6" s="174">
        <v>1</v>
      </c>
      <c r="F6" s="221">
        <f>IF(PLOT_TYPE=1, E6/100*Iout, min_I*EXP(O6*rr/100))</f>
        <v>4.1999999999999997E-3</v>
      </c>
      <c r="G6" s="221">
        <f t="shared" ref="G6:G37" si="50">IF(PLOT_TYPE=1, E6/100*Iout2, min_I*EXP(Q6*rr/100))</f>
        <v>7.2499999999999995E-3</v>
      </c>
      <c r="H6" s="221">
        <f t="shared" si="0"/>
        <v>6.5099999999999991E-2</v>
      </c>
      <c r="I6" s="221">
        <f>G6*Vout2</f>
        <v>5.7999999999999996E-2</v>
      </c>
      <c r="J6" s="551">
        <f t="shared" si="1"/>
        <v>12</v>
      </c>
      <c r="K6" s="451">
        <f t="shared" si="2"/>
        <v>16.399999999999999</v>
      </c>
      <c r="L6" s="451">
        <f t="shared" si="3"/>
        <v>28.4</v>
      </c>
      <c r="M6" s="451"/>
      <c r="N6" s="221">
        <f t="shared" si="4"/>
        <v>0.57746478873239437</v>
      </c>
      <c r="O6" s="176">
        <f t="shared" ref="O6:O37" si="51">N6*J6*Isw_max*0.5*Efficiency*Pout/(Pout+Pout2)</f>
        <v>6.7612354549719109</v>
      </c>
      <c r="P6" s="176">
        <f t="shared" si="5"/>
        <v>11.390692542350877</v>
      </c>
      <c r="Q6" s="221">
        <f t="shared" si="6"/>
        <v>0.43620873903044588</v>
      </c>
      <c r="R6" s="221">
        <f t="shared" si="7"/>
        <v>0.84515443187148886</v>
      </c>
      <c r="S6" s="451">
        <f t="shared" si="8"/>
        <v>15.5</v>
      </c>
      <c r="T6" s="221">
        <f t="shared" si="9"/>
        <v>3.9476513098464311E-2</v>
      </c>
      <c r="U6" s="221">
        <f t="shared" si="10"/>
        <v>2.9607384823848233E-2</v>
      </c>
      <c r="V6" s="221">
        <f t="shared" si="11"/>
        <v>2.1663940115010903E-2</v>
      </c>
      <c r="W6" s="201">
        <f t="shared" si="12"/>
        <v>350</v>
      </c>
      <c r="X6" s="451">
        <f t="shared" ref="X6:X69" si="52">MIN(1/(U6+V6)*1000, 350)</f>
        <v>350</v>
      </c>
      <c r="Z6" s="221">
        <f t="shared" si="13"/>
        <v>2.1998658618376927</v>
      </c>
      <c r="AA6" s="177">
        <f t="shared" si="14"/>
        <v>1.2072434607645877</v>
      </c>
      <c r="AB6" s="177">
        <f t="shared" si="15"/>
        <v>0.46476039334599145</v>
      </c>
      <c r="AC6" s="177"/>
      <c r="AD6" s="177">
        <f t="shared" si="16"/>
        <v>0.45</v>
      </c>
      <c r="AE6" s="555">
        <f t="shared" si="17"/>
        <v>22.764227642276424</v>
      </c>
      <c r="AF6" s="538">
        <f t="shared" si="18"/>
        <v>6.4574999999999994E-2</v>
      </c>
      <c r="AH6" s="177">
        <f t="shared" si="19"/>
        <v>0.27956882901841928</v>
      </c>
      <c r="AI6" s="177">
        <f t="shared" si="20"/>
        <v>0.82</v>
      </c>
      <c r="AJ6" s="177">
        <f t="shared" si="21"/>
        <v>1.0130081300813008</v>
      </c>
      <c r="AL6" s="555">
        <f t="shared" si="22"/>
        <v>4.2</v>
      </c>
      <c r="AM6" s="469">
        <f t="shared" si="23"/>
        <v>22.764227642276424</v>
      </c>
      <c r="AO6">
        <f t="shared" ref="AO6:AO69" si="53">IF(H6&gt;O6, "",AL6)</f>
        <v>4.2</v>
      </c>
      <c r="AP6" s="469">
        <f t="shared" si="24"/>
        <v>22.764227642276424</v>
      </c>
      <c r="AQ6" s="469"/>
      <c r="AR6" s="5">
        <f t="shared" ref="AR6:AR69" si="54">1/AM6*1000</f>
        <v>43.928571428571431</v>
      </c>
      <c r="AS6" s="5">
        <f t="shared" si="25"/>
        <v>0.61499999999999988</v>
      </c>
      <c r="AT6" s="5">
        <f t="shared" ref="AT6:AT69" si="55">AR6-AS6</f>
        <v>43.313571428571429</v>
      </c>
      <c r="AU6" s="177">
        <f t="shared" ref="AU6:AU69" si="56">AS6/AR6</f>
        <v>1.3999999999999997E-2</v>
      </c>
      <c r="AW6" s="5">
        <f t="shared" si="26"/>
        <v>4.6051229968782526</v>
      </c>
      <c r="AX6" s="5">
        <f t="shared" si="27"/>
        <v>1.1644518475073314E-2</v>
      </c>
      <c r="AY6" s="5">
        <f t="shared" si="28"/>
        <v>15.170308270746586</v>
      </c>
      <c r="AZ6" s="5">
        <f t="shared" si="29"/>
        <v>2.0016475734816939E-2</v>
      </c>
      <c r="BA6" s="5">
        <f t="shared" si="30"/>
        <v>0.8228241732804229</v>
      </c>
      <c r="BB6" s="469">
        <f t="shared" si="31"/>
        <v>49.403644841269845</v>
      </c>
      <c r="BC6" s="5"/>
      <c r="BD6" s="177">
        <f t="shared" ref="BD6:BD69" si="57">AI6*SQRT(AU6/3)</f>
        <v>5.6016664187245796E-2</v>
      </c>
      <c r="BE6" s="177">
        <f t="shared" si="32"/>
        <v>0.47010154931319531</v>
      </c>
      <c r="BF6" s="177">
        <f t="shared" si="33"/>
        <v>0.77177823867638606</v>
      </c>
      <c r="BG6" s="177"/>
      <c r="BH6" s="538">
        <f t="shared" si="34"/>
        <v>3.4516533333333325E-4</v>
      </c>
      <c r="BI6" s="538">
        <f t="shared" si="35"/>
        <v>2.6506666666666671E-3</v>
      </c>
      <c r="BJ6" s="538">
        <f t="shared" si="36"/>
        <v>1.1382113821138211E-3</v>
      </c>
      <c r="BK6" s="538">
        <f t="shared" si="37"/>
        <v>4.1311609756097562E-3</v>
      </c>
      <c r="BL6">
        <f t="shared" si="38"/>
        <v>3.48E-3</v>
      </c>
      <c r="BM6">
        <f t="shared" si="39"/>
        <v>1.5934959349593499E-6</v>
      </c>
      <c r="BN6">
        <f t="shared" si="40"/>
        <v>1.1747545972675704E-2</v>
      </c>
      <c r="BO6" s="469">
        <f t="shared" ref="BO6:BO69" si="58">BN6*1000</f>
        <v>11.747545972675704</v>
      </c>
      <c r="BP6" s="177">
        <f t="shared" si="41"/>
        <v>3.7799999999999999E-3</v>
      </c>
      <c r="BQ6" s="177">
        <f t="shared" si="42"/>
        <v>6.5249999999999996E-3</v>
      </c>
      <c r="BR6" s="538"/>
      <c r="BT6" s="469">
        <f t="shared" ref="BT6:BT69" si="59">SUM(BP6:BS6)*1000</f>
        <v>10.305</v>
      </c>
      <c r="BU6" s="538">
        <f t="shared" si="43"/>
        <v>1.5061759999999996E-4</v>
      </c>
      <c r="BV6" s="538">
        <f t="shared" ref="BV6:BV68" si="60">Rdcr_sec*BE6^2</f>
        <v>5.3038911999999987E-2</v>
      </c>
      <c r="BW6" s="538">
        <f t="shared" si="44"/>
        <v>0.14295399592666191</v>
      </c>
      <c r="BX6" s="538">
        <f t="shared" si="45"/>
        <v>0</v>
      </c>
      <c r="BY6" s="538">
        <f t="shared" si="46"/>
        <v>0.19927037300621811</v>
      </c>
      <c r="BZ6" s="538">
        <f t="shared" ref="BZ6:BZ69" si="61">SUM(BU6:BX6)</f>
        <v>0.19614352552666189</v>
      </c>
      <c r="CA6" s="641">
        <f t="shared" si="47"/>
        <v>7.6533333333333336E-4</v>
      </c>
      <c r="CB6" s="469">
        <f t="shared" ref="CB6:CB69" si="62">(BY6+CA6)*1000</f>
        <v>200.03570633955144</v>
      </c>
      <c r="CC6" s="177">
        <f t="shared" ref="CC6:CC69" si="63">SUM(BN6,BP6:BS6,BY6, CA6)</f>
        <v>0.22208825231222715</v>
      </c>
      <c r="CD6" s="5">
        <f t="shared" ref="CD6:CD69" si="64">MIN(H6+I6,O6+P6)</f>
        <v>0.12309999999999999</v>
      </c>
      <c r="CE6" s="177">
        <f t="shared" ref="CE6:CE69" si="65">CD6/(CD6+CC6)</f>
        <v>0.35661700296988808</v>
      </c>
      <c r="CF6" s="5">
        <f t="shared" ref="CF6:CF69" si="66">CE6*100</f>
        <v>35.661700296988805</v>
      </c>
      <c r="CG6">
        <f t="shared" ref="CG6:CG37" si="67">F6/Iout*100</f>
        <v>1</v>
      </c>
      <c r="CI6" s="571">
        <f t="shared" si="48"/>
        <v>-50</v>
      </c>
      <c r="CJ6">
        <f t="shared" si="49"/>
        <v>-50</v>
      </c>
    </row>
    <row r="7" spans="2:88" x14ac:dyDescent="0.2">
      <c r="E7" s="174">
        <v>2</v>
      </c>
      <c r="F7" s="221">
        <f>IF(PLOT_TYPE=1, E7/100*Iout, min_I*EXP(O7*rr/100))</f>
        <v>8.3999999999999995E-3</v>
      </c>
      <c r="G7" s="221">
        <f t="shared" si="50"/>
        <v>1.4499999999999999E-2</v>
      </c>
      <c r="H7" s="221">
        <f t="shared" si="0"/>
        <v>0.13019999999999998</v>
      </c>
      <c r="I7" s="221">
        <f>G7*Vout2</f>
        <v>0.11599999999999999</v>
      </c>
      <c r="J7" s="551">
        <f t="shared" si="1"/>
        <v>12</v>
      </c>
      <c r="K7" s="451">
        <f t="shared" si="2"/>
        <v>16.399999999999999</v>
      </c>
      <c r="L7" s="451">
        <f t="shared" si="3"/>
        <v>28.4</v>
      </c>
      <c r="M7" s="451"/>
      <c r="N7" s="221">
        <f t="shared" si="4"/>
        <v>0.57746478873239437</v>
      </c>
      <c r="O7" s="176">
        <f t="shared" si="51"/>
        <v>6.7612354549719109</v>
      </c>
      <c r="P7" s="176">
        <f t="shared" si="5"/>
        <v>11.390692542350877</v>
      </c>
      <c r="Q7" s="221">
        <f t="shared" si="6"/>
        <v>0.43620873903044588</v>
      </c>
      <c r="R7" s="221">
        <f t="shared" si="7"/>
        <v>0.84515443187148886</v>
      </c>
      <c r="S7" s="451">
        <f t="shared" si="8"/>
        <v>15.5</v>
      </c>
      <c r="T7" s="221">
        <f t="shared" si="9"/>
        <v>7.8953026196928622E-2</v>
      </c>
      <c r="U7" s="221">
        <f t="shared" si="10"/>
        <v>5.9214769647696466E-2</v>
      </c>
      <c r="V7" s="221">
        <f t="shared" si="11"/>
        <v>4.3327880230021806E-2</v>
      </c>
      <c r="W7" s="201">
        <f t="shared" si="12"/>
        <v>350</v>
      </c>
      <c r="X7" s="451">
        <f t="shared" si="52"/>
        <v>350</v>
      </c>
      <c r="Z7" s="221">
        <f t="shared" si="13"/>
        <v>2.1998658618376927</v>
      </c>
      <c r="AA7" s="177">
        <f t="shared" si="14"/>
        <v>1.2072434607645877</v>
      </c>
      <c r="AB7" s="177">
        <f t="shared" si="15"/>
        <v>0.46476039334599145</v>
      </c>
      <c r="AC7" s="177"/>
      <c r="AD7" s="177">
        <f t="shared" si="16"/>
        <v>0.45</v>
      </c>
      <c r="AE7" s="555">
        <f t="shared" si="17"/>
        <v>45.528455284552848</v>
      </c>
      <c r="AF7" s="538">
        <f t="shared" si="18"/>
        <v>6.4574999999999994E-2</v>
      </c>
      <c r="AH7" s="177">
        <f t="shared" si="19"/>
        <v>0.39537002961461343</v>
      </c>
      <c r="AI7" s="177">
        <f t="shared" si="20"/>
        <v>0.82</v>
      </c>
      <c r="AJ7" s="177">
        <f t="shared" si="21"/>
        <v>1.0260162601626017</v>
      </c>
      <c r="AL7" s="555">
        <f t="shared" si="22"/>
        <v>8.4</v>
      </c>
      <c r="AM7" s="469">
        <f t="shared" si="23"/>
        <v>45.528455284552848</v>
      </c>
      <c r="AO7">
        <f t="shared" si="53"/>
        <v>8.4</v>
      </c>
      <c r="AP7" s="469">
        <f t="shared" si="24"/>
        <v>45.528455284552848</v>
      </c>
      <c r="AQ7" s="469"/>
      <c r="AR7" s="5">
        <f t="shared" si="54"/>
        <v>21.964285714285715</v>
      </c>
      <c r="AS7" s="5">
        <f t="shared" si="25"/>
        <v>0.61499999999999988</v>
      </c>
      <c r="AT7" s="5">
        <f t="shared" si="55"/>
        <v>21.349285714285717</v>
      </c>
      <c r="AU7" s="177">
        <f t="shared" si="56"/>
        <v>2.7999999999999994E-2</v>
      </c>
      <c r="AW7" s="5">
        <f t="shared" si="26"/>
        <v>4.6051229968782526</v>
      </c>
      <c r="AX7" s="5">
        <f t="shared" si="27"/>
        <v>2.9778073900293255E-2</v>
      </c>
      <c r="AY7" s="5">
        <f t="shared" si="28"/>
        <v>15.170308270746586</v>
      </c>
      <c r="AZ7" s="5">
        <f t="shared" si="29"/>
        <v>5.1065902939267757E-2</v>
      </c>
      <c r="BA7" s="5">
        <f t="shared" si="30"/>
        <v>0.81114107142857117</v>
      </c>
      <c r="BB7" s="469">
        <f t="shared" si="31"/>
        <v>48.736853174603176</v>
      </c>
      <c r="BC7" s="5"/>
      <c r="BD7" s="177">
        <f t="shared" si="57"/>
        <v>7.921952621250225E-2</v>
      </c>
      <c r="BE7" s="177">
        <f t="shared" si="32"/>
        <v>0.46675218264085278</v>
      </c>
      <c r="BF7" s="177">
        <f t="shared" si="33"/>
        <v>0.76627949417142027</v>
      </c>
      <c r="BG7" s="177"/>
      <c r="BH7" s="538">
        <f t="shared" si="34"/>
        <v>6.9033066666666638E-4</v>
      </c>
      <c r="BI7" s="538">
        <f t="shared" si="35"/>
        <v>5.3013333333333341E-3</v>
      </c>
      <c r="BJ7" s="538">
        <f t="shared" si="36"/>
        <v>2.2764227642276423E-3</v>
      </c>
      <c r="BK7" s="538">
        <f t="shared" si="37"/>
        <v>8.2623219512195124E-3</v>
      </c>
      <c r="BL7">
        <f t="shared" si="38"/>
        <v>3.48E-3</v>
      </c>
      <c r="BM7">
        <f t="shared" si="39"/>
        <v>3.1869918699186998E-6</v>
      </c>
      <c r="BN7">
        <f t="shared" si="40"/>
        <v>2.0016145083811946E-2</v>
      </c>
      <c r="BO7" s="469">
        <f t="shared" si="58"/>
        <v>20.016145083811946</v>
      </c>
      <c r="BP7" s="177">
        <f t="shared" si="41"/>
        <v>7.5599999999999999E-3</v>
      </c>
      <c r="BQ7" s="177">
        <f t="shared" si="42"/>
        <v>1.3049999999999999E-2</v>
      </c>
      <c r="BR7" s="538"/>
      <c r="BT7" s="469">
        <f t="shared" si="59"/>
        <v>20.61</v>
      </c>
      <c r="BU7" s="538">
        <f t="shared" si="43"/>
        <v>3.0123519999999986E-4</v>
      </c>
      <c r="BV7" s="538">
        <f t="shared" si="60"/>
        <v>5.2285823999999995E-2</v>
      </c>
      <c r="BW7" s="538">
        <f t="shared" si="44"/>
        <v>0.14092422316502584</v>
      </c>
      <c r="BX7" s="538">
        <f t="shared" si="45"/>
        <v>0</v>
      </c>
      <c r="BY7" s="538">
        <f t="shared" si="46"/>
        <v>0.19655411751173155</v>
      </c>
      <c r="BZ7" s="538">
        <f t="shared" si="61"/>
        <v>0.19351128236502585</v>
      </c>
      <c r="CA7" s="641">
        <f t="shared" si="47"/>
        <v>1.5306666666666667E-3</v>
      </c>
      <c r="CB7" s="469">
        <f t="shared" si="62"/>
        <v>198.08478417839822</v>
      </c>
      <c r="CC7" s="177">
        <f t="shared" si="63"/>
        <v>0.23871092926221016</v>
      </c>
      <c r="CD7" s="5">
        <f t="shared" si="64"/>
        <v>0.24619999999999997</v>
      </c>
      <c r="CE7" s="177">
        <f t="shared" si="65"/>
        <v>0.50772210965546227</v>
      </c>
      <c r="CF7" s="5">
        <f t="shared" si="66"/>
        <v>50.772210965546229</v>
      </c>
      <c r="CG7">
        <f t="shared" si="67"/>
        <v>2</v>
      </c>
      <c r="CI7" s="571">
        <f t="shared" si="48"/>
        <v>-50</v>
      </c>
      <c r="CJ7">
        <f t="shared" si="49"/>
        <v>-50</v>
      </c>
    </row>
    <row r="8" spans="2:88" x14ac:dyDescent="0.2">
      <c r="E8" s="174">
        <v>3</v>
      </c>
      <c r="F8" s="221">
        <f t="shared" ref="F8:F39" si="68">IF(PLOT_TYPE=1, E8/100*Iout_max, min_I*EXP(O8*rr/100))</f>
        <v>1.2599999999999998E-2</v>
      </c>
      <c r="G8" s="221">
        <f t="shared" si="50"/>
        <v>2.1749999999999999E-2</v>
      </c>
      <c r="H8" s="221">
        <f t="shared" si="0"/>
        <v>0.19529999999999997</v>
      </c>
      <c r="I8" s="221">
        <f t="shared" ref="I8:I39" si="69">Vout2*G8</f>
        <v>0.17399999999999999</v>
      </c>
      <c r="J8" s="551">
        <f t="shared" si="1"/>
        <v>12</v>
      </c>
      <c r="K8" s="451">
        <f t="shared" si="2"/>
        <v>16.399999999999999</v>
      </c>
      <c r="L8" s="451">
        <f t="shared" si="3"/>
        <v>28.4</v>
      </c>
      <c r="M8" s="451"/>
      <c r="N8" s="221">
        <f t="shared" si="4"/>
        <v>0.57746478873239437</v>
      </c>
      <c r="O8" s="176">
        <f t="shared" si="51"/>
        <v>6.7612354549719109</v>
      </c>
      <c r="P8" s="176">
        <f t="shared" si="5"/>
        <v>11.390692542350877</v>
      </c>
      <c r="Q8" s="221">
        <f t="shared" si="6"/>
        <v>0.43620873903044588</v>
      </c>
      <c r="R8" s="221">
        <f t="shared" si="7"/>
        <v>0.84515443187148886</v>
      </c>
      <c r="S8" s="451">
        <f t="shared" si="8"/>
        <v>15.5</v>
      </c>
      <c r="T8" s="221">
        <f t="shared" si="9"/>
        <v>0.11842953929539293</v>
      </c>
      <c r="U8" s="221">
        <f t="shared" si="10"/>
        <v>8.8822154471544706E-2</v>
      </c>
      <c r="V8" s="221">
        <f t="shared" si="11"/>
        <v>6.4991820345032716E-2</v>
      </c>
      <c r="W8" s="201">
        <f t="shared" si="12"/>
        <v>350</v>
      </c>
      <c r="X8" s="451">
        <f t="shared" si="52"/>
        <v>350</v>
      </c>
      <c r="Z8" s="221">
        <f t="shared" si="13"/>
        <v>2.1998658618376927</v>
      </c>
      <c r="AA8" s="177">
        <f t="shared" si="14"/>
        <v>1.2072434607645877</v>
      </c>
      <c r="AB8" s="177">
        <f t="shared" si="15"/>
        <v>0.46476039334599145</v>
      </c>
      <c r="AC8" s="177"/>
      <c r="AD8" s="177">
        <f t="shared" si="16"/>
        <v>0.45</v>
      </c>
      <c r="AE8" s="555">
        <f t="shared" si="17"/>
        <v>68.292682926829258</v>
      </c>
      <c r="AF8" s="538">
        <f t="shared" si="18"/>
        <v>6.4574999999999994E-2</v>
      </c>
      <c r="AH8" s="177">
        <f t="shared" si="19"/>
        <v>0.48422741607243847</v>
      </c>
      <c r="AI8" s="177">
        <f t="shared" si="20"/>
        <v>0.82</v>
      </c>
      <c r="AJ8" s="177">
        <f t="shared" si="21"/>
        <v>1.0390243902439025</v>
      </c>
      <c r="AL8" s="555">
        <f t="shared" si="22"/>
        <v>12.599999999999998</v>
      </c>
      <c r="AM8" s="469">
        <f t="shared" si="23"/>
        <v>68.292682926829258</v>
      </c>
      <c r="AO8">
        <f t="shared" si="53"/>
        <v>12.599999999999998</v>
      </c>
      <c r="AP8" s="469">
        <f t="shared" si="24"/>
        <v>68.292682926829258</v>
      </c>
      <c r="AQ8" s="469"/>
      <c r="AR8" s="5">
        <f t="shared" si="54"/>
        <v>14.642857142857144</v>
      </c>
      <c r="AS8" s="5">
        <f t="shared" si="25"/>
        <v>0.61499999999999988</v>
      </c>
      <c r="AT8" s="5">
        <f t="shared" si="55"/>
        <v>14.027857142857144</v>
      </c>
      <c r="AU8" s="177">
        <f t="shared" si="56"/>
        <v>4.1999999999999989E-2</v>
      </c>
      <c r="AW8" s="5">
        <f t="shared" si="26"/>
        <v>4.6051229968782526</v>
      </c>
      <c r="AX8" s="5">
        <f t="shared" si="27"/>
        <v>5.4400666275659815E-2</v>
      </c>
      <c r="AY8" s="5">
        <f t="shared" si="28"/>
        <v>15.170308270746586</v>
      </c>
      <c r="AZ8" s="5">
        <f t="shared" si="29"/>
        <v>9.3148281613352452E-2</v>
      </c>
      <c r="BA8" s="5">
        <f t="shared" si="30"/>
        <v>0.79945796957671933</v>
      </c>
      <c r="BB8" s="469">
        <f t="shared" si="31"/>
        <v>48.070061507936501</v>
      </c>
      <c r="BC8" s="5"/>
      <c r="BD8" s="177">
        <f t="shared" si="57"/>
        <v>9.7023708442833687E-2</v>
      </c>
      <c r="BE8" s="177">
        <f t="shared" si="32"/>
        <v>0.46337860690080768</v>
      </c>
      <c r="BF8" s="177">
        <f t="shared" si="33"/>
        <v>0.76074100499499164</v>
      </c>
      <c r="BG8" s="177"/>
      <c r="BH8" s="538">
        <f t="shared" si="34"/>
        <v>1.0354959999999995E-3</v>
      </c>
      <c r="BI8" s="538">
        <f t="shared" si="35"/>
        <v>7.9519999999999973E-3</v>
      </c>
      <c r="BJ8" s="538">
        <f t="shared" si="36"/>
        <v>3.4146341463414625E-3</v>
      </c>
      <c r="BK8" s="538">
        <f t="shared" si="37"/>
        <v>1.2393482926829265E-2</v>
      </c>
      <c r="BL8">
        <f t="shared" si="38"/>
        <v>3.48E-3</v>
      </c>
      <c r="BM8">
        <f t="shared" si="39"/>
        <v>4.7804878048780484E-6</v>
      </c>
      <c r="BN8">
        <f t="shared" si="40"/>
        <v>2.828579753464823E-2</v>
      </c>
      <c r="BO8" s="469">
        <f t="shared" si="58"/>
        <v>28.285797534648228</v>
      </c>
      <c r="BP8" s="177">
        <f t="shared" si="41"/>
        <v>1.1339999999999999E-2</v>
      </c>
      <c r="BQ8" s="177">
        <f t="shared" si="42"/>
        <v>1.9574999999999999E-2</v>
      </c>
      <c r="BR8" s="538"/>
      <c r="BT8" s="469">
        <f t="shared" si="59"/>
        <v>30.914999999999999</v>
      </c>
      <c r="BU8" s="538">
        <f t="shared" si="43"/>
        <v>4.5185279999999982E-4</v>
      </c>
      <c r="BV8" s="538">
        <f t="shared" si="60"/>
        <v>5.1532735999999975E-2</v>
      </c>
      <c r="BW8" s="538">
        <f t="shared" si="44"/>
        <v>0.13889445040338957</v>
      </c>
      <c r="BX8" s="538">
        <f t="shared" si="45"/>
        <v>0</v>
      </c>
      <c r="BY8" s="538">
        <f t="shared" si="46"/>
        <v>0.19383902373219958</v>
      </c>
      <c r="BZ8" s="538">
        <f t="shared" si="61"/>
        <v>0.19087903920338956</v>
      </c>
      <c r="CA8" s="641">
        <f t="shared" si="47"/>
        <v>2.2959999999999999E-3</v>
      </c>
      <c r="CB8" s="469">
        <f t="shared" si="62"/>
        <v>196.13502373219956</v>
      </c>
      <c r="CC8" s="177">
        <f t="shared" si="63"/>
        <v>0.25533582126684784</v>
      </c>
      <c r="CD8" s="5">
        <f t="shared" si="64"/>
        <v>0.36929999999999996</v>
      </c>
      <c r="CE8" s="177">
        <f t="shared" si="65"/>
        <v>0.5912244982220336</v>
      </c>
      <c r="CF8" s="5">
        <f t="shared" si="66"/>
        <v>59.122449822203357</v>
      </c>
      <c r="CG8">
        <f t="shared" si="67"/>
        <v>3</v>
      </c>
      <c r="CI8" s="571">
        <f t="shared" si="48"/>
        <v>-50</v>
      </c>
      <c r="CJ8">
        <f t="shared" si="49"/>
        <v>-50</v>
      </c>
    </row>
    <row r="9" spans="2:88" x14ac:dyDescent="0.2">
      <c r="E9" s="174">
        <v>4</v>
      </c>
      <c r="F9" s="221">
        <f t="shared" si="68"/>
        <v>1.6799999999999999E-2</v>
      </c>
      <c r="G9" s="221">
        <f t="shared" si="50"/>
        <v>2.8999999999999998E-2</v>
      </c>
      <c r="H9" s="221">
        <f t="shared" si="0"/>
        <v>0.26039999999999996</v>
      </c>
      <c r="I9" s="221">
        <f t="shared" si="69"/>
        <v>0.23199999999999998</v>
      </c>
      <c r="J9" s="551">
        <f t="shared" si="1"/>
        <v>12</v>
      </c>
      <c r="K9" s="451">
        <f t="shared" si="2"/>
        <v>16.399999999999999</v>
      </c>
      <c r="L9" s="451">
        <f t="shared" si="3"/>
        <v>28.4</v>
      </c>
      <c r="M9" s="451"/>
      <c r="N9" s="221">
        <f t="shared" si="4"/>
        <v>0.57746478873239437</v>
      </c>
      <c r="O9" s="176">
        <f t="shared" si="51"/>
        <v>6.7612354549719109</v>
      </c>
      <c r="P9" s="176">
        <f t="shared" si="5"/>
        <v>11.390692542350877</v>
      </c>
      <c r="Q9" s="221">
        <f t="shared" si="6"/>
        <v>0.43620873903044588</v>
      </c>
      <c r="R9" s="221">
        <f t="shared" si="7"/>
        <v>0.84515443187148886</v>
      </c>
      <c r="S9" s="451">
        <f t="shared" si="8"/>
        <v>15.5</v>
      </c>
      <c r="T9" s="221">
        <f t="shared" si="9"/>
        <v>0.15790605239385724</v>
      </c>
      <c r="U9" s="221">
        <f t="shared" si="10"/>
        <v>0.11842953929539293</v>
      </c>
      <c r="V9" s="221">
        <f t="shared" si="11"/>
        <v>8.6655760460043613E-2</v>
      </c>
      <c r="W9" s="201">
        <f t="shared" si="12"/>
        <v>350</v>
      </c>
      <c r="X9" s="451">
        <f t="shared" si="52"/>
        <v>350</v>
      </c>
      <c r="Z9" s="221">
        <f t="shared" si="13"/>
        <v>2.1998658618376927</v>
      </c>
      <c r="AA9" s="177">
        <f t="shared" si="14"/>
        <v>1.2072434607645877</v>
      </c>
      <c r="AB9" s="177">
        <f t="shared" si="15"/>
        <v>0.46476039334599145</v>
      </c>
      <c r="AC9" s="177"/>
      <c r="AD9" s="177">
        <f t="shared" si="16"/>
        <v>0.45</v>
      </c>
      <c r="AE9" s="555">
        <f t="shared" si="17"/>
        <v>91.056910569105696</v>
      </c>
      <c r="AF9" s="538">
        <f t="shared" si="18"/>
        <v>6.4574999999999994E-2</v>
      </c>
      <c r="AH9" s="177">
        <f t="shared" si="19"/>
        <v>0.55913765803683857</v>
      </c>
      <c r="AI9" s="177">
        <f t="shared" si="20"/>
        <v>0.82</v>
      </c>
      <c r="AJ9" s="177">
        <f t="shared" si="21"/>
        <v>1.0520325203252032</v>
      </c>
      <c r="AL9" s="555">
        <f t="shared" si="22"/>
        <v>16.8</v>
      </c>
      <c r="AM9" s="469">
        <f t="shared" si="23"/>
        <v>91.056910569105696</v>
      </c>
      <c r="AO9">
        <f t="shared" si="53"/>
        <v>16.8</v>
      </c>
      <c r="AP9" s="469">
        <f t="shared" si="24"/>
        <v>91.056910569105696</v>
      </c>
      <c r="AQ9" s="469"/>
      <c r="AR9" s="5">
        <f t="shared" si="54"/>
        <v>10.982142857142858</v>
      </c>
      <c r="AS9" s="5">
        <f t="shared" si="25"/>
        <v>0.61499999999999988</v>
      </c>
      <c r="AT9" s="5">
        <f t="shared" si="55"/>
        <v>10.367142857142857</v>
      </c>
      <c r="AU9" s="177">
        <f t="shared" si="56"/>
        <v>5.5999999999999987E-2</v>
      </c>
      <c r="AW9" s="5">
        <f t="shared" si="26"/>
        <v>4.6051229968782526</v>
      </c>
      <c r="AX9" s="5">
        <f t="shared" si="27"/>
        <v>8.5512295601173016E-2</v>
      </c>
      <c r="AY9" s="5">
        <f t="shared" si="28"/>
        <v>15.170308270746586</v>
      </c>
      <c r="AZ9" s="5">
        <f t="shared" si="29"/>
        <v>0.14626361175707103</v>
      </c>
      <c r="BA9" s="5">
        <f t="shared" si="30"/>
        <v>0.78777486772486749</v>
      </c>
      <c r="BB9" s="469">
        <f t="shared" si="31"/>
        <v>47.403269841269839</v>
      </c>
      <c r="BC9" s="5"/>
      <c r="BD9" s="177">
        <f t="shared" si="57"/>
        <v>0.11203332837449159</v>
      </c>
      <c r="BE9" s="177">
        <f t="shared" si="32"/>
        <v>0.45998028943278285</v>
      </c>
      <c r="BF9" s="177">
        <f t="shared" si="33"/>
        <v>0.75516189666453171</v>
      </c>
      <c r="BG9" s="177"/>
      <c r="BH9" s="538">
        <f t="shared" si="34"/>
        <v>1.380661333333333E-3</v>
      </c>
      <c r="BI9" s="538">
        <f t="shared" si="35"/>
        <v>1.0602666666666668E-2</v>
      </c>
      <c r="BJ9" s="538">
        <f t="shared" si="36"/>
        <v>4.5528455284552845E-3</v>
      </c>
      <c r="BK9" s="538">
        <f t="shared" si="37"/>
        <v>1.6524643902439025E-2</v>
      </c>
      <c r="BL9">
        <f t="shared" si="38"/>
        <v>3.48E-3</v>
      </c>
      <c r="BM9">
        <f t="shared" si="39"/>
        <v>6.3739837398373995E-6</v>
      </c>
      <c r="BN9">
        <f t="shared" si="40"/>
        <v>3.6556503526475347E-2</v>
      </c>
      <c r="BO9" s="469">
        <f t="shared" si="58"/>
        <v>36.556503526475346</v>
      </c>
      <c r="BP9" s="177">
        <f t="shared" si="41"/>
        <v>1.512E-2</v>
      </c>
      <c r="BQ9" s="177">
        <f t="shared" si="42"/>
        <v>2.6099999999999998E-2</v>
      </c>
      <c r="BR9" s="538"/>
      <c r="BT9" s="469">
        <f t="shared" si="59"/>
        <v>41.22</v>
      </c>
      <c r="BU9" s="538">
        <f t="shared" si="43"/>
        <v>6.0247039999999983E-4</v>
      </c>
      <c r="BV9" s="538">
        <f t="shared" si="60"/>
        <v>5.0779647999999997E-2</v>
      </c>
      <c r="BW9" s="538">
        <f t="shared" si="44"/>
        <v>0.13686467764175347</v>
      </c>
      <c r="BX9" s="538">
        <f t="shared" si="45"/>
        <v>0</v>
      </c>
      <c r="BY9" s="538">
        <f t="shared" si="46"/>
        <v>0.19112509092250146</v>
      </c>
      <c r="BZ9" s="538">
        <f t="shared" si="61"/>
        <v>0.18824679604175348</v>
      </c>
      <c r="CA9" s="641">
        <f t="shared" si="47"/>
        <v>3.0613333333333334E-3</v>
      </c>
      <c r="CB9" s="469">
        <f t="shared" si="62"/>
        <v>194.18642425583479</v>
      </c>
      <c r="CC9" s="177">
        <f t="shared" si="63"/>
        <v>0.27196292778231018</v>
      </c>
      <c r="CD9" s="5">
        <f t="shared" si="64"/>
        <v>0.49239999999999995</v>
      </c>
      <c r="CE9" s="177">
        <f t="shared" si="65"/>
        <v>0.64419660098983123</v>
      </c>
      <c r="CF9" s="5">
        <f t="shared" si="66"/>
        <v>64.419660098983115</v>
      </c>
      <c r="CG9">
        <f t="shared" si="67"/>
        <v>4</v>
      </c>
      <c r="CI9" s="571">
        <f t="shared" si="48"/>
        <v>-50</v>
      </c>
      <c r="CJ9">
        <f t="shared" si="49"/>
        <v>-50</v>
      </c>
    </row>
    <row r="10" spans="2:88" x14ac:dyDescent="0.2">
      <c r="E10" s="174">
        <v>5</v>
      </c>
      <c r="F10" s="221">
        <f t="shared" si="68"/>
        <v>2.1000000000000001E-2</v>
      </c>
      <c r="G10" s="221">
        <f t="shared" si="50"/>
        <v>3.6249999999999998E-2</v>
      </c>
      <c r="H10" s="221">
        <f t="shared" si="0"/>
        <v>0.32550000000000001</v>
      </c>
      <c r="I10" s="221">
        <f t="shared" si="69"/>
        <v>0.28999999999999998</v>
      </c>
      <c r="J10" s="551">
        <f t="shared" si="1"/>
        <v>12</v>
      </c>
      <c r="K10" s="451">
        <f t="shared" si="2"/>
        <v>16.399999999999999</v>
      </c>
      <c r="L10" s="451">
        <f t="shared" si="3"/>
        <v>28.4</v>
      </c>
      <c r="M10" s="451"/>
      <c r="N10" s="221">
        <f t="shared" si="4"/>
        <v>0.57746478873239437</v>
      </c>
      <c r="O10" s="176">
        <f t="shared" si="51"/>
        <v>6.7612354549719109</v>
      </c>
      <c r="P10" s="176">
        <f t="shared" si="5"/>
        <v>11.390692542350877</v>
      </c>
      <c r="Q10" s="221">
        <f t="shared" si="6"/>
        <v>0.43620873903044588</v>
      </c>
      <c r="R10" s="221">
        <f t="shared" si="7"/>
        <v>0.84515443187148886</v>
      </c>
      <c r="S10" s="451">
        <f t="shared" si="8"/>
        <v>15.5</v>
      </c>
      <c r="T10" s="221">
        <f t="shared" si="9"/>
        <v>0.19738256549232155</v>
      </c>
      <c r="U10" s="221">
        <f t="shared" si="10"/>
        <v>0.14803692411924119</v>
      </c>
      <c r="V10" s="221">
        <f t="shared" si="11"/>
        <v>0.10831970057505452</v>
      </c>
      <c r="W10" s="201">
        <f t="shared" si="12"/>
        <v>350</v>
      </c>
      <c r="X10" s="451">
        <f t="shared" si="52"/>
        <v>350</v>
      </c>
      <c r="Z10" s="221">
        <f t="shared" si="13"/>
        <v>2.1998658618376927</v>
      </c>
      <c r="AA10" s="177">
        <f t="shared" si="14"/>
        <v>1.2072434607645877</v>
      </c>
      <c r="AB10" s="177">
        <f t="shared" si="15"/>
        <v>0.46476039334599145</v>
      </c>
      <c r="AC10" s="177"/>
      <c r="AD10" s="177">
        <f t="shared" si="16"/>
        <v>0.45</v>
      </c>
      <c r="AE10" s="555">
        <f t="shared" si="17"/>
        <v>113.82113821138213</v>
      </c>
      <c r="AF10" s="538">
        <f t="shared" si="18"/>
        <v>6.4574999999999994E-2</v>
      </c>
      <c r="AH10" s="177">
        <f t="shared" si="19"/>
        <v>0.62513490607520128</v>
      </c>
      <c r="AI10" s="177">
        <f t="shared" si="20"/>
        <v>0.82</v>
      </c>
      <c r="AJ10" s="177">
        <f t="shared" si="21"/>
        <v>1.065040650406504</v>
      </c>
      <c r="AL10" s="555">
        <f t="shared" si="22"/>
        <v>21</v>
      </c>
      <c r="AM10" s="469">
        <f t="shared" si="23"/>
        <v>113.82113821138213</v>
      </c>
      <c r="AO10">
        <f t="shared" si="53"/>
        <v>21</v>
      </c>
      <c r="AP10" s="469">
        <f t="shared" si="24"/>
        <v>113.82113821138213</v>
      </c>
      <c r="AQ10" s="469"/>
      <c r="AR10" s="5">
        <f t="shared" si="54"/>
        <v>8.7857142857142847</v>
      </c>
      <c r="AS10" s="5">
        <f t="shared" si="25"/>
        <v>0.61499999999999988</v>
      </c>
      <c r="AT10" s="5">
        <f t="shared" si="55"/>
        <v>8.1707142857142845</v>
      </c>
      <c r="AU10" s="177">
        <f t="shared" si="56"/>
        <v>6.9999999999999993E-2</v>
      </c>
      <c r="AW10" s="5">
        <f t="shared" si="26"/>
        <v>4.6051229968782526</v>
      </c>
      <c r="AX10" s="5">
        <f t="shared" si="27"/>
        <v>0.12311296187683288</v>
      </c>
      <c r="AY10" s="5">
        <f t="shared" si="28"/>
        <v>15.170308270746586</v>
      </c>
      <c r="AZ10" s="5">
        <f t="shared" si="29"/>
        <v>0.21041189337042349</v>
      </c>
      <c r="BA10" s="5">
        <f t="shared" si="30"/>
        <v>0.77609176587301554</v>
      </c>
      <c r="BB10" s="469">
        <f t="shared" si="31"/>
        <v>46.736478174603164</v>
      </c>
      <c r="BC10" s="5"/>
      <c r="BD10" s="177">
        <f t="shared" si="57"/>
        <v>0.12525706899545963</v>
      </c>
      <c r="BE10" s="177">
        <f t="shared" si="32"/>
        <v>0.45655667775206177</v>
      </c>
      <c r="BF10" s="177">
        <f t="shared" si="33"/>
        <v>0.7495412621511609</v>
      </c>
      <c r="BG10" s="177"/>
      <c r="BH10" s="538">
        <f t="shared" si="34"/>
        <v>1.7258266666666667E-3</v>
      </c>
      <c r="BI10" s="538">
        <f t="shared" si="35"/>
        <v>1.3253333333333336E-2</v>
      </c>
      <c r="BJ10" s="538">
        <f t="shared" si="36"/>
        <v>5.6910569105691061E-3</v>
      </c>
      <c r="BK10" s="538">
        <f t="shared" si="37"/>
        <v>2.0655804878048779E-2</v>
      </c>
      <c r="BL10">
        <f t="shared" si="38"/>
        <v>3.48E-3</v>
      </c>
      <c r="BM10">
        <f t="shared" si="39"/>
        <v>7.9674796747967498E-6</v>
      </c>
      <c r="BN10">
        <f t="shared" si="40"/>
        <v>4.4828263260635375E-2</v>
      </c>
      <c r="BO10" s="469">
        <f t="shared" si="58"/>
        <v>44.828263260635374</v>
      </c>
      <c r="BP10" s="177">
        <f t="shared" si="41"/>
        <v>1.89E-2</v>
      </c>
      <c r="BQ10" s="177">
        <f t="shared" si="42"/>
        <v>3.2625000000000001E-2</v>
      </c>
      <c r="BR10" s="538"/>
      <c r="BT10" s="469">
        <f t="shared" si="59"/>
        <v>51.524999999999999</v>
      </c>
      <c r="BU10" s="538">
        <f t="shared" si="43"/>
        <v>7.5308799999999996E-4</v>
      </c>
      <c r="BV10" s="538">
        <f t="shared" si="60"/>
        <v>5.0026559999999991E-2</v>
      </c>
      <c r="BW10" s="538">
        <f t="shared" si="44"/>
        <v>0.13483490488011726</v>
      </c>
      <c r="BX10" s="538">
        <f t="shared" si="45"/>
        <v>0</v>
      </c>
      <c r="BY10" s="538">
        <f t="shared" si="46"/>
        <v>0.18841231833815264</v>
      </c>
      <c r="BZ10" s="538">
        <f t="shared" si="61"/>
        <v>0.18561455288011725</v>
      </c>
      <c r="CA10" s="641">
        <f t="shared" si="47"/>
        <v>3.8266666666666675E-3</v>
      </c>
      <c r="CB10" s="469">
        <f t="shared" si="62"/>
        <v>192.23898500481931</v>
      </c>
      <c r="CC10" s="177">
        <f t="shared" si="63"/>
        <v>0.28859224826545465</v>
      </c>
      <c r="CD10" s="5">
        <f t="shared" si="64"/>
        <v>0.61549999999999994</v>
      </c>
      <c r="CE10" s="177">
        <f t="shared" si="65"/>
        <v>0.68079336061211337</v>
      </c>
      <c r="CF10" s="5">
        <f t="shared" si="66"/>
        <v>68.079336061211336</v>
      </c>
      <c r="CG10">
        <f t="shared" si="67"/>
        <v>5</v>
      </c>
      <c r="CI10" s="571">
        <f t="shared" si="48"/>
        <v>-50</v>
      </c>
      <c r="CJ10">
        <f t="shared" si="49"/>
        <v>-50</v>
      </c>
    </row>
    <row r="11" spans="2:88" x14ac:dyDescent="0.2">
      <c r="E11" s="174">
        <v>6</v>
      </c>
      <c r="F11" s="221">
        <f t="shared" si="68"/>
        <v>2.5199999999999997E-2</v>
      </c>
      <c r="G11" s="221">
        <f t="shared" si="50"/>
        <v>4.3499999999999997E-2</v>
      </c>
      <c r="H11" s="221">
        <f t="shared" si="0"/>
        <v>0.39059999999999995</v>
      </c>
      <c r="I11" s="221">
        <f t="shared" si="69"/>
        <v>0.34799999999999998</v>
      </c>
      <c r="J11" s="551">
        <f t="shared" si="1"/>
        <v>12</v>
      </c>
      <c r="K11" s="451">
        <f t="shared" si="2"/>
        <v>16.399999999999999</v>
      </c>
      <c r="L11" s="451">
        <f t="shared" si="3"/>
        <v>28.4</v>
      </c>
      <c r="M11" s="451"/>
      <c r="N11" s="221">
        <f t="shared" si="4"/>
        <v>0.57746478873239437</v>
      </c>
      <c r="O11" s="176">
        <f t="shared" si="51"/>
        <v>6.7612354549719109</v>
      </c>
      <c r="P11" s="176">
        <f t="shared" si="5"/>
        <v>11.390692542350877</v>
      </c>
      <c r="Q11" s="221">
        <f t="shared" si="6"/>
        <v>0.43620873903044588</v>
      </c>
      <c r="R11" s="221">
        <f t="shared" si="7"/>
        <v>0.84515443187148886</v>
      </c>
      <c r="S11" s="451">
        <f t="shared" si="8"/>
        <v>15.5</v>
      </c>
      <c r="T11" s="221">
        <f t="shared" si="9"/>
        <v>0.23685907859078587</v>
      </c>
      <c r="U11" s="221">
        <f t="shared" si="10"/>
        <v>0.17764430894308941</v>
      </c>
      <c r="V11" s="221">
        <f t="shared" si="11"/>
        <v>0.12998364069006543</v>
      </c>
      <c r="W11" s="201">
        <f t="shared" si="12"/>
        <v>350</v>
      </c>
      <c r="X11" s="451">
        <f t="shared" si="52"/>
        <v>350</v>
      </c>
      <c r="Z11" s="221">
        <f t="shared" si="13"/>
        <v>2.1998658618376927</v>
      </c>
      <c r="AA11" s="177">
        <f t="shared" si="14"/>
        <v>1.2072434607645877</v>
      </c>
      <c r="AB11" s="177">
        <f t="shared" si="15"/>
        <v>0.46476039334599145</v>
      </c>
      <c r="AC11" s="177"/>
      <c r="AD11" s="177">
        <f t="shared" si="16"/>
        <v>0.45</v>
      </c>
      <c r="AE11" s="555">
        <f t="shared" si="17"/>
        <v>136.58536585365852</v>
      </c>
      <c r="AF11" s="538">
        <f t="shared" si="18"/>
        <v>6.4574999999999994E-2</v>
      </c>
      <c r="AH11" s="177">
        <f t="shared" si="19"/>
        <v>0.68480097908252213</v>
      </c>
      <c r="AI11" s="177">
        <f t="shared" si="20"/>
        <v>0.82</v>
      </c>
      <c r="AJ11" s="177">
        <f t="shared" si="21"/>
        <v>1.0780487804878049</v>
      </c>
      <c r="AL11" s="555">
        <f t="shared" si="22"/>
        <v>25.199999999999996</v>
      </c>
      <c r="AM11" s="469">
        <f t="shared" si="23"/>
        <v>136.58536585365852</v>
      </c>
      <c r="AO11">
        <f t="shared" si="53"/>
        <v>25.199999999999996</v>
      </c>
      <c r="AP11" s="469">
        <f t="shared" si="24"/>
        <v>136.58536585365852</v>
      </c>
      <c r="AQ11" s="469"/>
      <c r="AR11" s="5">
        <f t="shared" si="54"/>
        <v>7.3214285714285721</v>
      </c>
      <c r="AS11" s="5">
        <f t="shared" si="25"/>
        <v>0.61499999999999988</v>
      </c>
      <c r="AT11" s="5">
        <f t="shared" si="55"/>
        <v>6.7064285714285718</v>
      </c>
      <c r="AU11" s="177">
        <f t="shared" si="56"/>
        <v>8.3999999999999977E-2</v>
      </c>
      <c r="AW11" s="5">
        <f t="shared" si="26"/>
        <v>4.6051229968782526</v>
      </c>
      <c r="AX11" s="5">
        <f t="shared" si="27"/>
        <v>0.16720266510263929</v>
      </c>
      <c r="AY11" s="5">
        <f t="shared" si="28"/>
        <v>15.170308270746586</v>
      </c>
      <c r="AZ11" s="5">
        <f t="shared" si="29"/>
        <v>0.28559312645340984</v>
      </c>
      <c r="BA11" s="5">
        <f t="shared" si="30"/>
        <v>0.76440866402116381</v>
      </c>
      <c r="BB11" s="469">
        <f t="shared" si="31"/>
        <v>46.069686507936503</v>
      </c>
      <c r="BC11" s="5"/>
      <c r="BD11" s="177">
        <f t="shared" si="57"/>
        <v>0.13721224435158835</v>
      </c>
      <c r="BE11" s="177">
        <f t="shared" si="32"/>
        <v>0.45310719850089926</v>
      </c>
      <c r="BF11" s="177">
        <f t="shared" si="33"/>
        <v>0.74387816015819286</v>
      </c>
      <c r="BG11" s="177"/>
      <c r="BH11" s="538">
        <f t="shared" si="34"/>
        <v>2.0709919999999989E-3</v>
      </c>
      <c r="BI11" s="538">
        <f t="shared" si="35"/>
        <v>1.5903999999999995E-2</v>
      </c>
      <c r="BJ11" s="538">
        <f t="shared" si="36"/>
        <v>6.8292682926829251E-3</v>
      </c>
      <c r="BK11" s="538">
        <f t="shared" si="37"/>
        <v>2.478696585365853E-2</v>
      </c>
      <c r="BL11">
        <f t="shared" si="38"/>
        <v>3.48E-3</v>
      </c>
      <c r="BM11">
        <f t="shared" si="39"/>
        <v>9.5609756097560967E-6</v>
      </c>
      <c r="BN11">
        <f t="shared" si="40"/>
        <v>5.3101076938521688E-2</v>
      </c>
      <c r="BO11" s="469">
        <f t="shared" si="58"/>
        <v>53.101076938521686</v>
      </c>
      <c r="BP11" s="177">
        <f t="shared" si="41"/>
        <v>2.2679999999999999E-2</v>
      </c>
      <c r="BQ11" s="177">
        <f t="shared" si="42"/>
        <v>3.9149999999999997E-2</v>
      </c>
      <c r="BR11" s="538"/>
      <c r="BT11" s="469">
        <f t="shared" si="59"/>
        <v>61.83</v>
      </c>
      <c r="BU11" s="538">
        <f t="shared" si="43"/>
        <v>9.0370559999999943E-4</v>
      </c>
      <c r="BV11" s="538">
        <f t="shared" si="60"/>
        <v>4.9273471999999992E-2</v>
      </c>
      <c r="BW11" s="538">
        <f t="shared" si="44"/>
        <v>0.13280513211848111</v>
      </c>
      <c r="BX11" s="538">
        <f t="shared" si="45"/>
        <v>0</v>
      </c>
      <c r="BY11" s="538">
        <f t="shared" si="46"/>
        <v>0.18570070523530566</v>
      </c>
      <c r="BZ11" s="538">
        <f t="shared" si="61"/>
        <v>0.18298230971848109</v>
      </c>
      <c r="CA11" s="641">
        <f t="shared" si="47"/>
        <v>4.5919999999999997E-3</v>
      </c>
      <c r="CB11" s="469">
        <f t="shared" si="62"/>
        <v>190.29270523530568</v>
      </c>
      <c r="CC11" s="177">
        <f t="shared" si="63"/>
        <v>0.30522378217382734</v>
      </c>
      <c r="CD11" s="5">
        <f t="shared" si="64"/>
        <v>0.73859999999999992</v>
      </c>
      <c r="CE11" s="177">
        <f t="shared" si="65"/>
        <v>0.70759069932457375</v>
      </c>
      <c r="CF11" s="5">
        <f t="shared" si="66"/>
        <v>70.759069932457379</v>
      </c>
      <c r="CG11">
        <f t="shared" si="67"/>
        <v>6</v>
      </c>
      <c r="CI11" s="571">
        <f t="shared" si="48"/>
        <v>-50</v>
      </c>
      <c r="CJ11">
        <f t="shared" si="49"/>
        <v>-50</v>
      </c>
    </row>
    <row r="12" spans="2:88" x14ac:dyDescent="0.2">
      <c r="E12" s="174">
        <v>7</v>
      </c>
      <c r="F12" s="221">
        <f t="shared" si="68"/>
        <v>2.9400000000000003E-2</v>
      </c>
      <c r="G12" s="221">
        <f t="shared" si="50"/>
        <v>5.0750000000000003E-2</v>
      </c>
      <c r="H12" s="221">
        <f t="shared" si="0"/>
        <v>0.45570000000000005</v>
      </c>
      <c r="I12" s="221">
        <f t="shared" si="69"/>
        <v>0.40600000000000003</v>
      </c>
      <c r="J12" s="551">
        <f t="shared" si="1"/>
        <v>12</v>
      </c>
      <c r="K12" s="451">
        <f t="shared" si="2"/>
        <v>16.399999999999999</v>
      </c>
      <c r="L12" s="451">
        <f t="shared" si="3"/>
        <v>28.4</v>
      </c>
      <c r="M12" s="451"/>
      <c r="N12" s="221">
        <f t="shared" si="4"/>
        <v>0.57746478873239437</v>
      </c>
      <c r="O12" s="176">
        <f t="shared" si="51"/>
        <v>6.7612354549719109</v>
      </c>
      <c r="P12" s="176">
        <f t="shared" si="5"/>
        <v>11.390692542350877</v>
      </c>
      <c r="Q12" s="221">
        <f t="shared" si="6"/>
        <v>0.43620873903044588</v>
      </c>
      <c r="R12" s="221">
        <f t="shared" si="7"/>
        <v>0.84515443187148886</v>
      </c>
      <c r="S12" s="451">
        <f t="shared" si="8"/>
        <v>15.5</v>
      </c>
      <c r="T12" s="221">
        <f t="shared" si="9"/>
        <v>0.27633559168925026</v>
      </c>
      <c r="U12" s="221">
        <f t="shared" si="10"/>
        <v>0.20725169376693769</v>
      </c>
      <c r="V12" s="221">
        <f t="shared" si="11"/>
        <v>0.15164758080507637</v>
      </c>
      <c r="W12" s="201">
        <f t="shared" si="12"/>
        <v>350</v>
      </c>
      <c r="X12" s="451">
        <f t="shared" si="52"/>
        <v>350</v>
      </c>
      <c r="Z12" s="221">
        <f t="shared" si="13"/>
        <v>2.1998658618376927</v>
      </c>
      <c r="AA12" s="177">
        <f t="shared" si="14"/>
        <v>1.2072434607645877</v>
      </c>
      <c r="AB12" s="177">
        <f t="shared" si="15"/>
        <v>0.46476039334599145</v>
      </c>
      <c r="AC12" s="177"/>
      <c r="AD12" s="177">
        <f t="shared" si="16"/>
        <v>0.45</v>
      </c>
      <c r="AE12" s="555">
        <f t="shared" si="17"/>
        <v>159.34959349593498</v>
      </c>
      <c r="AF12" s="538">
        <f t="shared" si="18"/>
        <v>6.4574999999999994E-2</v>
      </c>
      <c r="AH12" s="177">
        <f t="shared" si="19"/>
        <v>0.7396695959082753</v>
      </c>
      <c r="AI12" s="177">
        <f t="shared" si="20"/>
        <v>0.82</v>
      </c>
      <c r="AJ12" s="177">
        <f t="shared" si="21"/>
        <v>1.0910569105691057</v>
      </c>
      <c r="AL12" s="555">
        <f t="shared" si="22"/>
        <v>29.400000000000002</v>
      </c>
      <c r="AM12" s="469">
        <f t="shared" si="23"/>
        <v>159.34959349593498</v>
      </c>
      <c r="AO12">
        <f t="shared" si="53"/>
        <v>29.400000000000002</v>
      </c>
      <c r="AP12" s="469">
        <f t="shared" si="24"/>
        <v>159.34959349593498</v>
      </c>
      <c r="AQ12" s="469"/>
      <c r="AR12" s="5">
        <f t="shared" si="54"/>
        <v>6.2755102040816313</v>
      </c>
      <c r="AS12" s="5">
        <f t="shared" si="25"/>
        <v>0.61499999999999988</v>
      </c>
      <c r="AT12" s="5">
        <f t="shared" si="55"/>
        <v>5.6605102040816311</v>
      </c>
      <c r="AU12" s="177">
        <f t="shared" si="56"/>
        <v>9.8000000000000004E-2</v>
      </c>
      <c r="AW12" s="5">
        <f t="shared" si="26"/>
        <v>4.6051229968782526</v>
      </c>
      <c r="AX12" s="5">
        <f t="shared" si="27"/>
        <v>0.21778140527859247</v>
      </c>
      <c r="AY12" s="5">
        <f t="shared" si="28"/>
        <v>15.170308270746586</v>
      </c>
      <c r="AZ12" s="5">
        <f t="shared" si="29"/>
        <v>0.37180731100603015</v>
      </c>
      <c r="BA12" s="5">
        <f t="shared" si="30"/>
        <v>0.75272556216931197</v>
      </c>
      <c r="BB12" s="469">
        <f t="shared" si="31"/>
        <v>45.402894841269841</v>
      </c>
      <c r="BC12" s="5"/>
      <c r="BD12" s="177">
        <f t="shared" si="57"/>
        <v>0.1482061627148705</v>
      </c>
      <c r="BE12" s="177">
        <f t="shared" si="32"/>
        <v>0.44963125632752299</v>
      </c>
      <c r="BF12" s="177">
        <f t="shared" si="33"/>
        <v>0.73817161328076042</v>
      </c>
      <c r="BG12" s="177"/>
      <c r="BH12" s="538">
        <f t="shared" si="34"/>
        <v>2.416157333333334E-3</v>
      </c>
      <c r="BI12" s="538">
        <f t="shared" si="35"/>
        <v>1.8554666666666667E-2</v>
      </c>
      <c r="BJ12" s="538">
        <f t="shared" si="36"/>
        <v>7.9674796747967475E-3</v>
      </c>
      <c r="BK12" s="538">
        <f t="shared" si="37"/>
        <v>2.8918126829268292E-2</v>
      </c>
      <c r="BL12">
        <f t="shared" si="38"/>
        <v>3.48E-3</v>
      </c>
      <c r="BM12">
        <f t="shared" si="39"/>
        <v>1.1154471544715449E-5</v>
      </c>
      <c r="BN12">
        <f t="shared" si="40"/>
        <v>6.1374944761579009E-2</v>
      </c>
      <c r="BO12" s="469">
        <f t="shared" si="58"/>
        <v>61.374944761579009</v>
      </c>
      <c r="BP12" s="177">
        <f t="shared" si="41"/>
        <v>2.6460000000000004E-2</v>
      </c>
      <c r="BQ12" s="177">
        <f t="shared" si="42"/>
        <v>4.5675000000000007E-2</v>
      </c>
      <c r="BR12" s="538"/>
      <c r="BT12" s="469">
        <f t="shared" si="59"/>
        <v>72.135000000000005</v>
      </c>
      <c r="BU12" s="538">
        <f t="shared" si="43"/>
        <v>1.0543232000000003E-3</v>
      </c>
      <c r="BV12" s="538">
        <f t="shared" si="60"/>
        <v>4.8520384E-2</v>
      </c>
      <c r="BW12" s="538">
        <f t="shared" si="44"/>
        <v>0.13077535935684492</v>
      </c>
      <c r="BX12" s="538">
        <f t="shared" si="45"/>
        <v>0</v>
      </c>
      <c r="BY12" s="538">
        <f t="shared" si="46"/>
        <v>0.18299025087074838</v>
      </c>
      <c r="BZ12" s="538">
        <f t="shared" si="61"/>
        <v>0.18035006655684493</v>
      </c>
      <c r="CA12" s="641">
        <f t="shared" si="47"/>
        <v>5.3573333333333337E-3</v>
      </c>
      <c r="CB12" s="469">
        <f t="shared" si="62"/>
        <v>188.3475842040817</v>
      </c>
      <c r="CC12" s="177">
        <f t="shared" si="63"/>
        <v>0.32185752896566072</v>
      </c>
      <c r="CD12" s="5">
        <f t="shared" si="64"/>
        <v>0.86170000000000013</v>
      </c>
      <c r="CE12" s="177">
        <f t="shared" si="65"/>
        <v>0.72805924419496559</v>
      </c>
      <c r="CF12" s="5">
        <f t="shared" si="66"/>
        <v>72.805924419496563</v>
      </c>
      <c r="CG12">
        <f t="shared" si="67"/>
        <v>7.0000000000000009</v>
      </c>
      <c r="CI12" s="571">
        <f t="shared" si="48"/>
        <v>-50</v>
      </c>
      <c r="CJ12">
        <f t="shared" si="49"/>
        <v>-50</v>
      </c>
    </row>
    <row r="13" spans="2:88" s="77" customFormat="1" x14ac:dyDescent="0.2">
      <c r="E13" s="193">
        <v>8</v>
      </c>
      <c r="F13" s="221">
        <f t="shared" si="68"/>
        <v>3.3599999999999998E-2</v>
      </c>
      <c r="G13" s="221">
        <f t="shared" si="50"/>
        <v>5.7999999999999996E-2</v>
      </c>
      <c r="H13" s="221">
        <f t="shared" si="0"/>
        <v>0.52079999999999993</v>
      </c>
      <c r="I13" s="221">
        <f t="shared" si="69"/>
        <v>0.46399999999999997</v>
      </c>
      <c r="J13" s="551">
        <f t="shared" si="1"/>
        <v>12</v>
      </c>
      <c r="K13" s="451">
        <f t="shared" si="2"/>
        <v>16.399999999999999</v>
      </c>
      <c r="L13" s="545">
        <f t="shared" si="3"/>
        <v>28.4</v>
      </c>
      <c r="M13" s="545"/>
      <c r="N13" s="333">
        <f t="shared" si="4"/>
        <v>0.57746478873239437</v>
      </c>
      <c r="O13" s="176">
        <f t="shared" si="51"/>
        <v>6.7612354549719109</v>
      </c>
      <c r="P13" s="176">
        <f t="shared" si="5"/>
        <v>11.390692542350877</v>
      </c>
      <c r="Q13" s="333">
        <f t="shared" si="6"/>
        <v>0.43620873903044588</v>
      </c>
      <c r="R13" s="221">
        <f t="shared" si="7"/>
        <v>0.84515443187148886</v>
      </c>
      <c r="S13" s="451">
        <f t="shared" si="8"/>
        <v>15.5</v>
      </c>
      <c r="T13" s="221">
        <f t="shared" si="9"/>
        <v>0.31581210478771449</v>
      </c>
      <c r="U13" s="333">
        <f t="shared" si="10"/>
        <v>0.23685907859078587</v>
      </c>
      <c r="V13" s="221">
        <f t="shared" si="11"/>
        <v>0.17331152092008723</v>
      </c>
      <c r="W13" s="547">
        <f t="shared" si="12"/>
        <v>350</v>
      </c>
      <c r="X13" s="545">
        <f t="shared" si="52"/>
        <v>350</v>
      </c>
      <c r="Z13" s="333">
        <f t="shared" si="13"/>
        <v>2.1998658618376927</v>
      </c>
      <c r="AA13" s="177">
        <f t="shared" si="14"/>
        <v>1.2072434607645877</v>
      </c>
      <c r="AB13" s="177">
        <f t="shared" si="15"/>
        <v>0.46476039334599145</v>
      </c>
      <c r="AC13" s="548"/>
      <c r="AD13" s="177">
        <f t="shared" si="16"/>
        <v>0.45</v>
      </c>
      <c r="AE13" s="555">
        <f t="shared" si="17"/>
        <v>182.11382113821139</v>
      </c>
      <c r="AF13" s="538">
        <f t="shared" si="18"/>
        <v>6.4574999999999994E-2</v>
      </c>
      <c r="AG13"/>
      <c r="AH13" s="177">
        <f t="shared" si="19"/>
        <v>0.79074005922922685</v>
      </c>
      <c r="AI13" s="177">
        <f t="shared" si="20"/>
        <v>0.82</v>
      </c>
      <c r="AJ13" s="177">
        <f t="shared" si="21"/>
        <v>1.1040650406504064</v>
      </c>
      <c r="AL13" s="555">
        <f t="shared" si="22"/>
        <v>33.6</v>
      </c>
      <c r="AM13" s="469">
        <f t="shared" si="23"/>
        <v>182.11382113821139</v>
      </c>
      <c r="AO13">
        <f t="shared" si="53"/>
        <v>33.6</v>
      </c>
      <c r="AP13" s="469">
        <f t="shared" si="24"/>
        <v>182.11382113821139</v>
      </c>
      <c r="AQ13" s="469"/>
      <c r="AR13" s="5">
        <f t="shared" si="54"/>
        <v>5.4910714285714288</v>
      </c>
      <c r="AS13" s="5">
        <f t="shared" si="25"/>
        <v>0.61499999999999988</v>
      </c>
      <c r="AT13" s="5">
        <f t="shared" si="55"/>
        <v>4.8760714285714286</v>
      </c>
      <c r="AU13" s="177">
        <f t="shared" si="56"/>
        <v>0.11199999999999997</v>
      </c>
      <c r="AW13" s="5">
        <f t="shared" si="26"/>
        <v>4.6051229968782526</v>
      </c>
      <c r="AX13" s="5">
        <f t="shared" si="27"/>
        <v>0.27484918240469208</v>
      </c>
      <c r="AY13" s="5">
        <f t="shared" si="28"/>
        <v>15.170308270746586</v>
      </c>
      <c r="AZ13" s="5">
        <f t="shared" si="29"/>
        <v>0.46905444702828408</v>
      </c>
      <c r="BA13" s="5">
        <f t="shared" si="30"/>
        <v>0.74104246031746002</v>
      </c>
      <c r="BB13" s="469">
        <f t="shared" si="31"/>
        <v>44.736103174603173</v>
      </c>
      <c r="BC13" s="5"/>
      <c r="BD13" s="177">
        <f t="shared" si="57"/>
        <v>0.1584390524250045</v>
      </c>
      <c r="BE13" s="177">
        <f t="shared" si="32"/>
        <v>0.44612823268652252</v>
      </c>
      <c r="BF13" s="177">
        <f t="shared" si="33"/>
        <v>0.73242060603638348</v>
      </c>
      <c r="BG13" s="177"/>
      <c r="BH13" s="538">
        <f t="shared" si="34"/>
        <v>2.7613226666666655E-3</v>
      </c>
      <c r="BI13" s="538">
        <f t="shared" si="35"/>
        <v>2.1205333333333336E-2</v>
      </c>
      <c r="BJ13" s="538">
        <f t="shared" si="36"/>
        <v>9.1056910569105691E-3</v>
      </c>
      <c r="BK13" s="538">
        <f t="shared" si="37"/>
        <v>3.304928780487805E-2</v>
      </c>
      <c r="BL13">
        <f t="shared" si="38"/>
        <v>3.48E-3</v>
      </c>
      <c r="BM13">
        <f t="shared" si="39"/>
        <v>1.2747967479674799E-5</v>
      </c>
      <c r="BN13">
        <f t="shared" si="40"/>
        <v>6.9649866931303372E-2</v>
      </c>
      <c r="BO13" s="469">
        <f t="shared" si="58"/>
        <v>69.649866931303379</v>
      </c>
      <c r="BP13" s="177">
        <f t="shared" si="41"/>
        <v>3.024E-2</v>
      </c>
      <c r="BQ13" s="177">
        <f t="shared" si="42"/>
        <v>5.2199999999999996E-2</v>
      </c>
      <c r="BR13" s="538"/>
      <c r="BT13" s="469">
        <f t="shared" si="59"/>
        <v>82.44</v>
      </c>
      <c r="BU13" s="538">
        <f t="shared" si="43"/>
        <v>1.2049407999999995E-3</v>
      </c>
      <c r="BV13" s="538">
        <f t="shared" si="60"/>
        <v>4.7767295999999994E-2</v>
      </c>
      <c r="BW13" s="538">
        <f t="shared" si="44"/>
        <v>0.12874558659520877</v>
      </c>
      <c r="BX13" s="538">
        <f t="shared" si="45"/>
        <v>0</v>
      </c>
      <c r="BY13" s="538">
        <f t="shared" si="46"/>
        <v>0.18028095450190387</v>
      </c>
      <c r="BZ13" s="538">
        <f t="shared" si="61"/>
        <v>0.17771782339520875</v>
      </c>
      <c r="CA13" s="641">
        <f t="shared" si="47"/>
        <v>6.1226666666666669E-3</v>
      </c>
      <c r="CB13" s="469">
        <f t="shared" si="62"/>
        <v>186.40362116857054</v>
      </c>
      <c r="CC13" s="177">
        <f t="shared" si="63"/>
        <v>0.33849348809987395</v>
      </c>
      <c r="CD13" s="5">
        <f t="shared" si="64"/>
        <v>0.9847999999999999</v>
      </c>
      <c r="CE13" s="177">
        <f t="shared" si="65"/>
        <v>0.74420376798957943</v>
      </c>
      <c r="CF13" s="5">
        <f t="shared" si="66"/>
        <v>74.420376798957946</v>
      </c>
      <c r="CG13">
        <f t="shared" si="67"/>
        <v>8</v>
      </c>
      <c r="CI13" s="571">
        <f t="shared" si="48"/>
        <v>-50</v>
      </c>
      <c r="CJ13">
        <f t="shared" si="49"/>
        <v>-50</v>
      </c>
    </row>
    <row r="14" spans="2:88" x14ac:dyDescent="0.2">
      <c r="E14" s="174">
        <v>9</v>
      </c>
      <c r="F14" s="221">
        <f t="shared" si="68"/>
        <v>3.78E-2</v>
      </c>
      <c r="G14" s="221">
        <f t="shared" si="50"/>
        <v>6.5250000000000002E-2</v>
      </c>
      <c r="H14" s="221">
        <f t="shared" si="0"/>
        <v>0.58589999999999998</v>
      </c>
      <c r="I14" s="221">
        <f t="shared" si="69"/>
        <v>0.52200000000000002</v>
      </c>
      <c r="J14" s="551">
        <f t="shared" si="1"/>
        <v>12</v>
      </c>
      <c r="K14" s="451">
        <f t="shared" si="2"/>
        <v>16.399999999999999</v>
      </c>
      <c r="L14" s="451">
        <f t="shared" si="3"/>
        <v>28.4</v>
      </c>
      <c r="M14" s="451"/>
      <c r="N14" s="221">
        <f t="shared" si="4"/>
        <v>0.57746478873239437</v>
      </c>
      <c r="O14" s="176">
        <f t="shared" si="51"/>
        <v>6.7612354549719109</v>
      </c>
      <c r="P14" s="176">
        <f t="shared" si="5"/>
        <v>11.390692542350877</v>
      </c>
      <c r="Q14" s="221">
        <f t="shared" si="6"/>
        <v>0.43620873903044588</v>
      </c>
      <c r="R14" s="221">
        <f t="shared" si="7"/>
        <v>0.84515443187148886</v>
      </c>
      <c r="S14" s="451">
        <f t="shared" si="8"/>
        <v>15.5</v>
      </c>
      <c r="T14" s="221">
        <f t="shared" si="9"/>
        <v>0.35528861788617877</v>
      </c>
      <c r="U14" s="221">
        <f t="shared" si="10"/>
        <v>0.26646646341463409</v>
      </c>
      <c r="V14" s="221">
        <f t="shared" si="11"/>
        <v>0.19497546103509814</v>
      </c>
      <c r="W14" s="201">
        <f t="shared" si="12"/>
        <v>350</v>
      </c>
      <c r="X14" s="451">
        <f t="shared" si="52"/>
        <v>350</v>
      </c>
      <c r="Z14" s="221">
        <f t="shared" si="13"/>
        <v>2.1998658618376927</v>
      </c>
      <c r="AA14" s="177">
        <f t="shared" si="14"/>
        <v>1.2072434607645877</v>
      </c>
      <c r="AB14" s="177">
        <f t="shared" si="15"/>
        <v>0.46476039334599145</v>
      </c>
      <c r="AC14" s="177"/>
      <c r="AD14" s="177">
        <f t="shared" si="16"/>
        <v>0.45</v>
      </c>
      <c r="AE14" s="555">
        <f t="shared" si="17"/>
        <v>204.87804878048786</v>
      </c>
      <c r="AF14" s="538">
        <f t="shared" si="18"/>
        <v>6.4574999999999994E-2</v>
      </c>
      <c r="AH14" s="177">
        <f t="shared" si="19"/>
        <v>0.83870648705525785</v>
      </c>
      <c r="AI14" s="177">
        <f t="shared" si="20"/>
        <v>0.83870648705525785</v>
      </c>
      <c r="AJ14" s="177">
        <f t="shared" si="21"/>
        <v>1.1170731707317074</v>
      </c>
      <c r="AL14" s="555">
        <f t="shared" si="22"/>
        <v>37.799999999999997</v>
      </c>
      <c r="AM14" s="469">
        <f t="shared" si="23"/>
        <v>204.87804878048786</v>
      </c>
      <c r="AO14">
        <f t="shared" si="53"/>
        <v>37.799999999999997</v>
      </c>
      <c r="AP14" s="469">
        <f t="shared" si="24"/>
        <v>204.87804878048786</v>
      </c>
      <c r="AQ14" s="469"/>
      <c r="AR14" s="5">
        <f t="shared" si="54"/>
        <v>4.8809523809523796</v>
      </c>
      <c r="AS14" s="5">
        <f t="shared" si="25"/>
        <v>0.62902986529144345</v>
      </c>
      <c r="AT14" s="5">
        <f t="shared" si="55"/>
        <v>4.2519225156609366</v>
      </c>
      <c r="AU14" s="177">
        <f t="shared" si="56"/>
        <v>0.12887441142556405</v>
      </c>
      <c r="AW14" s="5">
        <f t="shared" si="26"/>
        <v>4.6051229968782526</v>
      </c>
      <c r="AX14" s="5">
        <f t="shared" si="27"/>
        <v>0.3384059964809385</v>
      </c>
      <c r="AY14" s="5">
        <f t="shared" si="28"/>
        <v>15.170308270746586</v>
      </c>
      <c r="AZ14" s="5">
        <f t="shared" si="29"/>
        <v>0.57733453452017225</v>
      </c>
      <c r="BA14" s="5">
        <f t="shared" si="30"/>
        <v>0.72696064121925164</v>
      </c>
      <c r="BB14" s="469">
        <f t="shared" si="31"/>
        <v>43.925388473155103</v>
      </c>
      <c r="BC14" s="5"/>
      <c r="BD14" s="177">
        <f t="shared" si="57"/>
        <v>0.17383319890322302</v>
      </c>
      <c r="BE14" s="177">
        <f t="shared" si="32"/>
        <v>0.45194934388188129</v>
      </c>
      <c r="BF14" s="177">
        <f t="shared" si="33"/>
        <v>0.74197727938080638</v>
      </c>
      <c r="BG14" s="177"/>
      <c r="BH14" s="538">
        <f t="shared" si="34"/>
        <v>3.3239779145020245E-3</v>
      </c>
      <c r="BI14" s="538">
        <f t="shared" si="35"/>
        <v>2.4400221896573461E-2</v>
      </c>
      <c r="BJ14" s="538">
        <f t="shared" si="36"/>
        <v>1.0243902439024392E-2</v>
      </c>
      <c r="BK14" s="538">
        <f t="shared" si="37"/>
        <v>3.7180448780487811E-2</v>
      </c>
      <c r="BL14">
        <f t="shared" si="38"/>
        <v>3.48E-3</v>
      </c>
      <c r="BM14">
        <f t="shared" si="39"/>
        <v>1.4341463414634151E-5</v>
      </c>
      <c r="BN14">
        <f t="shared" si="40"/>
        <v>7.8691151725501549E-2</v>
      </c>
      <c r="BO14" s="469">
        <f t="shared" si="58"/>
        <v>78.691151725501555</v>
      </c>
      <c r="BP14" s="177">
        <f t="shared" si="41"/>
        <v>3.4020000000000002E-2</v>
      </c>
      <c r="BQ14" s="177">
        <f t="shared" si="42"/>
        <v>5.8725000000000006E-2</v>
      </c>
      <c r="BR14" s="538"/>
      <c r="BT14" s="469">
        <f t="shared" si="59"/>
        <v>92.745000000000005</v>
      </c>
      <c r="BU14" s="538">
        <f t="shared" si="43"/>
        <v>1.4504630899645199E-3</v>
      </c>
      <c r="BV14" s="538">
        <f t="shared" si="60"/>
        <v>4.9021970264463116E-2</v>
      </c>
      <c r="BW14" s="538">
        <f t="shared" si="44"/>
        <v>0.13212726794816237</v>
      </c>
      <c r="BX14" s="538">
        <f t="shared" si="45"/>
        <v>0</v>
      </c>
      <c r="BY14" s="538">
        <f t="shared" si="46"/>
        <v>0.1853066565128807</v>
      </c>
      <c r="BZ14" s="538">
        <f t="shared" si="61"/>
        <v>0.18259970130259001</v>
      </c>
      <c r="CA14" s="641">
        <f t="shared" si="47"/>
        <v>7.2058536585365872E-3</v>
      </c>
      <c r="CB14" s="469">
        <f t="shared" si="62"/>
        <v>192.51251017141729</v>
      </c>
      <c r="CC14" s="177">
        <f t="shared" si="63"/>
        <v>0.36394866189691882</v>
      </c>
      <c r="CD14" s="5">
        <f t="shared" si="64"/>
        <v>1.1078999999999999</v>
      </c>
      <c r="CE14" s="177">
        <f t="shared" si="65"/>
        <v>0.75272684528050482</v>
      </c>
      <c r="CF14" s="5">
        <f t="shared" si="66"/>
        <v>75.272684528050476</v>
      </c>
      <c r="CG14">
        <f t="shared" si="67"/>
        <v>9.0000000000000018</v>
      </c>
      <c r="CI14" s="571">
        <f t="shared" si="48"/>
        <v>-50</v>
      </c>
      <c r="CJ14">
        <f t="shared" si="49"/>
        <v>-50</v>
      </c>
    </row>
    <row r="15" spans="2:88" x14ac:dyDescent="0.2">
      <c r="E15" s="174">
        <v>10</v>
      </c>
      <c r="F15" s="221">
        <f t="shared" si="68"/>
        <v>4.2000000000000003E-2</v>
      </c>
      <c r="G15" s="221">
        <f t="shared" si="50"/>
        <v>7.2499999999999995E-2</v>
      </c>
      <c r="H15" s="221">
        <f t="shared" si="0"/>
        <v>0.65100000000000002</v>
      </c>
      <c r="I15" s="221">
        <f t="shared" si="69"/>
        <v>0.57999999999999996</v>
      </c>
      <c r="J15" s="551">
        <f t="shared" si="1"/>
        <v>12</v>
      </c>
      <c r="K15" s="451">
        <f t="shared" si="2"/>
        <v>16.399999999999999</v>
      </c>
      <c r="L15" s="451">
        <f t="shared" si="3"/>
        <v>28.4</v>
      </c>
      <c r="M15" s="451"/>
      <c r="N15" s="221">
        <f t="shared" si="4"/>
        <v>0.57746478873239437</v>
      </c>
      <c r="O15" s="176">
        <f t="shared" si="51"/>
        <v>6.7612354549719109</v>
      </c>
      <c r="P15" s="176">
        <f t="shared" si="5"/>
        <v>11.390692542350877</v>
      </c>
      <c r="Q15" s="221">
        <f t="shared" si="6"/>
        <v>0.43620873903044588</v>
      </c>
      <c r="R15" s="221">
        <f t="shared" si="7"/>
        <v>0.84515443187148886</v>
      </c>
      <c r="S15" s="451">
        <f t="shared" si="8"/>
        <v>15.5</v>
      </c>
      <c r="T15" s="221">
        <f t="shared" si="9"/>
        <v>0.39476513098464311</v>
      </c>
      <c r="U15" s="221">
        <f t="shared" si="10"/>
        <v>0.29607384823848237</v>
      </c>
      <c r="V15" s="221">
        <f t="shared" si="11"/>
        <v>0.21663940115010905</v>
      </c>
      <c r="W15" s="201">
        <f t="shared" si="12"/>
        <v>350</v>
      </c>
      <c r="X15" s="451">
        <f t="shared" si="52"/>
        <v>350</v>
      </c>
      <c r="Z15" s="221">
        <f t="shared" si="13"/>
        <v>2.1998658618376927</v>
      </c>
      <c r="AA15" s="177">
        <f t="shared" si="14"/>
        <v>1.2072434607645877</v>
      </c>
      <c r="AB15" s="177">
        <f t="shared" si="15"/>
        <v>0.46476039334599145</v>
      </c>
      <c r="AC15" s="177"/>
      <c r="AD15" s="177">
        <f t="shared" si="16"/>
        <v>0.45</v>
      </c>
      <c r="AE15" s="555">
        <f t="shared" si="17"/>
        <v>227.64227642276427</v>
      </c>
      <c r="AF15" s="538">
        <f t="shared" si="18"/>
        <v>6.4574999999999994E-2</v>
      </c>
      <c r="AH15" s="177">
        <f t="shared" si="19"/>
        <v>0.88407426248438059</v>
      </c>
      <c r="AI15" s="177">
        <f t="shared" si="20"/>
        <v>0.88407426248438059</v>
      </c>
      <c r="AJ15" s="177">
        <f t="shared" si="21"/>
        <v>1.1300813008130082</v>
      </c>
      <c r="AL15" s="555">
        <f t="shared" si="22"/>
        <v>42</v>
      </c>
      <c r="AM15" s="469">
        <f t="shared" si="23"/>
        <v>227.64227642276427</v>
      </c>
      <c r="AO15">
        <f t="shared" si="53"/>
        <v>42</v>
      </c>
      <c r="AP15" s="469">
        <f t="shared" si="24"/>
        <v>227.64227642276427</v>
      </c>
      <c r="AQ15" s="469"/>
      <c r="AR15" s="5">
        <f t="shared" si="54"/>
        <v>4.3928571428571423</v>
      </c>
      <c r="AS15" s="5">
        <f t="shared" si="25"/>
        <v>0.66305569686328558</v>
      </c>
      <c r="AT15" s="5">
        <f t="shared" si="55"/>
        <v>3.7298014459938567</v>
      </c>
      <c r="AU15" s="177">
        <f t="shared" si="56"/>
        <v>0.15093950822904065</v>
      </c>
      <c r="AW15" s="5">
        <f t="shared" si="26"/>
        <v>4.6051229968782526</v>
      </c>
      <c r="AX15" s="5">
        <f t="shared" si="27"/>
        <v>0.40845184750733154</v>
      </c>
      <c r="AY15" s="5">
        <f t="shared" si="28"/>
        <v>15.170308270746586</v>
      </c>
      <c r="AZ15" s="5">
        <f t="shared" si="29"/>
        <v>0.69664757348169404</v>
      </c>
      <c r="BA15" s="5">
        <f t="shared" si="30"/>
        <v>0.70854715741025243</v>
      </c>
      <c r="BB15" s="469">
        <f t="shared" si="31"/>
        <v>42.854773889059594</v>
      </c>
      <c r="BC15" s="5"/>
      <c r="BD15" s="177">
        <f t="shared" si="57"/>
        <v>0.19830313742655895</v>
      </c>
      <c r="BE15" s="177">
        <f t="shared" si="32"/>
        <v>0.47032432024708626</v>
      </c>
      <c r="BF15" s="177">
        <f t="shared" si="33"/>
        <v>0.77214396765396087</v>
      </c>
      <c r="BG15" s="177"/>
      <c r="BH15" s="538">
        <f t="shared" si="34"/>
        <v>4.3256547744538396E-3</v>
      </c>
      <c r="BI15" s="538">
        <f t="shared" si="35"/>
        <v>2.8577880224698357E-2</v>
      </c>
      <c r="BJ15" s="538">
        <f t="shared" si="36"/>
        <v>1.1382113821138212E-2</v>
      </c>
      <c r="BK15" s="538">
        <f t="shared" si="37"/>
        <v>4.1311609756097559E-2</v>
      </c>
      <c r="BL15">
        <f t="shared" si="38"/>
        <v>3.48E-3</v>
      </c>
      <c r="BM15">
        <f t="shared" si="39"/>
        <v>1.59349593495935E-5</v>
      </c>
      <c r="BN15">
        <f t="shared" si="40"/>
        <v>8.9164354118239489E-2</v>
      </c>
      <c r="BO15" s="469">
        <f t="shared" si="58"/>
        <v>89.164354118239487</v>
      </c>
      <c r="BP15" s="177">
        <f t="shared" si="41"/>
        <v>3.78E-2</v>
      </c>
      <c r="BQ15" s="177">
        <f t="shared" si="42"/>
        <v>6.5250000000000002E-2</v>
      </c>
      <c r="BR15" s="538"/>
      <c r="BT15" s="469">
        <f t="shared" si="59"/>
        <v>103.05</v>
      </c>
      <c r="BU15" s="538">
        <f t="shared" si="43"/>
        <v>1.8875584470344027E-3</v>
      </c>
      <c r="BV15" s="538">
        <f t="shared" si="60"/>
        <v>5.3089191891812097E-2</v>
      </c>
      <c r="BW15" s="538">
        <f t="shared" si="44"/>
        <v>0.14308951362825623</v>
      </c>
      <c r="BX15" s="538">
        <f t="shared" si="45"/>
        <v>0</v>
      </c>
      <c r="BY15" s="538">
        <f t="shared" si="46"/>
        <v>0.20125521342526628</v>
      </c>
      <c r="BZ15" s="538">
        <f t="shared" si="61"/>
        <v>0.19806626396710272</v>
      </c>
      <c r="CA15" s="641">
        <f t="shared" si="47"/>
        <v>8.896115627822946E-3</v>
      </c>
      <c r="CB15" s="469">
        <f t="shared" si="62"/>
        <v>210.15132905308923</v>
      </c>
      <c r="CC15" s="177">
        <f t="shared" si="63"/>
        <v>0.4023656831713287</v>
      </c>
      <c r="CD15" s="5">
        <f t="shared" si="64"/>
        <v>1.2309999999999999</v>
      </c>
      <c r="CE15" s="177">
        <f t="shared" si="65"/>
        <v>0.75365854240913221</v>
      </c>
      <c r="CF15" s="5">
        <f t="shared" si="66"/>
        <v>75.365854240913222</v>
      </c>
      <c r="CG15">
        <f t="shared" si="67"/>
        <v>10</v>
      </c>
      <c r="CI15" s="571">
        <f t="shared" si="48"/>
        <v>-50</v>
      </c>
      <c r="CJ15">
        <f t="shared" si="49"/>
        <v>-50</v>
      </c>
    </row>
    <row r="16" spans="2:88" x14ac:dyDescent="0.2">
      <c r="E16" s="174">
        <v>11</v>
      </c>
      <c r="F16" s="221">
        <f t="shared" si="68"/>
        <v>4.6199999999999998E-2</v>
      </c>
      <c r="G16" s="221">
        <f t="shared" si="50"/>
        <v>7.9750000000000001E-2</v>
      </c>
      <c r="H16" s="221">
        <f t="shared" si="0"/>
        <v>0.71609999999999996</v>
      </c>
      <c r="I16" s="221">
        <f t="shared" si="69"/>
        <v>0.63800000000000001</v>
      </c>
      <c r="J16" s="551">
        <f t="shared" si="1"/>
        <v>12</v>
      </c>
      <c r="K16" s="451">
        <f t="shared" si="2"/>
        <v>16.399999999999999</v>
      </c>
      <c r="L16" s="451">
        <f t="shared" si="3"/>
        <v>28.4</v>
      </c>
      <c r="M16" s="451"/>
      <c r="N16" s="221">
        <f t="shared" si="4"/>
        <v>0.57746478873239437</v>
      </c>
      <c r="O16" s="176">
        <f t="shared" si="51"/>
        <v>6.7612354549719109</v>
      </c>
      <c r="P16" s="176">
        <f t="shared" si="5"/>
        <v>11.390692542350877</v>
      </c>
      <c r="Q16" s="221">
        <f t="shared" si="6"/>
        <v>0.43620873903044588</v>
      </c>
      <c r="R16" s="221">
        <f t="shared" si="7"/>
        <v>0.84515443187148886</v>
      </c>
      <c r="S16" s="451">
        <f t="shared" si="8"/>
        <v>15.5</v>
      </c>
      <c r="T16" s="221">
        <f t="shared" si="9"/>
        <v>0.43424164408310739</v>
      </c>
      <c r="U16" s="221">
        <f t="shared" si="10"/>
        <v>0.32568123306233054</v>
      </c>
      <c r="V16" s="221">
        <f t="shared" si="11"/>
        <v>0.23830334126511993</v>
      </c>
      <c r="W16" s="201">
        <f t="shared" si="12"/>
        <v>350</v>
      </c>
      <c r="X16" s="451">
        <f t="shared" si="52"/>
        <v>350</v>
      </c>
      <c r="Z16" s="221">
        <f t="shared" si="13"/>
        <v>2.1998658618376927</v>
      </c>
      <c r="AA16" s="177">
        <f t="shared" si="14"/>
        <v>1.2072434607645877</v>
      </c>
      <c r="AB16" s="177">
        <f t="shared" si="15"/>
        <v>0.46476039334599145</v>
      </c>
      <c r="AC16" s="177"/>
      <c r="AD16" s="177">
        <f t="shared" si="16"/>
        <v>0.45</v>
      </c>
      <c r="AE16" s="555">
        <f t="shared" si="17"/>
        <v>250.40650406504065</v>
      </c>
      <c r="AF16" s="538">
        <f t="shared" si="18"/>
        <v>6.4574999999999994E-2</v>
      </c>
      <c r="AH16" s="177">
        <f t="shared" si="19"/>
        <v>0.92722490893311948</v>
      </c>
      <c r="AI16" s="177">
        <f t="shared" si="20"/>
        <v>0.92722490893311948</v>
      </c>
      <c r="AJ16" s="177">
        <f t="shared" si="21"/>
        <v>1.1430894308943089</v>
      </c>
      <c r="AL16" s="555">
        <f t="shared" si="22"/>
        <v>46.199999999999996</v>
      </c>
      <c r="AM16" s="469">
        <f t="shared" si="23"/>
        <v>250.40650406504065</v>
      </c>
      <c r="AO16">
        <f t="shared" si="53"/>
        <v>46.199999999999996</v>
      </c>
      <c r="AP16" s="469">
        <f t="shared" si="24"/>
        <v>250.40650406504065</v>
      </c>
      <c r="AQ16" s="469"/>
      <c r="AR16" s="5">
        <f t="shared" si="54"/>
        <v>3.9935064935064934</v>
      </c>
      <c r="AS16" s="5">
        <f t="shared" si="25"/>
        <v>0.69541868169983956</v>
      </c>
      <c r="AT16" s="5">
        <f t="shared" si="55"/>
        <v>3.2980878118066537</v>
      </c>
      <c r="AU16" s="177">
        <f t="shared" si="56"/>
        <v>0.17413736094597609</v>
      </c>
      <c r="AW16" s="5">
        <f t="shared" si="26"/>
        <v>4.6051229968782526</v>
      </c>
      <c r="AX16" s="5">
        <f t="shared" si="27"/>
        <v>0.48498673548387106</v>
      </c>
      <c r="AY16" s="5">
        <f t="shared" si="28"/>
        <v>15.170308270746586</v>
      </c>
      <c r="AZ16" s="5">
        <f t="shared" si="29"/>
        <v>0.82699356391284984</v>
      </c>
      <c r="BA16" s="5">
        <f t="shared" si="30"/>
        <v>0.68918838055052301</v>
      </c>
      <c r="BB16" s="469">
        <f t="shared" si="31"/>
        <v>41.727441721920279</v>
      </c>
      <c r="BC16" s="5"/>
      <c r="BD16" s="177">
        <f t="shared" si="57"/>
        <v>0.22339345338962624</v>
      </c>
      <c r="BE16" s="177">
        <f t="shared" si="32"/>
        <v>0.48649499027705051</v>
      </c>
      <c r="BF16" s="177">
        <f t="shared" si="33"/>
        <v>0.79869178748602898</v>
      </c>
      <c r="BG16" s="177"/>
      <c r="BH16" s="538">
        <f t="shared" si="34"/>
        <v>5.4895098519077423E-3</v>
      </c>
      <c r="BI16" s="538">
        <f t="shared" si="35"/>
        <v>3.2970007005771476E-2</v>
      </c>
      <c r="BJ16" s="538">
        <f t="shared" si="36"/>
        <v>1.2520325203252032E-2</v>
      </c>
      <c r="BK16" s="538">
        <f t="shared" si="37"/>
        <v>4.5442770731707313E-2</v>
      </c>
      <c r="BL16">
        <f t="shared" si="38"/>
        <v>3.48E-3</v>
      </c>
      <c r="BM16">
        <f t="shared" si="39"/>
        <v>1.7528455284552848E-5</v>
      </c>
      <c r="BN16">
        <f t="shared" si="40"/>
        <v>0.10002144442391574</v>
      </c>
      <c r="BO16" s="469">
        <f t="shared" si="58"/>
        <v>100.02144442391574</v>
      </c>
      <c r="BP16" s="177">
        <f t="shared" si="41"/>
        <v>4.1579999999999999E-2</v>
      </c>
      <c r="BQ16" s="177">
        <f t="shared" si="42"/>
        <v>7.1775000000000005E-2</v>
      </c>
      <c r="BR16" s="538"/>
      <c r="BT16" s="469">
        <f t="shared" si="59"/>
        <v>113.35500000000002</v>
      </c>
      <c r="BU16" s="538">
        <f t="shared" si="43"/>
        <v>2.3954224808324692E-3</v>
      </c>
      <c r="BV16" s="538">
        <f t="shared" si="60"/>
        <v>5.6802570135520189E-2</v>
      </c>
      <c r="BW16" s="538">
        <f t="shared" si="44"/>
        <v>0.15309805713543076</v>
      </c>
      <c r="BX16" s="538">
        <f t="shared" si="45"/>
        <v>0</v>
      </c>
      <c r="BY16" s="538">
        <f t="shared" si="46"/>
        <v>0.21596391259440192</v>
      </c>
      <c r="BZ16" s="538">
        <f t="shared" si="61"/>
        <v>0.21229604975178343</v>
      </c>
      <c r="CA16" s="641">
        <f t="shared" si="47"/>
        <v>1.0764299909665764E-2</v>
      </c>
      <c r="CB16" s="469">
        <f t="shared" si="62"/>
        <v>226.7282125040677</v>
      </c>
      <c r="CC16" s="177">
        <f t="shared" si="63"/>
        <v>0.4401046569279834</v>
      </c>
      <c r="CD16" s="5">
        <f t="shared" si="64"/>
        <v>1.3540999999999999</v>
      </c>
      <c r="CE16" s="177">
        <f t="shared" si="65"/>
        <v>0.75470766100812292</v>
      </c>
      <c r="CF16" s="5">
        <f t="shared" si="66"/>
        <v>75.470766100812298</v>
      </c>
      <c r="CG16">
        <f t="shared" si="67"/>
        <v>11</v>
      </c>
      <c r="CI16" s="571">
        <f t="shared" si="48"/>
        <v>-50</v>
      </c>
      <c r="CJ16">
        <f t="shared" si="49"/>
        <v>-50</v>
      </c>
    </row>
    <row r="17" spans="5:88" x14ac:dyDescent="0.2">
      <c r="E17" s="174">
        <v>12</v>
      </c>
      <c r="F17" s="221">
        <f t="shared" si="68"/>
        <v>5.0399999999999993E-2</v>
      </c>
      <c r="G17" s="221">
        <f t="shared" si="50"/>
        <v>8.6999999999999994E-2</v>
      </c>
      <c r="H17" s="221">
        <f t="shared" si="0"/>
        <v>0.78119999999999989</v>
      </c>
      <c r="I17" s="221">
        <f t="shared" si="69"/>
        <v>0.69599999999999995</v>
      </c>
      <c r="J17" s="551">
        <f t="shared" si="1"/>
        <v>12</v>
      </c>
      <c r="K17" s="451">
        <f t="shared" si="2"/>
        <v>16.399999999999999</v>
      </c>
      <c r="L17" s="451">
        <f t="shared" si="3"/>
        <v>28.4</v>
      </c>
      <c r="M17" s="451"/>
      <c r="N17" s="221">
        <f t="shared" si="4"/>
        <v>0.57746478873239437</v>
      </c>
      <c r="O17" s="176">
        <f t="shared" si="51"/>
        <v>6.7612354549719109</v>
      </c>
      <c r="P17" s="176">
        <f t="shared" si="5"/>
        <v>11.390692542350877</v>
      </c>
      <c r="Q17" s="221">
        <f t="shared" si="6"/>
        <v>0.43620873903044588</v>
      </c>
      <c r="R17" s="221">
        <f t="shared" si="7"/>
        <v>0.84515443187148886</v>
      </c>
      <c r="S17" s="451">
        <f t="shared" si="8"/>
        <v>15.5</v>
      </c>
      <c r="T17" s="221">
        <f t="shared" si="9"/>
        <v>0.47371815718157173</v>
      </c>
      <c r="U17" s="221">
        <f t="shared" si="10"/>
        <v>0.35528861788617883</v>
      </c>
      <c r="V17" s="221">
        <f t="shared" si="11"/>
        <v>0.25996728138013087</v>
      </c>
      <c r="W17" s="201">
        <f t="shared" si="12"/>
        <v>350</v>
      </c>
      <c r="X17" s="451">
        <f t="shared" si="52"/>
        <v>350</v>
      </c>
      <c r="Z17" s="221">
        <f t="shared" si="13"/>
        <v>2.1998658618376927</v>
      </c>
      <c r="AA17" s="177">
        <f t="shared" si="14"/>
        <v>1.2072434607645877</v>
      </c>
      <c r="AB17" s="177">
        <f t="shared" si="15"/>
        <v>0.46476039334599145</v>
      </c>
      <c r="AC17" s="177"/>
      <c r="AD17" s="177">
        <f t="shared" si="16"/>
        <v>0.45</v>
      </c>
      <c r="AE17" s="555">
        <f t="shared" si="17"/>
        <v>273.17073170731703</v>
      </c>
      <c r="AF17" s="538">
        <f t="shared" si="18"/>
        <v>6.4574999999999994E-2</v>
      </c>
      <c r="AH17" s="177">
        <f t="shared" si="19"/>
        <v>0.96845483214487693</v>
      </c>
      <c r="AI17" s="177">
        <f t="shared" si="20"/>
        <v>0.96845483214487693</v>
      </c>
      <c r="AJ17" s="177">
        <f t="shared" si="21"/>
        <v>1.1560975609756097</v>
      </c>
      <c r="AL17" s="555">
        <f t="shared" si="22"/>
        <v>50.399999999999991</v>
      </c>
      <c r="AM17" s="469">
        <f t="shared" si="23"/>
        <v>273.17073170731703</v>
      </c>
      <c r="AO17">
        <f t="shared" si="53"/>
        <v>50.399999999999991</v>
      </c>
      <c r="AP17" s="469">
        <f t="shared" si="24"/>
        <v>273.17073170731703</v>
      </c>
      <c r="AQ17" s="469"/>
      <c r="AR17" s="5">
        <f t="shared" si="54"/>
        <v>3.660714285714286</v>
      </c>
      <c r="AS17" s="5">
        <f t="shared" si="25"/>
        <v>0.7263411241086577</v>
      </c>
      <c r="AT17" s="5">
        <f t="shared" si="55"/>
        <v>2.9343731616056283</v>
      </c>
      <c r="AU17" s="177">
        <f t="shared" si="56"/>
        <v>0.19841513634187721</v>
      </c>
      <c r="AW17" s="5">
        <f t="shared" si="26"/>
        <v>4.6051229968782526</v>
      </c>
      <c r="AX17" s="5">
        <f t="shared" si="27"/>
        <v>0.56801066041055714</v>
      </c>
      <c r="AY17" s="5">
        <f t="shared" si="28"/>
        <v>15.170308270746586</v>
      </c>
      <c r="AZ17" s="5">
        <f t="shared" si="29"/>
        <v>0.96837250581363943</v>
      </c>
      <c r="BA17" s="5">
        <f t="shared" si="30"/>
        <v>0.66892840035861623</v>
      </c>
      <c r="BB17" s="469">
        <f t="shared" si="31"/>
        <v>40.546037354850306</v>
      </c>
      <c r="BC17" s="5"/>
      <c r="BD17" s="177">
        <f t="shared" si="57"/>
        <v>0.24906123825880599</v>
      </c>
      <c r="BE17" s="177">
        <f t="shared" si="32"/>
        <v>0.50060305655470272</v>
      </c>
      <c r="BF17" s="177">
        <f t="shared" si="33"/>
        <v>0.82185337578286333</v>
      </c>
      <c r="BG17" s="177"/>
      <c r="BH17" s="538">
        <f t="shared" si="34"/>
        <v>6.82346504433107E-3</v>
      </c>
      <c r="BI17" s="538">
        <f t="shared" si="35"/>
        <v>3.7566599147395414E-2</v>
      </c>
      <c r="BJ17" s="538">
        <f t="shared" si="36"/>
        <v>1.365853658536585E-2</v>
      </c>
      <c r="BK17" s="538">
        <f t="shared" si="37"/>
        <v>4.9573931707317061E-2</v>
      </c>
      <c r="BL17">
        <f t="shared" si="38"/>
        <v>3.48E-3</v>
      </c>
      <c r="BM17">
        <f t="shared" si="39"/>
        <v>1.9121951219512193E-5</v>
      </c>
      <c r="BN17">
        <f t="shared" si="40"/>
        <v>0.11126172508137795</v>
      </c>
      <c r="BO17" s="469">
        <f t="shared" si="58"/>
        <v>111.26172508137795</v>
      </c>
      <c r="BP17" s="177">
        <f t="shared" si="41"/>
        <v>4.5359999999999998E-2</v>
      </c>
      <c r="BQ17" s="177">
        <f t="shared" si="42"/>
        <v>7.8299999999999995E-2</v>
      </c>
      <c r="BR17" s="538"/>
      <c r="BT17" s="469">
        <f t="shared" si="59"/>
        <v>123.66</v>
      </c>
      <c r="BU17" s="538">
        <f t="shared" si="43"/>
        <v>2.9775120193444669E-3</v>
      </c>
      <c r="BV17" s="538">
        <f t="shared" si="60"/>
        <v>6.0144820855658615E-2</v>
      </c>
      <c r="BW17" s="538">
        <f t="shared" si="44"/>
        <v>0.16210631310856519</v>
      </c>
      <c r="BX17" s="538">
        <f t="shared" si="45"/>
        <v>0</v>
      </c>
      <c r="BY17" s="538">
        <f t="shared" si="46"/>
        <v>0.22936134560855911</v>
      </c>
      <c r="BZ17" s="538">
        <f t="shared" si="61"/>
        <v>0.22522864598356829</v>
      </c>
      <c r="CA17" s="641">
        <f t="shared" si="47"/>
        <v>1.281040650406504E-2</v>
      </c>
      <c r="CB17" s="469">
        <f t="shared" si="62"/>
        <v>242.17175211262415</v>
      </c>
      <c r="CC17" s="177">
        <f t="shared" si="63"/>
        <v>0.47709347719400208</v>
      </c>
      <c r="CD17" s="5">
        <f t="shared" si="64"/>
        <v>1.4771999999999998</v>
      </c>
      <c r="CE17" s="177">
        <f t="shared" si="65"/>
        <v>0.75587419046241788</v>
      </c>
      <c r="CF17" s="5">
        <f t="shared" si="66"/>
        <v>75.587419046241791</v>
      </c>
      <c r="CG17">
        <f t="shared" si="67"/>
        <v>12</v>
      </c>
      <c r="CI17" s="571">
        <f t="shared" si="48"/>
        <v>-50</v>
      </c>
      <c r="CJ17">
        <f t="shared" si="49"/>
        <v>-50</v>
      </c>
    </row>
    <row r="18" spans="5:88" x14ac:dyDescent="0.2">
      <c r="E18" s="174">
        <v>13</v>
      </c>
      <c r="F18" s="221">
        <f t="shared" si="68"/>
        <v>5.4600000000000003E-2</v>
      </c>
      <c r="G18" s="221">
        <f t="shared" si="50"/>
        <v>9.425E-2</v>
      </c>
      <c r="H18" s="221">
        <f t="shared" si="0"/>
        <v>0.84630000000000005</v>
      </c>
      <c r="I18" s="221">
        <f t="shared" si="69"/>
        <v>0.754</v>
      </c>
      <c r="J18" s="551">
        <f t="shared" si="1"/>
        <v>12</v>
      </c>
      <c r="K18" s="451">
        <f t="shared" si="2"/>
        <v>16.399999999999999</v>
      </c>
      <c r="L18" s="451">
        <f t="shared" si="3"/>
        <v>28.4</v>
      </c>
      <c r="M18" s="451"/>
      <c r="N18" s="221">
        <f t="shared" si="4"/>
        <v>0.57746478873239437</v>
      </c>
      <c r="O18" s="176">
        <f t="shared" si="51"/>
        <v>6.7612354549719109</v>
      </c>
      <c r="P18" s="176">
        <f t="shared" si="5"/>
        <v>11.390692542350877</v>
      </c>
      <c r="Q18" s="221">
        <f t="shared" si="6"/>
        <v>0.43620873903044588</v>
      </c>
      <c r="R18" s="221">
        <f t="shared" si="7"/>
        <v>0.84515443187148886</v>
      </c>
      <c r="S18" s="451">
        <f t="shared" si="8"/>
        <v>15.5</v>
      </c>
      <c r="T18" s="221">
        <f t="shared" si="9"/>
        <v>0.51319467028003607</v>
      </c>
      <c r="U18" s="221">
        <f t="shared" si="10"/>
        <v>0.38489600271002705</v>
      </c>
      <c r="V18" s="221">
        <f t="shared" si="11"/>
        <v>0.2816312214951418</v>
      </c>
      <c r="W18" s="201">
        <f t="shared" si="12"/>
        <v>350</v>
      </c>
      <c r="X18" s="451">
        <f t="shared" si="52"/>
        <v>350</v>
      </c>
      <c r="Z18" s="221">
        <f t="shared" si="13"/>
        <v>2.1998658618376927</v>
      </c>
      <c r="AA18" s="177">
        <f t="shared" si="14"/>
        <v>1.2072434607645877</v>
      </c>
      <c r="AB18" s="177">
        <f t="shared" si="15"/>
        <v>0.46476039334599145</v>
      </c>
      <c r="AC18" s="177"/>
      <c r="AD18" s="177">
        <f t="shared" si="16"/>
        <v>0.45</v>
      </c>
      <c r="AE18" s="555">
        <f t="shared" si="17"/>
        <v>295.9349593495935</v>
      </c>
      <c r="AF18" s="538">
        <f t="shared" si="18"/>
        <v>6.4574999999999994E-2</v>
      </c>
      <c r="AH18" s="177">
        <f t="shared" si="19"/>
        <v>1.0079997480473357</v>
      </c>
      <c r="AI18" s="177">
        <f t="shared" si="20"/>
        <v>1.0079997480473357</v>
      </c>
      <c r="AJ18" s="177">
        <f t="shared" si="21"/>
        <v>1.1691056910569106</v>
      </c>
      <c r="AL18" s="555">
        <f t="shared" si="22"/>
        <v>54.6</v>
      </c>
      <c r="AM18" s="469">
        <f t="shared" si="23"/>
        <v>295.9349593495935</v>
      </c>
      <c r="AO18">
        <f t="shared" si="53"/>
        <v>54.6</v>
      </c>
      <c r="AP18" s="469">
        <f t="shared" si="24"/>
        <v>295.9349593495935</v>
      </c>
      <c r="AQ18" s="469"/>
      <c r="AR18" s="5">
        <f t="shared" si="54"/>
        <v>3.3791208791208791</v>
      </c>
      <c r="AS18" s="5">
        <f t="shared" si="25"/>
        <v>0.75599981103550185</v>
      </c>
      <c r="AT18" s="5">
        <f t="shared" si="55"/>
        <v>2.6231210680853771</v>
      </c>
      <c r="AU18" s="177">
        <f t="shared" si="56"/>
        <v>0.2237267733470916</v>
      </c>
      <c r="AW18" s="5">
        <f t="shared" si="26"/>
        <v>4.6051229968782526</v>
      </c>
      <c r="AX18" s="5">
        <f t="shared" si="27"/>
        <v>0.65752362228739025</v>
      </c>
      <c r="AY18" s="5">
        <f t="shared" si="28"/>
        <v>15.170308270746586</v>
      </c>
      <c r="AZ18" s="5">
        <f t="shared" si="29"/>
        <v>1.1207843991840631</v>
      </c>
      <c r="BA18" s="5">
        <f t="shared" si="30"/>
        <v>0.64780565513225752</v>
      </c>
      <c r="BB18" s="469">
        <f t="shared" si="31"/>
        <v>39.312867085713229</v>
      </c>
      <c r="BC18" s="5"/>
      <c r="BD18" s="177">
        <f t="shared" si="57"/>
        <v>0.27526993212429585</v>
      </c>
      <c r="BE18" s="177">
        <f t="shared" si="32"/>
        <v>0.51275168956924588</v>
      </c>
      <c r="BF18" s="177">
        <f t="shared" si="33"/>
        <v>0.84179811028541496</v>
      </c>
      <c r="BG18" s="177"/>
      <c r="BH18" s="538">
        <f t="shared" si="34"/>
        <v>8.3350889084885891E-3</v>
      </c>
      <c r="BI18" s="538">
        <f t="shared" si="35"/>
        <v>4.2358935753716007E-2</v>
      </c>
      <c r="BJ18" s="538">
        <f t="shared" si="36"/>
        <v>1.4796747967479673E-2</v>
      </c>
      <c r="BK18" s="538">
        <f t="shared" si="37"/>
        <v>5.3705092682926829E-2</v>
      </c>
      <c r="BL18">
        <f t="shared" si="38"/>
        <v>3.48E-3</v>
      </c>
      <c r="BM18">
        <f t="shared" si="39"/>
        <v>2.0715447154471545E-5</v>
      </c>
      <c r="BN18">
        <f t="shared" si="40"/>
        <v>0.12288555710689374</v>
      </c>
      <c r="BO18" s="469">
        <f t="shared" si="58"/>
        <v>122.88555710689374</v>
      </c>
      <c r="BP18" s="177">
        <f t="shared" si="41"/>
        <v>4.9140000000000003E-2</v>
      </c>
      <c r="BQ18" s="177">
        <f t="shared" si="42"/>
        <v>8.4824999999999998E-2</v>
      </c>
      <c r="BR18" s="538"/>
      <c r="BT18" s="469">
        <f t="shared" si="59"/>
        <v>133.965</v>
      </c>
      <c r="BU18" s="538">
        <f t="shared" si="43"/>
        <v>3.6371297055222932E-3</v>
      </c>
      <c r="BV18" s="538">
        <f t="shared" si="60"/>
        <v>6.3099430837467912E-2</v>
      </c>
      <c r="BW18" s="538">
        <f t="shared" si="44"/>
        <v>0.17006977403522297</v>
      </c>
      <c r="BX18" s="538">
        <f t="shared" si="45"/>
        <v>0</v>
      </c>
      <c r="BY18" s="538">
        <f t="shared" si="46"/>
        <v>0.24137914339346397</v>
      </c>
      <c r="BZ18" s="538">
        <f t="shared" si="61"/>
        <v>0.23680633457821318</v>
      </c>
      <c r="CA18" s="641">
        <f t="shared" si="47"/>
        <v>1.5034435411020784E-2</v>
      </c>
      <c r="CB18" s="469">
        <f t="shared" si="62"/>
        <v>256.41357880448476</v>
      </c>
      <c r="CC18" s="177">
        <f t="shared" si="63"/>
        <v>0.51326413591137854</v>
      </c>
      <c r="CD18" s="5">
        <f t="shared" si="64"/>
        <v>1.6003000000000001</v>
      </c>
      <c r="CE18" s="177">
        <f t="shared" si="65"/>
        <v>0.75715705656121168</v>
      </c>
      <c r="CF18" s="5">
        <f t="shared" si="66"/>
        <v>75.715705656121173</v>
      </c>
      <c r="CG18">
        <f t="shared" si="67"/>
        <v>13</v>
      </c>
      <c r="CI18" s="571">
        <f t="shared" si="48"/>
        <v>-50</v>
      </c>
      <c r="CJ18">
        <f t="shared" si="49"/>
        <v>-50</v>
      </c>
    </row>
    <row r="19" spans="5:88" x14ac:dyDescent="0.2">
      <c r="E19" s="174">
        <v>14</v>
      </c>
      <c r="F19" s="221">
        <f t="shared" si="68"/>
        <v>5.8800000000000005E-2</v>
      </c>
      <c r="G19" s="221">
        <f t="shared" si="50"/>
        <v>0.10150000000000001</v>
      </c>
      <c r="H19" s="221">
        <f t="shared" si="0"/>
        <v>0.9114000000000001</v>
      </c>
      <c r="I19" s="221">
        <f t="shared" si="69"/>
        <v>0.81200000000000006</v>
      </c>
      <c r="J19" s="551">
        <f t="shared" si="1"/>
        <v>12</v>
      </c>
      <c r="K19" s="451">
        <f t="shared" si="2"/>
        <v>16.399999999999999</v>
      </c>
      <c r="L19" s="451">
        <f t="shared" si="3"/>
        <v>28.4</v>
      </c>
      <c r="M19" s="451"/>
      <c r="N19" s="221">
        <f t="shared" si="4"/>
        <v>0.57746478873239437</v>
      </c>
      <c r="O19" s="176">
        <f t="shared" si="51"/>
        <v>6.7612354549719109</v>
      </c>
      <c r="P19" s="176">
        <f t="shared" si="5"/>
        <v>11.390692542350877</v>
      </c>
      <c r="Q19" s="221">
        <f t="shared" si="6"/>
        <v>0.43620873903044588</v>
      </c>
      <c r="R19" s="221">
        <f t="shared" si="7"/>
        <v>0.84515443187148886</v>
      </c>
      <c r="S19" s="451">
        <f t="shared" si="8"/>
        <v>15.5</v>
      </c>
      <c r="T19" s="221">
        <f t="shared" si="9"/>
        <v>0.55267118337850052</v>
      </c>
      <c r="U19" s="221">
        <f t="shared" si="10"/>
        <v>0.41450338753387539</v>
      </c>
      <c r="V19" s="221">
        <f t="shared" si="11"/>
        <v>0.30329516161015274</v>
      </c>
      <c r="W19" s="201">
        <f t="shared" si="12"/>
        <v>350</v>
      </c>
      <c r="X19" s="451">
        <f t="shared" si="52"/>
        <v>350</v>
      </c>
      <c r="Z19" s="221">
        <f t="shared" si="13"/>
        <v>2.1998658618376927</v>
      </c>
      <c r="AA19" s="177">
        <f t="shared" si="14"/>
        <v>1.2072434607645877</v>
      </c>
      <c r="AB19" s="177">
        <f t="shared" si="15"/>
        <v>0.46476039334599145</v>
      </c>
      <c r="AC19" s="177"/>
      <c r="AD19" s="177">
        <f t="shared" si="16"/>
        <v>0.45</v>
      </c>
      <c r="AE19" s="555">
        <f t="shared" si="17"/>
        <v>318.69918699186996</v>
      </c>
      <c r="AF19" s="538">
        <f t="shared" si="18"/>
        <v>6.4574999999999994E-2</v>
      </c>
      <c r="AH19" s="177">
        <f t="shared" si="19"/>
        <v>1.0460507742085097</v>
      </c>
      <c r="AI19" s="177">
        <f t="shared" si="20"/>
        <v>1.0460507742085097</v>
      </c>
      <c r="AJ19" s="177">
        <f t="shared" si="21"/>
        <v>1.1821138211382114</v>
      </c>
      <c r="AL19" s="555">
        <f t="shared" si="22"/>
        <v>58.800000000000004</v>
      </c>
      <c r="AM19" s="469">
        <f t="shared" si="23"/>
        <v>318.69918699186996</v>
      </c>
      <c r="AO19">
        <f t="shared" si="53"/>
        <v>58.800000000000004</v>
      </c>
      <c r="AP19" s="469">
        <f t="shared" si="24"/>
        <v>318.69918699186996</v>
      </c>
      <c r="AQ19" s="469"/>
      <c r="AR19" s="5">
        <f t="shared" si="54"/>
        <v>3.1377551020408156</v>
      </c>
      <c r="AS19" s="5">
        <f t="shared" si="25"/>
        <v>0.78453808065638231</v>
      </c>
      <c r="AT19" s="5">
        <f t="shared" si="55"/>
        <v>2.3532170213844332</v>
      </c>
      <c r="AU19" s="177">
        <f t="shared" si="56"/>
        <v>0.25003164846935116</v>
      </c>
      <c r="AW19" s="5">
        <f t="shared" si="26"/>
        <v>4.6051229968782526</v>
      </c>
      <c r="AX19" s="5">
        <f t="shared" si="27"/>
        <v>0.75352562111436983</v>
      </c>
      <c r="AY19" s="5">
        <f t="shared" si="28"/>
        <v>15.170308270746586</v>
      </c>
      <c r="AZ19" s="5">
        <f t="shared" si="29"/>
        <v>1.2842292440241205</v>
      </c>
      <c r="BA19" s="5">
        <f t="shared" si="30"/>
        <v>0.62585404547128587</v>
      </c>
      <c r="BB19" s="469">
        <f t="shared" si="31"/>
        <v>38.029964950499377</v>
      </c>
      <c r="BC19" s="5"/>
      <c r="BD19" s="177">
        <f t="shared" si="57"/>
        <v>0.30198796113643278</v>
      </c>
      <c r="BE19" s="177">
        <f t="shared" si="32"/>
        <v>0.52301435168587973</v>
      </c>
      <c r="BF19" s="177">
        <f t="shared" si="33"/>
        <v>0.85864659611593008</v>
      </c>
      <c r="BG19" s="177"/>
      <c r="BH19" s="538">
        <f t="shared" si="34"/>
        <v>1.003164015384736E-2</v>
      </c>
      <c r="BI19" s="538">
        <f t="shared" si="35"/>
        <v>4.7339325443530485E-2</v>
      </c>
      <c r="BJ19" s="538">
        <f t="shared" si="36"/>
        <v>1.5934959349593495E-2</v>
      </c>
      <c r="BK19" s="538">
        <f t="shared" si="37"/>
        <v>5.7836253658536584E-2</v>
      </c>
      <c r="BL19">
        <f t="shared" si="38"/>
        <v>3.48E-3</v>
      </c>
      <c r="BM19">
        <f t="shared" si="39"/>
        <v>2.2308943089430897E-5</v>
      </c>
      <c r="BN19">
        <f t="shared" si="40"/>
        <v>0.13489415472331054</v>
      </c>
      <c r="BO19" s="469">
        <f t="shared" si="58"/>
        <v>134.89415472331055</v>
      </c>
      <c r="BP19" s="177">
        <f t="shared" si="41"/>
        <v>5.2920000000000009E-2</v>
      </c>
      <c r="BQ19" s="177">
        <f t="shared" si="42"/>
        <v>9.1350000000000015E-2</v>
      </c>
      <c r="BR19" s="538"/>
      <c r="BT19" s="469">
        <f t="shared" si="59"/>
        <v>144.27000000000001</v>
      </c>
      <c r="BU19" s="538">
        <f t="shared" si="43"/>
        <v>4.3774429762243033E-3</v>
      </c>
      <c r="BV19" s="538">
        <f t="shared" si="60"/>
        <v>6.5650562896656259E-2</v>
      </c>
      <c r="BW19" s="538">
        <f t="shared" si="44"/>
        <v>0.17694575448515354</v>
      </c>
      <c r="BX19" s="538">
        <f t="shared" si="45"/>
        <v>0</v>
      </c>
      <c r="BY19" s="538">
        <f t="shared" si="46"/>
        <v>0.25195179901660225</v>
      </c>
      <c r="BZ19" s="538">
        <f t="shared" si="61"/>
        <v>0.24697376035803409</v>
      </c>
      <c r="CA19" s="641">
        <f t="shared" si="47"/>
        <v>1.7436386630532978E-2</v>
      </c>
      <c r="CB19" s="469">
        <f t="shared" si="62"/>
        <v>269.38818564713523</v>
      </c>
      <c r="CC19" s="177">
        <f t="shared" si="63"/>
        <v>0.54855234037044576</v>
      </c>
      <c r="CD19" s="5">
        <f t="shared" si="64"/>
        <v>1.7234000000000003</v>
      </c>
      <c r="CE19" s="177">
        <f t="shared" si="65"/>
        <v>0.75855464455693489</v>
      </c>
      <c r="CF19" s="5">
        <f t="shared" si="66"/>
        <v>75.855464455693493</v>
      </c>
      <c r="CG19">
        <f t="shared" si="67"/>
        <v>14.000000000000002</v>
      </c>
      <c r="CI19" s="571">
        <f t="shared" si="48"/>
        <v>-50</v>
      </c>
      <c r="CJ19">
        <f t="shared" si="49"/>
        <v>-50</v>
      </c>
    </row>
    <row r="20" spans="5:88" x14ac:dyDescent="0.2">
      <c r="E20" s="174">
        <v>15</v>
      </c>
      <c r="F20" s="221">
        <f t="shared" si="68"/>
        <v>6.3E-2</v>
      </c>
      <c r="G20" s="221">
        <f t="shared" si="50"/>
        <v>0.10875</v>
      </c>
      <c r="H20" s="221">
        <f t="shared" si="0"/>
        <v>0.97650000000000003</v>
      </c>
      <c r="I20" s="221">
        <f t="shared" si="69"/>
        <v>0.87</v>
      </c>
      <c r="J20" s="551">
        <f t="shared" si="1"/>
        <v>12</v>
      </c>
      <c r="K20" s="451">
        <f t="shared" si="2"/>
        <v>16.399999999999999</v>
      </c>
      <c r="L20" s="451">
        <f t="shared" si="3"/>
        <v>28.4</v>
      </c>
      <c r="M20" s="451"/>
      <c r="N20" s="221">
        <f t="shared" si="4"/>
        <v>0.57746478873239437</v>
      </c>
      <c r="O20" s="176">
        <f t="shared" si="51"/>
        <v>6.7612354549719109</v>
      </c>
      <c r="P20" s="176">
        <f t="shared" si="5"/>
        <v>11.390692542350877</v>
      </c>
      <c r="Q20" s="221">
        <f t="shared" si="6"/>
        <v>0.43620873903044588</v>
      </c>
      <c r="R20" s="221">
        <f t="shared" si="7"/>
        <v>0.84515443187148886</v>
      </c>
      <c r="S20" s="451">
        <f t="shared" si="8"/>
        <v>15.5</v>
      </c>
      <c r="T20" s="221">
        <f t="shared" si="9"/>
        <v>0.59214769647696475</v>
      </c>
      <c r="U20" s="221">
        <f t="shared" si="10"/>
        <v>0.44411077235772356</v>
      </c>
      <c r="V20" s="221">
        <f t="shared" si="11"/>
        <v>0.32495910172516362</v>
      </c>
      <c r="W20" s="201">
        <f t="shared" si="12"/>
        <v>350</v>
      </c>
      <c r="X20" s="451">
        <f t="shared" si="52"/>
        <v>350</v>
      </c>
      <c r="Z20" s="221">
        <f t="shared" si="13"/>
        <v>2.1998658618376927</v>
      </c>
      <c r="AA20" s="177">
        <f t="shared" si="14"/>
        <v>1.2072434607645877</v>
      </c>
      <c r="AB20" s="177">
        <f t="shared" si="15"/>
        <v>0.46476039334599145</v>
      </c>
      <c r="AC20" s="177"/>
      <c r="AD20" s="177">
        <f t="shared" si="16"/>
        <v>0.45</v>
      </c>
      <c r="AE20" s="555">
        <f t="shared" si="17"/>
        <v>341.46341463414637</v>
      </c>
      <c r="AF20" s="538">
        <f t="shared" si="18"/>
        <v>6.4574999999999994E-2</v>
      </c>
      <c r="AH20" s="177">
        <f t="shared" si="19"/>
        <v>1.0827654189070468</v>
      </c>
      <c r="AI20" s="177">
        <f t="shared" si="20"/>
        <v>1.0827654189070468</v>
      </c>
      <c r="AJ20" s="177">
        <f t="shared" si="21"/>
        <v>1.1951219512195121</v>
      </c>
      <c r="AL20" s="555">
        <f t="shared" si="22"/>
        <v>63</v>
      </c>
      <c r="AM20" s="469">
        <f t="shared" si="23"/>
        <v>341.46341463414637</v>
      </c>
      <c r="AO20">
        <f t="shared" si="53"/>
        <v>63</v>
      </c>
      <c r="AP20" s="469">
        <f t="shared" si="24"/>
        <v>341.46341463414637</v>
      </c>
      <c r="AQ20" s="469"/>
      <c r="AR20" s="5">
        <f t="shared" si="54"/>
        <v>2.9285714285714284</v>
      </c>
      <c r="AS20" s="5">
        <f t="shared" si="25"/>
        <v>0.81207406418028505</v>
      </c>
      <c r="AT20" s="5">
        <f t="shared" si="55"/>
        <v>2.1164973643911433</v>
      </c>
      <c r="AU20" s="177">
        <f t="shared" si="56"/>
        <v>0.27729358289082906</v>
      </c>
      <c r="AW20" s="5">
        <f t="shared" si="26"/>
        <v>4.6051229968782526</v>
      </c>
      <c r="AX20" s="5">
        <f t="shared" si="27"/>
        <v>0.85601665689149598</v>
      </c>
      <c r="AY20" s="5">
        <f t="shared" si="28"/>
        <v>15.170308270746586</v>
      </c>
      <c r="AZ20" s="5">
        <f t="shared" si="29"/>
        <v>1.4587070403338118</v>
      </c>
      <c r="BA20" s="5">
        <f t="shared" si="30"/>
        <v>0.60310376286238354</v>
      </c>
      <c r="BB20" s="469">
        <f t="shared" si="31"/>
        <v>36.699142438409687</v>
      </c>
      <c r="BC20" s="5"/>
      <c r="BD20" s="177">
        <f t="shared" si="57"/>
        <v>0.32918774521473143</v>
      </c>
      <c r="BE20" s="177">
        <f t="shared" si="32"/>
        <v>0.53144056976682907</v>
      </c>
      <c r="BF20" s="177">
        <f t="shared" si="33"/>
        <v>0.8724801428436938</v>
      </c>
      <c r="BG20" s="177"/>
      <c r="BH20" s="538">
        <f t="shared" si="34"/>
        <v>1.1920102875951483E-2</v>
      </c>
      <c r="BI20" s="538">
        <f t="shared" si="35"/>
        <v>5.2500918360663631E-2</v>
      </c>
      <c r="BJ20" s="538">
        <f t="shared" si="36"/>
        <v>1.7073170731707318E-2</v>
      </c>
      <c r="BK20" s="538">
        <f t="shared" si="37"/>
        <v>6.1967414634146338E-2</v>
      </c>
      <c r="BL20">
        <f t="shared" si="38"/>
        <v>3.48E-3</v>
      </c>
      <c r="BM20">
        <f t="shared" si="39"/>
        <v>2.3902439024390249E-5</v>
      </c>
      <c r="BN20">
        <f t="shared" si="40"/>
        <v>0.14728943665781233</v>
      </c>
      <c r="BO20" s="469">
        <f t="shared" si="58"/>
        <v>147.28943665781233</v>
      </c>
      <c r="BP20" s="177">
        <f t="shared" si="41"/>
        <v>5.67E-2</v>
      </c>
      <c r="BQ20" s="177">
        <f t="shared" si="42"/>
        <v>9.7875000000000004E-2</v>
      </c>
      <c r="BR20" s="538"/>
      <c r="BT20" s="469">
        <f t="shared" si="59"/>
        <v>154.57500000000002</v>
      </c>
      <c r="BU20" s="538">
        <f t="shared" si="43"/>
        <v>5.2014994367788293E-3</v>
      </c>
      <c r="BV20" s="538">
        <f t="shared" si="60"/>
        <v>6.7782979006582061E-2</v>
      </c>
      <c r="BW20" s="538">
        <f t="shared" si="44"/>
        <v>0.18269318391757255</v>
      </c>
      <c r="BX20" s="538">
        <f t="shared" si="45"/>
        <v>0</v>
      </c>
      <c r="BY20" s="538">
        <f t="shared" si="46"/>
        <v>0.26101655047803252</v>
      </c>
      <c r="BZ20" s="538">
        <f t="shared" si="61"/>
        <v>0.25567766236093348</v>
      </c>
      <c r="CA20" s="641">
        <f t="shared" si="47"/>
        <v>2.0016260162601631E-2</v>
      </c>
      <c r="CB20" s="469">
        <f t="shared" si="62"/>
        <v>281.03281064063412</v>
      </c>
      <c r="CC20" s="177">
        <f t="shared" si="63"/>
        <v>0.5828972472984465</v>
      </c>
      <c r="CD20" s="5">
        <f t="shared" si="64"/>
        <v>1.8465</v>
      </c>
      <c r="CE20" s="177">
        <f t="shared" si="65"/>
        <v>0.76006507459961792</v>
      </c>
      <c r="CF20" s="5">
        <f t="shared" si="66"/>
        <v>76.006507459961796</v>
      </c>
      <c r="CG20">
        <f t="shared" si="67"/>
        <v>15</v>
      </c>
      <c r="CI20" s="571">
        <f t="shared" si="48"/>
        <v>-50</v>
      </c>
      <c r="CJ20">
        <f t="shared" si="49"/>
        <v>-50</v>
      </c>
    </row>
    <row r="21" spans="5:88" s="77" customFormat="1" x14ac:dyDescent="0.2">
      <c r="E21" s="193">
        <v>16</v>
      </c>
      <c r="F21" s="333">
        <f t="shared" si="68"/>
        <v>6.7199999999999996E-2</v>
      </c>
      <c r="G21" s="221">
        <f t="shared" si="50"/>
        <v>0.11599999999999999</v>
      </c>
      <c r="H21" s="221">
        <f t="shared" si="0"/>
        <v>1.0415999999999999</v>
      </c>
      <c r="I21" s="221">
        <f t="shared" si="69"/>
        <v>0.92799999999999994</v>
      </c>
      <c r="J21" s="551">
        <f t="shared" si="1"/>
        <v>12</v>
      </c>
      <c r="K21" s="451">
        <f t="shared" si="2"/>
        <v>16.399999999999999</v>
      </c>
      <c r="L21" s="545">
        <f t="shared" si="3"/>
        <v>28.4</v>
      </c>
      <c r="M21" s="545"/>
      <c r="N21" s="333">
        <f t="shared" si="4"/>
        <v>0.57746478873239437</v>
      </c>
      <c r="O21" s="176">
        <f t="shared" si="51"/>
        <v>6.7612354549719109</v>
      </c>
      <c r="P21" s="176">
        <f t="shared" si="5"/>
        <v>11.390692542350877</v>
      </c>
      <c r="Q21" s="333">
        <f t="shared" si="6"/>
        <v>0.43620873903044588</v>
      </c>
      <c r="R21" s="221">
        <f t="shared" si="7"/>
        <v>0.84515443187148886</v>
      </c>
      <c r="S21" s="451">
        <f t="shared" si="8"/>
        <v>15.5</v>
      </c>
      <c r="T21" s="221">
        <f t="shared" si="9"/>
        <v>0.63162420957542897</v>
      </c>
      <c r="U21" s="333">
        <f t="shared" si="10"/>
        <v>0.47371815718157173</v>
      </c>
      <c r="V21" s="221">
        <f t="shared" si="11"/>
        <v>0.34662304184017445</v>
      </c>
      <c r="W21" s="547">
        <f t="shared" si="12"/>
        <v>350</v>
      </c>
      <c r="X21" s="545">
        <f t="shared" si="52"/>
        <v>350</v>
      </c>
      <c r="Z21" s="333">
        <f t="shared" si="13"/>
        <v>2.1998658618376927</v>
      </c>
      <c r="AA21" s="177">
        <f t="shared" si="14"/>
        <v>1.2072434607645877</v>
      </c>
      <c r="AB21" s="177">
        <f t="shared" si="15"/>
        <v>0.46476039334599145</v>
      </c>
      <c r="AC21" s="548"/>
      <c r="AD21" s="177">
        <f t="shared" si="16"/>
        <v>0.45</v>
      </c>
      <c r="AE21" s="555">
        <f t="shared" si="17"/>
        <v>364.22764227642278</v>
      </c>
      <c r="AF21" s="538">
        <f t="shared" si="18"/>
        <v>6.4574999999999994E-2</v>
      </c>
      <c r="AG21"/>
      <c r="AH21" s="177">
        <f t="shared" si="19"/>
        <v>1.1182753160736771</v>
      </c>
      <c r="AI21" s="177">
        <f t="shared" si="20"/>
        <v>1.1182753160736771</v>
      </c>
      <c r="AJ21" s="177">
        <f t="shared" si="21"/>
        <v>1.4209446785730941</v>
      </c>
      <c r="AL21" s="555">
        <f t="shared" si="22"/>
        <v>67.2</v>
      </c>
      <c r="AM21" s="469">
        <f t="shared" si="23"/>
        <v>350</v>
      </c>
      <c r="AO21">
        <f t="shared" si="53"/>
        <v>67.2</v>
      </c>
      <c r="AP21" s="469">
        <f t="shared" si="24"/>
        <v>350</v>
      </c>
      <c r="AQ21" s="469"/>
      <c r="AR21" s="5">
        <f t="shared" si="54"/>
        <v>2.8571428571428572</v>
      </c>
      <c r="AS21" s="5">
        <f t="shared" si="25"/>
        <v>0.83870648705525797</v>
      </c>
      <c r="AT21" s="5">
        <f t="shared" si="55"/>
        <v>2.0184363700875991</v>
      </c>
      <c r="AU21" s="177">
        <f t="shared" si="56"/>
        <v>0.29354727046934026</v>
      </c>
      <c r="AW21" s="5">
        <f t="shared" si="26"/>
        <v>4.6051229968782526</v>
      </c>
      <c r="AX21" s="5">
        <f t="shared" si="27"/>
        <v>0.96499672961876837</v>
      </c>
      <c r="AY21" s="5">
        <f t="shared" si="28"/>
        <v>15.170308270746586</v>
      </c>
      <c r="AZ21" s="5">
        <f t="shared" si="29"/>
        <v>1.6442177881131363</v>
      </c>
      <c r="BA21" s="5">
        <f t="shared" si="30"/>
        <v>0.61350498063650205</v>
      </c>
      <c r="BB21" s="469">
        <f t="shared" si="31"/>
        <v>37.357409949301243</v>
      </c>
      <c r="BC21" s="5"/>
      <c r="BD21" s="177">
        <f t="shared" si="57"/>
        <v>0.34980590352514018</v>
      </c>
      <c r="BE21" s="177">
        <f t="shared" si="32"/>
        <v>0.54266231738118798</v>
      </c>
      <c r="BF21" s="177">
        <f t="shared" si="33"/>
        <v>0.89090318488925579</v>
      </c>
      <c r="BG21" s="177"/>
      <c r="BH21" s="538">
        <f t="shared" si="34"/>
        <v>1.3460058715514363E-2</v>
      </c>
      <c r="BI21" s="538">
        <f t="shared" si="35"/>
        <v>5.5578283208861753E-2</v>
      </c>
      <c r="BJ21" s="538">
        <f t="shared" si="36"/>
        <v>1.7499999999999998E-2</v>
      </c>
      <c r="BK21" s="538">
        <f t="shared" si="37"/>
        <v>6.3516599999999993E-2</v>
      </c>
      <c r="BL21">
        <f t="shared" si="38"/>
        <v>3.48E-3</v>
      </c>
      <c r="BM21">
        <f t="shared" si="39"/>
        <v>2.4500000000000003E-5</v>
      </c>
      <c r="BN21">
        <f t="shared" si="40"/>
        <v>0.15394173788564197</v>
      </c>
      <c r="BO21" s="469">
        <f t="shared" si="58"/>
        <v>153.94173788564197</v>
      </c>
      <c r="BP21" s="177">
        <f t="shared" si="41"/>
        <v>6.0479999999999999E-2</v>
      </c>
      <c r="BQ21" s="177">
        <f t="shared" si="42"/>
        <v>0.10439999999999999</v>
      </c>
      <c r="BR21" s="538"/>
      <c r="BT21" s="469">
        <f t="shared" si="59"/>
        <v>164.88</v>
      </c>
      <c r="BU21" s="538">
        <f t="shared" si="43"/>
        <v>5.8734801667699047E-3</v>
      </c>
      <c r="BV21" s="538">
        <f t="shared" si="60"/>
        <v>7.0675773769325087E-2</v>
      </c>
      <c r="BW21" s="538">
        <f t="shared" si="44"/>
        <v>0.19049003636299666</v>
      </c>
      <c r="BX21" s="538">
        <f t="shared" si="45"/>
        <v>0</v>
      </c>
      <c r="BY21" s="538">
        <f t="shared" si="46"/>
        <v>0.27286862174678389</v>
      </c>
      <c r="BZ21" s="538">
        <f t="shared" si="61"/>
        <v>0.26703929029909168</v>
      </c>
      <c r="CA21" s="641">
        <f t="shared" si="47"/>
        <v>2.1884444444444446E-2</v>
      </c>
      <c r="CB21" s="469">
        <f t="shared" si="62"/>
        <v>294.7530661912283</v>
      </c>
      <c r="CC21" s="177">
        <f t="shared" si="63"/>
        <v>0.61357480407687037</v>
      </c>
      <c r="CD21" s="5">
        <f t="shared" si="64"/>
        <v>1.9695999999999998</v>
      </c>
      <c r="CE21" s="177">
        <f t="shared" si="65"/>
        <v>0.76247259646985488</v>
      </c>
      <c r="CF21" s="5">
        <f t="shared" si="66"/>
        <v>76.247259646985484</v>
      </c>
      <c r="CG21">
        <f t="shared" si="67"/>
        <v>16</v>
      </c>
      <c r="CI21" s="571">
        <f t="shared" si="48"/>
        <v>-50</v>
      </c>
      <c r="CJ21">
        <f t="shared" si="49"/>
        <v>-50</v>
      </c>
    </row>
    <row r="22" spans="5:88" x14ac:dyDescent="0.2">
      <c r="E22" s="174">
        <v>17</v>
      </c>
      <c r="F22" s="221">
        <f t="shared" si="68"/>
        <v>7.1400000000000005E-2</v>
      </c>
      <c r="G22" s="221">
        <f t="shared" si="50"/>
        <v>0.12325</v>
      </c>
      <c r="H22" s="221">
        <f t="shared" si="0"/>
        <v>1.1067</v>
      </c>
      <c r="I22" s="221">
        <f t="shared" si="69"/>
        <v>0.98599999999999999</v>
      </c>
      <c r="J22" s="551">
        <f t="shared" si="1"/>
        <v>12</v>
      </c>
      <c r="K22" s="451">
        <f t="shared" si="2"/>
        <v>16.399999999999999</v>
      </c>
      <c r="L22" s="451">
        <f t="shared" si="3"/>
        <v>28.4</v>
      </c>
      <c r="M22" s="451"/>
      <c r="N22" s="221">
        <f t="shared" si="4"/>
        <v>0.57746478873239437</v>
      </c>
      <c r="O22" s="176">
        <f t="shared" si="51"/>
        <v>6.7612354549719109</v>
      </c>
      <c r="P22" s="176">
        <f t="shared" si="5"/>
        <v>11.390692542350877</v>
      </c>
      <c r="Q22" s="221">
        <f t="shared" si="6"/>
        <v>0.43620873903044588</v>
      </c>
      <c r="R22" s="221">
        <f t="shared" si="7"/>
        <v>0.84515443187148886</v>
      </c>
      <c r="S22" s="451">
        <f t="shared" si="8"/>
        <v>15.5</v>
      </c>
      <c r="T22" s="221">
        <f t="shared" si="9"/>
        <v>0.67110072267389331</v>
      </c>
      <c r="U22" s="221">
        <f t="shared" si="10"/>
        <v>0.50332554200542001</v>
      </c>
      <c r="V22" s="221">
        <f t="shared" si="11"/>
        <v>0.36828698195518539</v>
      </c>
      <c r="W22" s="201">
        <f t="shared" si="12"/>
        <v>350</v>
      </c>
      <c r="X22" s="451">
        <f t="shared" si="52"/>
        <v>350</v>
      </c>
      <c r="Z22" s="221">
        <f t="shared" si="13"/>
        <v>2.1998658618376927</v>
      </c>
      <c r="AA22" s="177">
        <f t="shared" si="14"/>
        <v>1.2072434607645877</v>
      </c>
      <c r="AB22" s="177">
        <f t="shared" si="15"/>
        <v>0.46476039334599145</v>
      </c>
      <c r="AC22" s="177"/>
      <c r="AD22" s="177">
        <f t="shared" si="16"/>
        <v>0.45</v>
      </c>
      <c r="AE22" s="555">
        <f t="shared" si="17"/>
        <v>386.99186991869925</v>
      </c>
      <c r="AF22" s="538">
        <f t="shared" si="18"/>
        <v>6.4574999999999994E-2</v>
      </c>
      <c r="AH22" s="177">
        <f t="shared" si="19"/>
        <v>1.1526918116731864</v>
      </c>
      <c r="AI22" s="177">
        <f t="shared" si="20"/>
        <v>1.1526918116731864</v>
      </c>
      <c r="AJ22" s="177">
        <f t="shared" si="21"/>
        <v>1.4464383790171751</v>
      </c>
      <c r="AL22" s="555">
        <f t="shared" si="22"/>
        <v>71.400000000000006</v>
      </c>
      <c r="AM22" s="469">
        <f t="shared" si="23"/>
        <v>350</v>
      </c>
      <c r="AO22">
        <f t="shared" si="53"/>
        <v>71.400000000000006</v>
      </c>
      <c r="AP22" s="469">
        <f t="shared" si="24"/>
        <v>350</v>
      </c>
      <c r="AQ22" s="469"/>
      <c r="AR22" s="5">
        <f t="shared" si="54"/>
        <v>2.8571428571428572</v>
      </c>
      <c r="AS22" s="5">
        <f t="shared" si="25"/>
        <v>0.86451885875488976</v>
      </c>
      <c r="AT22" s="5">
        <f t="shared" si="55"/>
        <v>1.9926239983879674</v>
      </c>
      <c r="AU22" s="177">
        <f t="shared" si="56"/>
        <v>0.30258160056421141</v>
      </c>
      <c r="AW22" s="5">
        <f t="shared" si="26"/>
        <v>4.6051229968782526</v>
      </c>
      <c r="AX22" s="5">
        <f t="shared" si="27"/>
        <v>1.0804658392961881</v>
      </c>
      <c r="AY22" s="5">
        <f t="shared" si="28"/>
        <v>15.170308270746586</v>
      </c>
      <c r="AZ22" s="5">
        <f t="shared" si="29"/>
        <v>1.8407614873620959</v>
      </c>
      <c r="BA22" s="5">
        <f t="shared" si="30"/>
        <v>0.64351300022013858</v>
      </c>
      <c r="BB22" s="469">
        <f t="shared" si="31"/>
        <v>39.192085568763879</v>
      </c>
      <c r="BC22" s="5"/>
      <c r="BD22" s="177">
        <f t="shared" si="57"/>
        <v>0.36607817579555907</v>
      </c>
      <c r="BE22" s="177">
        <f t="shared" si="32"/>
        <v>0.55577535039408377</v>
      </c>
      <c r="BF22" s="177">
        <f t="shared" si="33"/>
        <v>0.91243120056413174</v>
      </c>
      <c r="BG22" s="177"/>
      <c r="BH22" s="538">
        <f t="shared" si="34"/>
        <v>1.4741455387318468E-2</v>
      </c>
      <c r="BI22" s="538">
        <f t="shared" si="35"/>
        <v>5.7288783040157373E-2</v>
      </c>
      <c r="BJ22" s="538">
        <f t="shared" si="36"/>
        <v>1.7499999999999998E-2</v>
      </c>
      <c r="BK22" s="538">
        <f t="shared" si="37"/>
        <v>6.3516599999999993E-2</v>
      </c>
      <c r="BL22">
        <f t="shared" si="38"/>
        <v>3.48E-3</v>
      </c>
      <c r="BM22">
        <f t="shared" si="39"/>
        <v>2.4500000000000003E-5</v>
      </c>
      <c r="BN22">
        <f t="shared" si="40"/>
        <v>0.15697828774198544</v>
      </c>
      <c r="BO22" s="469">
        <f t="shared" si="58"/>
        <v>156.97828774198544</v>
      </c>
      <c r="BP22" s="177">
        <f t="shared" si="41"/>
        <v>6.4260000000000012E-2</v>
      </c>
      <c r="BQ22" s="177">
        <f t="shared" si="42"/>
        <v>0.110925</v>
      </c>
      <c r="BR22" s="538"/>
      <c r="BT22" s="469">
        <f t="shared" si="59"/>
        <v>175.185</v>
      </c>
      <c r="BU22" s="538">
        <f t="shared" si="43"/>
        <v>6.4326350781026042E-3</v>
      </c>
      <c r="BV22" s="538">
        <f t="shared" si="60"/>
        <v>7.413269762535997E-2</v>
      </c>
      <c r="BW22" s="538">
        <f t="shared" si="44"/>
        <v>0.19980736698309667</v>
      </c>
      <c r="BX22" s="538">
        <f t="shared" si="45"/>
        <v>0</v>
      </c>
      <c r="BY22" s="538">
        <f t="shared" si="46"/>
        <v>0.28680569872962447</v>
      </c>
      <c r="BZ22" s="538">
        <f t="shared" si="61"/>
        <v>0.28037269968655926</v>
      </c>
      <c r="CA22" s="641">
        <f t="shared" si="47"/>
        <v>2.3252222222222219E-2</v>
      </c>
      <c r="CB22" s="469">
        <f t="shared" si="62"/>
        <v>310.05792095184671</v>
      </c>
      <c r="CC22" s="177">
        <f t="shared" si="63"/>
        <v>0.64222120869383215</v>
      </c>
      <c r="CD22" s="5">
        <f t="shared" si="64"/>
        <v>2.0926999999999998</v>
      </c>
      <c r="CE22" s="177">
        <f t="shared" si="65"/>
        <v>0.76517743668361482</v>
      </c>
      <c r="CF22" s="5">
        <f t="shared" si="66"/>
        <v>76.517743668361476</v>
      </c>
      <c r="CG22">
        <f t="shared" si="67"/>
        <v>17</v>
      </c>
      <c r="CI22" s="571">
        <f t="shared" si="48"/>
        <v>-50</v>
      </c>
      <c r="CJ22">
        <f t="shared" si="49"/>
        <v>-50</v>
      </c>
    </row>
    <row r="23" spans="5:88" x14ac:dyDescent="0.2">
      <c r="E23" s="174">
        <v>18</v>
      </c>
      <c r="F23" s="221">
        <f t="shared" si="68"/>
        <v>7.5600000000000001E-2</v>
      </c>
      <c r="G23" s="221">
        <f t="shared" si="50"/>
        <v>0.1305</v>
      </c>
      <c r="H23" s="221">
        <f t="shared" si="0"/>
        <v>1.1718</v>
      </c>
      <c r="I23" s="221">
        <f t="shared" si="69"/>
        <v>1.044</v>
      </c>
      <c r="J23" s="551">
        <f t="shared" si="1"/>
        <v>12</v>
      </c>
      <c r="K23" s="451">
        <f t="shared" si="2"/>
        <v>16.399999999999999</v>
      </c>
      <c r="L23" s="451">
        <f t="shared" si="3"/>
        <v>28.4</v>
      </c>
      <c r="M23" s="451"/>
      <c r="N23" s="221">
        <f t="shared" si="4"/>
        <v>0.57746478873239437</v>
      </c>
      <c r="O23" s="176">
        <f t="shared" si="51"/>
        <v>6.7612354549719109</v>
      </c>
      <c r="P23" s="176">
        <f t="shared" si="5"/>
        <v>11.390692542350877</v>
      </c>
      <c r="Q23" s="221">
        <f t="shared" si="6"/>
        <v>0.43620873903044588</v>
      </c>
      <c r="R23" s="221">
        <f t="shared" si="7"/>
        <v>0.84515443187148886</v>
      </c>
      <c r="S23" s="451">
        <f t="shared" si="8"/>
        <v>15.5</v>
      </c>
      <c r="T23" s="221">
        <f t="shared" si="9"/>
        <v>0.71057723577235754</v>
      </c>
      <c r="U23" s="221">
        <f t="shared" si="10"/>
        <v>0.53293292682926818</v>
      </c>
      <c r="V23" s="221">
        <f t="shared" si="11"/>
        <v>0.38995092207019627</v>
      </c>
      <c r="W23" s="201">
        <f t="shared" si="12"/>
        <v>350</v>
      </c>
      <c r="X23" s="451">
        <f t="shared" si="52"/>
        <v>350</v>
      </c>
      <c r="Z23" s="221">
        <f t="shared" si="13"/>
        <v>2.1998658618376927</v>
      </c>
      <c r="AA23" s="177">
        <f t="shared" si="14"/>
        <v>1.2072434607645877</v>
      </c>
      <c r="AB23" s="177">
        <f t="shared" si="15"/>
        <v>0.46476039334599145</v>
      </c>
      <c r="AC23" s="177"/>
      <c r="AD23" s="177">
        <f t="shared" si="16"/>
        <v>0.45</v>
      </c>
      <c r="AE23" s="555">
        <f t="shared" si="17"/>
        <v>409.75609756097572</v>
      </c>
      <c r="AF23" s="538">
        <f t="shared" si="18"/>
        <v>6.4574999999999994E-2</v>
      </c>
      <c r="AH23" s="177">
        <f t="shared" si="19"/>
        <v>1.1861100888438403</v>
      </c>
      <c r="AI23" s="177">
        <f t="shared" si="20"/>
        <v>1.1861100888438403</v>
      </c>
      <c r="AJ23" s="177">
        <f t="shared" si="21"/>
        <v>1.4711926584028445</v>
      </c>
      <c r="AL23" s="555">
        <f t="shared" si="22"/>
        <v>75.599999999999994</v>
      </c>
      <c r="AM23" s="469">
        <f t="shared" si="23"/>
        <v>350</v>
      </c>
      <c r="AO23">
        <f t="shared" si="53"/>
        <v>75.599999999999994</v>
      </c>
      <c r="AP23" s="469">
        <f t="shared" si="24"/>
        <v>350</v>
      </c>
      <c r="AQ23" s="469"/>
      <c r="AR23" s="5">
        <f t="shared" si="54"/>
        <v>2.8571428571428572</v>
      </c>
      <c r="AS23" s="5">
        <f t="shared" si="25"/>
        <v>0.88958256663288027</v>
      </c>
      <c r="AT23" s="5">
        <f t="shared" si="55"/>
        <v>1.9675602905099769</v>
      </c>
      <c r="AU23" s="177">
        <f t="shared" si="56"/>
        <v>0.31135389832150806</v>
      </c>
      <c r="AW23" s="5">
        <f t="shared" si="26"/>
        <v>4.6051229968782526</v>
      </c>
      <c r="AX23" s="5">
        <f t="shared" si="27"/>
        <v>1.202423985923754</v>
      </c>
      <c r="AY23" s="5">
        <f t="shared" si="28"/>
        <v>15.170308270746586</v>
      </c>
      <c r="AZ23" s="5">
        <f t="shared" si="29"/>
        <v>2.0483381380806889</v>
      </c>
      <c r="BA23" s="5">
        <f t="shared" si="30"/>
        <v>0.67279631044938359</v>
      </c>
      <c r="BB23" s="469">
        <f t="shared" si="31"/>
        <v>40.983278626963013</v>
      </c>
      <c r="BC23" s="5"/>
      <c r="BD23" s="177">
        <f t="shared" si="57"/>
        <v>0.38211274767622805</v>
      </c>
      <c r="BE23" s="177">
        <f t="shared" si="32"/>
        <v>0.56828006213108007</v>
      </c>
      <c r="BF23" s="177">
        <f t="shared" si="33"/>
        <v>0.93296051899253207</v>
      </c>
      <c r="BG23" s="177"/>
      <c r="BH23" s="538">
        <f t="shared" si="34"/>
        <v>1.6061116713034437E-2</v>
      </c>
      <c r="BI23" s="538">
        <f t="shared" si="35"/>
        <v>5.8949671415538855E-2</v>
      </c>
      <c r="BJ23" s="538">
        <f t="shared" si="36"/>
        <v>1.7499999999999998E-2</v>
      </c>
      <c r="BK23" s="538">
        <f t="shared" si="37"/>
        <v>6.3516599999999993E-2</v>
      </c>
      <c r="BL23">
        <f t="shared" si="38"/>
        <v>3.48E-3</v>
      </c>
      <c r="BM23">
        <f t="shared" si="39"/>
        <v>2.4500000000000003E-5</v>
      </c>
      <c r="BN23">
        <f t="shared" si="40"/>
        <v>0.16000603016297954</v>
      </c>
      <c r="BO23" s="469">
        <f t="shared" si="58"/>
        <v>160.00603016297953</v>
      </c>
      <c r="BP23" s="177">
        <f t="shared" si="41"/>
        <v>6.8040000000000003E-2</v>
      </c>
      <c r="BQ23" s="177">
        <f t="shared" si="42"/>
        <v>0.11745000000000001</v>
      </c>
      <c r="BR23" s="538"/>
      <c r="BT23" s="469">
        <f t="shared" si="59"/>
        <v>185.49</v>
      </c>
      <c r="BU23" s="538">
        <f t="shared" si="43"/>
        <v>7.0084872929604821E-3</v>
      </c>
      <c r="BV23" s="538">
        <f t="shared" si="60"/>
        <v>7.7506134963769013E-2</v>
      </c>
      <c r="BW23" s="538">
        <f t="shared" si="44"/>
        <v>0.20889967919971553</v>
      </c>
      <c r="BX23" s="538">
        <f t="shared" si="45"/>
        <v>0</v>
      </c>
      <c r="BY23" s="538">
        <f t="shared" si="46"/>
        <v>0.30046721161701889</v>
      </c>
      <c r="BZ23" s="538">
        <f t="shared" si="61"/>
        <v>0.29341430145644504</v>
      </c>
      <c r="CA23" s="641">
        <f t="shared" si="47"/>
        <v>2.4619999999999996E-2</v>
      </c>
      <c r="CB23" s="469">
        <f t="shared" si="62"/>
        <v>325.08721161701885</v>
      </c>
      <c r="CC23" s="177">
        <f t="shared" si="63"/>
        <v>0.6705832417799984</v>
      </c>
      <c r="CD23" s="5">
        <f t="shared" si="64"/>
        <v>2.2157999999999998</v>
      </c>
      <c r="CE23" s="177">
        <f t="shared" si="65"/>
        <v>0.76767352579054693</v>
      </c>
      <c r="CF23" s="5">
        <f t="shared" si="66"/>
        <v>76.767352579054688</v>
      </c>
      <c r="CG23">
        <f t="shared" si="67"/>
        <v>18.000000000000004</v>
      </c>
      <c r="CI23" s="571">
        <f t="shared" si="48"/>
        <v>-50</v>
      </c>
      <c r="CJ23">
        <f t="shared" si="49"/>
        <v>-50</v>
      </c>
    </row>
    <row r="24" spans="5:88" x14ac:dyDescent="0.2">
      <c r="E24" s="174">
        <v>19</v>
      </c>
      <c r="F24" s="221">
        <f t="shared" si="68"/>
        <v>7.9799999999999996E-2</v>
      </c>
      <c r="G24" s="221">
        <f t="shared" si="50"/>
        <v>0.13774999999999998</v>
      </c>
      <c r="H24" s="221">
        <f t="shared" si="0"/>
        <v>1.2368999999999999</v>
      </c>
      <c r="I24" s="221">
        <f t="shared" si="69"/>
        <v>1.1019999999999999</v>
      </c>
      <c r="J24" s="551">
        <f t="shared" si="1"/>
        <v>12</v>
      </c>
      <c r="K24" s="451">
        <f t="shared" si="2"/>
        <v>16.399999999999999</v>
      </c>
      <c r="L24" s="451">
        <f t="shared" si="3"/>
        <v>28.4</v>
      </c>
      <c r="M24" s="451"/>
      <c r="N24" s="221">
        <f t="shared" si="4"/>
        <v>0.57746478873239437</v>
      </c>
      <c r="O24" s="176">
        <f t="shared" si="51"/>
        <v>6.7612354549719109</v>
      </c>
      <c r="P24" s="176">
        <f t="shared" si="5"/>
        <v>11.390692542350877</v>
      </c>
      <c r="Q24" s="221">
        <f t="shared" si="6"/>
        <v>0.43620873903044588</v>
      </c>
      <c r="R24" s="221">
        <f t="shared" si="7"/>
        <v>0.84515443187148886</v>
      </c>
      <c r="S24" s="451">
        <f t="shared" si="8"/>
        <v>15.5</v>
      </c>
      <c r="T24" s="221">
        <f t="shared" si="9"/>
        <v>0.75005374887082188</v>
      </c>
      <c r="U24" s="221">
        <f t="shared" si="10"/>
        <v>0.56254031165311646</v>
      </c>
      <c r="V24" s="221">
        <f t="shared" si="11"/>
        <v>0.41161486218520715</v>
      </c>
      <c r="W24" s="201">
        <f t="shared" si="12"/>
        <v>350</v>
      </c>
      <c r="X24" s="451">
        <f t="shared" si="52"/>
        <v>350</v>
      </c>
      <c r="Z24" s="221">
        <f t="shared" si="13"/>
        <v>2.1998658618376927</v>
      </c>
      <c r="AA24" s="177">
        <f t="shared" si="14"/>
        <v>1.2072434607645877</v>
      </c>
      <c r="AB24" s="177">
        <f t="shared" si="15"/>
        <v>0.46476039334599145</v>
      </c>
      <c r="AC24" s="177"/>
      <c r="AD24" s="177">
        <f t="shared" si="16"/>
        <v>0.45</v>
      </c>
      <c r="AE24" s="555">
        <f t="shared" si="17"/>
        <v>432.52032520325201</v>
      </c>
      <c r="AF24" s="538">
        <f t="shared" si="18"/>
        <v>6.4574999999999994E-2</v>
      </c>
      <c r="AH24" s="177">
        <f t="shared" si="19"/>
        <v>1.2186122734552909</v>
      </c>
      <c r="AI24" s="177">
        <f t="shared" si="20"/>
        <v>1.2186122734552909</v>
      </c>
      <c r="AJ24" s="177">
        <f t="shared" si="21"/>
        <v>1.4952683507076228</v>
      </c>
      <c r="AL24" s="555">
        <f t="shared" si="22"/>
        <v>79.8</v>
      </c>
      <c r="AM24" s="469">
        <f t="shared" si="23"/>
        <v>350</v>
      </c>
      <c r="AO24">
        <f t="shared" si="53"/>
        <v>79.8</v>
      </c>
      <c r="AP24" s="469">
        <f t="shared" si="24"/>
        <v>350</v>
      </c>
      <c r="AQ24" s="469"/>
      <c r="AR24" s="5">
        <f t="shared" si="54"/>
        <v>2.8571428571428572</v>
      </c>
      <c r="AS24" s="5">
        <f t="shared" si="25"/>
        <v>0.91395920509146822</v>
      </c>
      <c r="AT24" s="5">
        <f t="shared" si="55"/>
        <v>1.943183652051389</v>
      </c>
      <c r="AU24" s="177">
        <f t="shared" si="56"/>
        <v>0.31988572178201385</v>
      </c>
      <c r="AW24" s="5">
        <f t="shared" si="26"/>
        <v>4.6051229968782526</v>
      </c>
      <c r="AX24" s="5">
        <f t="shared" si="27"/>
        <v>1.3308711695014666</v>
      </c>
      <c r="AY24" s="5">
        <f t="shared" si="28"/>
        <v>15.170308270746586</v>
      </c>
      <c r="AZ24" s="5">
        <f t="shared" si="29"/>
        <v>2.2669477402689155</v>
      </c>
      <c r="BA24" s="5">
        <f t="shared" si="30"/>
        <v>0.70137534626280751</v>
      </c>
      <c r="BB24" s="469">
        <f t="shared" si="31"/>
        <v>42.7322152202129</v>
      </c>
      <c r="BC24" s="5"/>
      <c r="BD24" s="177">
        <f t="shared" si="57"/>
        <v>0.39792602930587906</v>
      </c>
      <c r="BE24" s="177">
        <f t="shared" si="32"/>
        <v>0.58022423786510979</v>
      </c>
      <c r="BF24" s="177">
        <f t="shared" si="33"/>
        <v>0.95256959053019952</v>
      </c>
      <c r="BG24" s="177"/>
      <c r="BH24" s="538">
        <f t="shared" si="34"/>
        <v>1.7417963727905765E-2</v>
      </c>
      <c r="BI24" s="538">
        <f t="shared" si="35"/>
        <v>6.0565029990727957E-2</v>
      </c>
      <c r="BJ24" s="538">
        <f t="shared" si="36"/>
        <v>1.7499999999999998E-2</v>
      </c>
      <c r="BK24" s="538">
        <f t="shared" si="37"/>
        <v>6.3516599999999993E-2</v>
      </c>
      <c r="BL24">
        <f t="shared" si="38"/>
        <v>3.48E-3</v>
      </c>
      <c r="BM24">
        <f t="shared" si="39"/>
        <v>2.4500000000000003E-5</v>
      </c>
      <c r="BN24">
        <f t="shared" si="40"/>
        <v>0.16302800284113583</v>
      </c>
      <c r="BO24" s="469">
        <f t="shared" si="58"/>
        <v>163.02800284113584</v>
      </c>
      <c r="BP24" s="177">
        <f t="shared" si="41"/>
        <v>7.1819999999999995E-2</v>
      </c>
      <c r="BQ24" s="177">
        <f t="shared" si="42"/>
        <v>0.12397499999999999</v>
      </c>
      <c r="BR24" s="538"/>
      <c r="BT24" s="469">
        <f t="shared" si="59"/>
        <v>195.79499999999999</v>
      </c>
      <c r="BU24" s="538">
        <f t="shared" si="43"/>
        <v>7.6005659903588792E-3</v>
      </c>
      <c r="BV24" s="538">
        <f t="shared" si="60"/>
        <v>8.079843988947541E-2</v>
      </c>
      <c r="BW24" s="538">
        <f t="shared" si="44"/>
        <v>0.21777331795268925</v>
      </c>
      <c r="BX24" s="538">
        <f t="shared" si="45"/>
        <v>0</v>
      </c>
      <c r="BY24" s="538">
        <f t="shared" si="46"/>
        <v>0.31385994205794948</v>
      </c>
      <c r="BZ24" s="538">
        <f t="shared" si="61"/>
        <v>0.30617232383252357</v>
      </c>
      <c r="CA24" s="641">
        <f t="shared" si="47"/>
        <v>2.5987777777777769E-2</v>
      </c>
      <c r="CB24" s="469">
        <f t="shared" si="62"/>
        <v>339.84771983572728</v>
      </c>
      <c r="CC24" s="177">
        <f t="shared" si="63"/>
        <v>0.69867072267686303</v>
      </c>
      <c r="CD24" s="5">
        <f t="shared" si="64"/>
        <v>2.3388999999999998</v>
      </c>
      <c r="CE24" s="177">
        <f t="shared" si="65"/>
        <v>0.76999030262539581</v>
      </c>
      <c r="CF24" s="5">
        <f t="shared" si="66"/>
        <v>76.999030262539577</v>
      </c>
      <c r="CG24">
        <f t="shared" si="67"/>
        <v>19</v>
      </c>
      <c r="CI24" s="571">
        <f t="shared" si="48"/>
        <v>-50</v>
      </c>
      <c r="CJ24">
        <f t="shared" si="49"/>
        <v>-50</v>
      </c>
    </row>
    <row r="25" spans="5:88" x14ac:dyDescent="0.2">
      <c r="E25" s="174">
        <v>20</v>
      </c>
      <c r="F25" s="221">
        <f t="shared" si="68"/>
        <v>8.4000000000000005E-2</v>
      </c>
      <c r="G25" s="221">
        <f t="shared" si="50"/>
        <v>0.14499999999999999</v>
      </c>
      <c r="H25" s="221">
        <f t="shared" si="0"/>
        <v>1.302</v>
      </c>
      <c r="I25" s="221">
        <f t="shared" si="69"/>
        <v>1.1599999999999999</v>
      </c>
      <c r="J25" s="551">
        <f t="shared" si="1"/>
        <v>12</v>
      </c>
      <c r="K25" s="451">
        <f t="shared" si="2"/>
        <v>16.399999999999999</v>
      </c>
      <c r="L25" s="451">
        <f t="shared" si="3"/>
        <v>28.4</v>
      </c>
      <c r="M25" s="451"/>
      <c r="N25" s="221">
        <f t="shared" si="4"/>
        <v>0.57746478873239437</v>
      </c>
      <c r="O25" s="176">
        <f t="shared" si="51"/>
        <v>6.7612354549719109</v>
      </c>
      <c r="P25" s="176">
        <f t="shared" si="5"/>
        <v>11.390692542350877</v>
      </c>
      <c r="Q25" s="221">
        <f t="shared" si="6"/>
        <v>0.43620873903044588</v>
      </c>
      <c r="R25" s="221">
        <f t="shared" si="7"/>
        <v>0.84515443187148886</v>
      </c>
      <c r="S25" s="451">
        <f t="shared" si="8"/>
        <v>15.5</v>
      </c>
      <c r="T25" s="221">
        <f t="shared" si="9"/>
        <v>0.78953026196928622</v>
      </c>
      <c r="U25" s="221">
        <f t="shared" si="10"/>
        <v>0.59214769647696475</v>
      </c>
      <c r="V25" s="221">
        <f t="shared" si="11"/>
        <v>0.43327880230021809</v>
      </c>
      <c r="W25" s="201">
        <f t="shared" si="12"/>
        <v>350</v>
      </c>
      <c r="X25" s="451">
        <f t="shared" si="52"/>
        <v>350</v>
      </c>
      <c r="Z25" s="221">
        <f t="shared" si="13"/>
        <v>2.1998658618376927</v>
      </c>
      <c r="AA25" s="177">
        <f t="shared" si="14"/>
        <v>1.2072434607645877</v>
      </c>
      <c r="AB25" s="177">
        <f t="shared" si="15"/>
        <v>0.46476039334599145</v>
      </c>
      <c r="AC25" s="177"/>
      <c r="AD25" s="177">
        <f t="shared" si="16"/>
        <v>0.45</v>
      </c>
      <c r="AE25" s="555">
        <f t="shared" si="17"/>
        <v>455.28455284552854</v>
      </c>
      <c r="AF25" s="538">
        <f t="shared" si="18"/>
        <v>6.4574999999999994E-2</v>
      </c>
      <c r="AH25" s="177">
        <f t="shared" si="19"/>
        <v>1.2502698121504026</v>
      </c>
      <c r="AI25" s="177">
        <f t="shared" si="20"/>
        <v>1.2502698121504026</v>
      </c>
      <c r="AJ25" s="177">
        <f t="shared" si="21"/>
        <v>1.5187183793706684</v>
      </c>
      <c r="AL25" s="555">
        <f t="shared" si="22"/>
        <v>84</v>
      </c>
      <c r="AM25" s="469">
        <f t="shared" si="23"/>
        <v>350</v>
      </c>
      <c r="AO25">
        <f t="shared" si="53"/>
        <v>84</v>
      </c>
      <c r="AP25" s="469">
        <f t="shared" si="24"/>
        <v>350</v>
      </c>
      <c r="AQ25" s="469"/>
      <c r="AR25" s="5">
        <f t="shared" si="54"/>
        <v>2.8571428571428572</v>
      </c>
      <c r="AS25" s="5">
        <f t="shared" si="25"/>
        <v>0.93770235911280198</v>
      </c>
      <c r="AT25" s="5">
        <f t="shared" si="55"/>
        <v>1.9194404980300552</v>
      </c>
      <c r="AU25" s="177">
        <f t="shared" si="56"/>
        <v>0.32819582568948069</v>
      </c>
      <c r="AW25" s="5">
        <f t="shared" si="26"/>
        <v>4.6051229968782526</v>
      </c>
      <c r="AX25" s="5">
        <f t="shared" si="27"/>
        <v>1.465807390029326</v>
      </c>
      <c r="AY25" s="5">
        <f t="shared" si="28"/>
        <v>15.170308270746586</v>
      </c>
      <c r="AZ25" s="5">
        <f t="shared" si="29"/>
        <v>2.4965902939267761</v>
      </c>
      <c r="BA25" s="5">
        <f t="shared" si="30"/>
        <v>0.72926890527006094</v>
      </c>
      <c r="BB25" s="469">
        <f t="shared" si="31"/>
        <v>44.440023205092551</v>
      </c>
      <c r="BC25" s="5"/>
      <c r="BD25" s="177">
        <f t="shared" si="57"/>
        <v>0.41353249754834465</v>
      </c>
      <c r="BE25" s="177">
        <f t="shared" si="32"/>
        <v>0.59164945240372635</v>
      </c>
      <c r="BF25" s="177">
        <f t="shared" si="33"/>
        <v>0.97132666964639436</v>
      </c>
      <c r="BG25" s="177"/>
      <c r="BH25" s="538">
        <f t="shared" si="34"/>
        <v>1.8811003918142884E-2</v>
      </c>
      <c r="BI25" s="538">
        <f t="shared" si="35"/>
        <v>6.2138409663875002E-2</v>
      </c>
      <c r="BJ25" s="538">
        <f t="shared" si="36"/>
        <v>1.7499999999999998E-2</v>
      </c>
      <c r="BK25" s="538">
        <f t="shared" si="37"/>
        <v>6.3516599999999993E-2</v>
      </c>
      <c r="BL25">
        <f t="shared" si="38"/>
        <v>3.48E-3</v>
      </c>
      <c r="BM25">
        <f t="shared" si="39"/>
        <v>2.4500000000000003E-5</v>
      </c>
      <c r="BN25">
        <f t="shared" si="40"/>
        <v>0.16604680062668833</v>
      </c>
      <c r="BO25" s="469">
        <f t="shared" si="58"/>
        <v>166.04680062668834</v>
      </c>
      <c r="BP25" s="177">
        <f t="shared" si="41"/>
        <v>7.5600000000000001E-2</v>
      </c>
      <c r="BQ25" s="177">
        <f t="shared" si="42"/>
        <v>0.1305</v>
      </c>
      <c r="BR25" s="538"/>
      <c r="BT25" s="469">
        <f t="shared" si="59"/>
        <v>206.1</v>
      </c>
      <c r="BU25" s="538">
        <f t="shared" si="43"/>
        <v>8.2084380733714411E-3</v>
      </c>
      <c r="BV25" s="538">
        <f t="shared" si="60"/>
        <v>8.4011777887111019E-2</v>
      </c>
      <c r="BW25" s="538">
        <f t="shared" si="44"/>
        <v>0.22643411979992537</v>
      </c>
      <c r="BX25" s="538">
        <f t="shared" si="45"/>
        <v>0</v>
      </c>
      <c r="BY25" s="538">
        <f t="shared" si="46"/>
        <v>0.32699008030766225</v>
      </c>
      <c r="BZ25" s="538">
        <f t="shared" si="61"/>
        <v>0.3186543357604078</v>
      </c>
      <c r="CA25" s="641">
        <f t="shared" si="47"/>
        <v>2.7355555555555553E-2</v>
      </c>
      <c r="CB25" s="469">
        <f t="shared" si="62"/>
        <v>354.34563586321781</v>
      </c>
      <c r="CC25" s="177">
        <f t="shared" si="63"/>
        <v>0.72649243648990613</v>
      </c>
      <c r="CD25" s="5">
        <f t="shared" si="64"/>
        <v>2.4619999999999997</v>
      </c>
      <c r="CE25" s="177">
        <f t="shared" si="65"/>
        <v>0.77215174539047216</v>
      </c>
      <c r="CF25" s="5">
        <f t="shared" si="66"/>
        <v>77.215174539047212</v>
      </c>
      <c r="CG25">
        <f t="shared" si="67"/>
        <v>20</v>
      </c>
      <c r="CI25" s="571">
        <f t="shared" si="48"/>
        <v>-50</v>
      </c>
      <c r="CJ25">
        <f t="shared" si="49"/>
        <v>-50</v>
      </c>
    </row>
    <row r="26" spans="5:88" x14ac:dyDescent="0.2">
      <c r="E26" s="174">
        <v>21</v>
      </c>
      <c r="F26" s="221">
        <f t="shared" si="68"/>
        <v>8.8199999999999987E-2</v>
      </c>
      <c r="G26" s="221">
        <f t="shared" si="50"/>
        <v>0.15225</v>
      </c>
      <c r="H26" s="221">
        <f t="shared" si="0"/>
        <v>1.3670999999999998</v>
      </c>
      <c r="I26" s="221">
        <f t="shared" si="69"/>
        <v>1.218</v>
      </c>
      <c r="J26" s="551">
        <f t="shared" si="1"/>
        <v>12</v>
      </c>
      <c r="K26" s="451">
        <f t="shared" si="2"/>
        <v>16.399999999999999</v>
      </c>
      <c r="L26" s="451">
        <f t="shared" si="3"/>
        <v>28.4</v>
      </c>
      <c r="M26" s="451"/>
      <c r="N26" s="221">
        <f t="shared" si="4"/>
        <v>0.57746478873239437</v>
      </c>
      <c r="O26" s="176">
        <f t="shared" si="51"/>
        <v>6.7612354549719109</v>
      </c>
      <c r="P26" s="176">
        <f t="shared" si="5"/>
        <v>11.390692542350877</v>
      </c>
      <c r="Q26" s="221">
        <f t="shared" si="6"/>
        <v>0.43620873903044588</v>
      </c>
      <c r="R26" s="221">
        <f t="shared" si="7"/>
        <v>0.84515443187148886</v>
      </c>
      <c r="S26" s="451">
        <f t="shared" si="8"/>
        <v>15.5</v>
      </c>
      <c r="T26" s="221">
        <f t="shared" si="9"/>
        <v>0.82900677506775056</v>
      </c>
      <c r="U26" s="221">
        <f t="shared" si="10"/>
        <v>0.62175508130081303</v>
      </c>
      <c r="V26" s="221">
        <f t="shared" si="11"/>
        <v>0.45494274241522903</v>
      </c>
      <c r="W26" s="201">
        <f t="shared" si="12"/>
        <v>350</v>
      </c>
      <c r="X26" s="451">
        <f t="shared" si="52"/>
        <v>350</v>
      </c>
      <c r="Z26" s="221">
        <f t="shared" si="13"/>
        <v>2.1998658618376927</v>
      </c>
      <c r="AA26" s="177">
        <f t="shared" si="14"/>
        <v>1.2072434607645877</v>
      </c>
      <c r="AB26" s="177">
        <f t="shared" si="15"/>
        <v>0.46476039334599145</v>
      </c>
      <c r="AC26" s="177"/>
      <c r="AD26" s="177">
        <f t="shared" si="16"/>
        <v>0.45</v>
      </c>
      <c r="AE26" s="555">
        <f t="shared" si="17"/>
        <v>478.04878048780483</v>
      </c>
      <c r="AF26" s="538">
        <f t="shared" si="18"/>
        <v>6.4574999999999994E-2</v>
      </c>
      <c r="AH26" s="177">
        <f t="shared" si="19"/>
        <v>1.2811453209270731</v>
      </c>
      <c r="AI26" s="177">
        <f t="shared" si="20"/>
        <v>1.2811453209270731</v>
      </c>
      <c r="AJ26" s="177">
        <f t="shared" si="21"/>
        <v>1.5415891266126467</v>
      </c>
      <c r="AL26" s="555">
        <f t="shared" si="22"/>
        <v>88.199999999999989</v>
      </c>
      <c r="AM26" s="469">
        <f t="shared" si="23"/>
        <v>350</v>
      </c>
      <c r="AO26">
        <f t="shared" si="53"/>
        <v>88.199999999999989</v>
      </c>
      <c r="AP26" s="469">
        <f t="shared" si="24"/>
        <v>350</v>
      </c>
      <c r="AQ26" s="469"/>
      <c r="AR26" s="5">
        <f t="shared" si="54"/>
        <v>2.8571428571428572</v>
      </c>
      <c r="AS26" s="5">
        <f t="shared" si="25"/>
        <v>0.96085899069530489</v>
      </c>
      <c r="AT26" s="5">
        <f t="shared" si="55"/>
        <v>1.8962838664475523</v>
      </c>
      <c r="AU26" s="177">
        <f t="shared" si="56"/>
        <v>0.33630064674335669</v>
      </c>
      <c r="AW26" s="5">
        <f t="shared" si="26"/>
        <v>4.6051229968782526</v>
      </c>
      <c r="AX26" s="5">
        <f t="shared" si="27"/>
        <v>1.6072326475073313</v>
      </c>
      <c r="AY26" s="5">
        <f t="shared" si="28"/>
        <v>15.170308270746586</v>
      </c>
      <c r="AZ26" s="5">
        <f t="shared" si="29"/>
        <v>2.7372657990542706</v>
      </c>
      <c r="BA26" s="5">
        <f t="shared" si="30"/>
        <v>0.75649435542493315</v>
      </c>
      <c r="BB26" s="469">
        <f t="shared" si="31"/>
        <v>46.107744658829326</v>
      </c>
      <c r="BC26" s="5"/>
      <c r="BD26" s="177">
        <f t="shared" si="57"/>
        <v>0.4289450087215646</v>
      </c>
      <c r="BE26" s="177">
        <f t="shared" si="32"/>
        <v>0.60259214283291807</v>
      </c>
      <c r="BF26" s="177">
        <f t="shared" si="33"/>
        <v>0.98929157607599649</v>
      </c>
      <c r="BG26" s="177"/>
      <c r="BH26" s="538">
        <f t="shared" si="34"/>
        <v>2.0239320255785745E-2</v>
      </c>
      <c r="BI26" s="538">
        <f t="shared" si="35"/>
        <v>6.3672922450075539E-2</v>
      </c>
      <c r="BJ26" s="538">
        <f t="shared" si="36"/>
        <v>1.7499999999999998E-2</v>
      </c>
      <c r="BK26" s="538">
        <f t="shared" si="37"/>
        <v>6.3516599999999993E-2</v>
      </c>
      <c r="BL26">
        <f t="shared" si="38"/>
        <v>3.48E-3</v>
      </c>
      <c r="BM26">
        <f t="shared" si="39"/>
        <v>2.4500000000000003E-5</v>
      </c>
      <c r="BN26">
        <f t="shared" si="40"/>
        <v>0.16906465626759506</v>
      </c>
      <c r="BO26" s="469">
        <f t="shared" si="58"/>
        <v>169.06465626759507</v>
      </c>
      <c r="BP26" s="177">
        <f t="shared" si="41"/>
        <v>7.9379999999999992E-2</v>
      </c>
      <c r="BQ26" s="177">
        <f t="shared" si="42"/>
        <v>0.13702500000000001</v>
      </c>
      <c r="BR26" s="538"/>
      <c r="BT26" s="469">
        <f t="shared" si="59"/>
        <v>216.405</v>
      </c>
      <c r="BU26" s="538">
        <f t="shared" si="43"/>
        <v>8.8317033843428715E-3</v>
      </c>
      <c r="BV26" s="538">
        <f t="shared" si="60"/>
        <v>8.7148149744952302E-2</v>
      </c>
      <c r="BW26" s="538">
        <f t="shared" si="44"/>
        <v>0.23488747739878299</v>
      </c>
      <c r="BX26" s="538">
        <f t="shared" si="45"/>
        <v>0</v>
      </c>
      <c r="BY26" s="538">
        <f t="shared" si="46"/>
        <v>0.33986330364992656</v>
      </c>
      <c r="BZ26" s="538">
        <f t="shared" si="61"/>
        <v>0.33086733052807815</v>
      </c>
      <c r="CA26" s="641">
        <f t="shared" si="47"/>
        <v>2.872333333333333E-2</v>
      </c>
      <c r="CB26" s="469">
        <f t="shared" si="62"/>
        <v>368.58663698325989</v>
      </c>
      <c r="CC26" s="177">
        <f t="shared" si="63"/>
        <v>0.75405629325085488</v>
      </c>
      <c r="CD26" s="5">
        <f t="shared" si="64"/>
        <v>2.5850999999999997</v>
      </c>
      <c r="CE26" s="177">
        <f t="shared" si="65"/>
        <v>0.77417759846253287</v>
      </c>
      <c r="CF26" s="5">
        <f t="shared" si="66"/>
        <v>77.41775984625329</v>
      </c>
      <c r="CG26">
        <f t="shared" si="67"/>
        <v>20.999999999999996</v>
      </c>
      <c r="CI26" s="571">
        <f t="shared" si="48"/>
        <v>-50</v>
      </c>
      <c r="CJ26">
        <f t="shared" si="49"/>
        <v>-50</v>
      </c>
    </row>
    <row r="27" spans="5:88" x14ac:dyDescent="0.2">
      <c r="E27" s="174">
        <v>22</v>
      </c>
      <c r="F27" s="221">
        <f t="shared" si="68"/>
        <v>9.2399999999999996E-2</v>
      </c>
      <c r="G27" s="221">
        <f t="shared" si="50"/>
        <v>0.1595</v>
      </c>
      <c r="H27" s="221">
        <f t="shared" si="0"/>
        <v>1.4321999999999999</v>
      </c>
      <c r="I27" s="221">
        <f t="shared" si="69"/>
        <v>1.276</v>
      </c>
      <c r="J27" s="551">
        <f t="shared" si="1"/>
        <v>12</v>
      </c>
      <c r="K27" s="451">
        <f t="shared" si="2"/>
        <v>16.399999999999999</v>
      </c>
      <c r="L27" s="451">
        <f t="shared" si="3"/>
        <v>28.4</v>
      </c>
      <c r="M27" s="451"/>
      <c r="N27" s="221">
        <f t="shared" si="4"/>
        <v>0.57746478873239437</v>
      </c>
      <c r="O27" s="176">
        <f t="shared" si="51"/>
        <v>6.7612354549719109</v>
      </c>
      <c r="P27" s="176">
        <f t="shared" si="5"/>
        <v>11.390692542350877</v>
      </c>
      <c r="Q27" s="221">
        <f t="shared" si="6"/>
        <v>0.43620873903044588</v>
      </c>
      <c r="R27" s="221">
        <f t="shared" si="7"/>
        <v>0.84515443187148886</v>
      </c>
      <c r="S27" s="451">
        <f t="shared" si="8"/>
        <v>15.5</v>
      </c>
      <c r="T27" s="221">
        <f t="shared" si="9"/>
        <v>0.86848328816621478</v>
      </c>
      <c r="U27" s="221">
        <f t="shared" si="10"/>
        <v>0.65136246612466109</v>
      </c>
      <c r="V27" s="221">
        <f t="shared" si="11"/>
        <v>0.47660668253023986</v>
      </c>
      <c r="W27" s="201">
        <f t="shared" si="12"/>
        <v>350</v>
      </c>
      <c r="X27" s="451">
        <f t="shared" si="52"/>
        <v>350</v>
      </c>
      <c r="Z27" s="221">
        <f t="shared" si="13"/>
        <v>2.1998658618376927</v>
      </c>
      <c r="AA27" s="177">
        <f t="shared" si="14"/>
        <v>1.2072434607645877</v>
      </c>
      <c r="AB27" s="177">
        <f t="shared" si="15"/>
        <v>0.46476039334599145</v>
      </c>
      <c r="AC27" s="177"/>
      <c r="AD27" s="177">
        <f t="shared" si="16"/>
        <v>0.45</v>
      </c>
      <c r="AE27" s="555">
        <f t="shared" si="17"/>
        <v>500.8130081300813</v>
      </c>
      <c r="AF27" s="538">
        <f t="shared" si="18"/>
        <v>6.4574999999999994E-2</v>
      </c>
      <c r="AH27" s="177">
        <f t="shared" si="19"/>
        <v>1.3112940415833756</v>
      </c>
      <c r="AI27" s="177">
        <f t="shared" si="20"/>
        <v>1.3112940415833756</v>
      </c>
      <c r="AJ27" s="177">
        <f t="shared" si="21"/>
        <v>1.563921512283982</v>
      </c>
      <c r="AL27" s="555">
        <f t="shared" si="22"/>
        <v>92.399999999999991</v>
      </c>
      <c r="AM27" s="469">
        <f t="shared" si="23"/>
        <v>350</v>
      </c>
      <c r="AO27">
        <f t="shared" si="53"/>
        <v>92.399999999999991</v>
      </c>
      <c r="AP27" s="469">
        <f t="shared" si="24"/>
        <v>350</v>
      </c>
      <c r="AQ27" s="469"/>
      <c r="AR27" s="5">
        <f t="shared" si="54"/>
        <v>2.8571428571428572</v>
      </c>
      <c r="AS27" s="5">
        <f t="shared" si="25"/>
        <v>0.98347053118753169</v>
      </c>
      <c r="AT27" s="5">
        <f t="shared" si="55"/>
        <v>1.8736723259553254</v>
      </c>
      <c r="AU27" s="177">
        <f t="shared" si="56"/>
        <v>0.34421468591563609</v>
      </c>
      <c r="AW27" s="5">
        <f t="shared" si="26"/>
        <v>4.6051229968782526</v>
      </c>
      <c r="AX27" s="5">
        <f t="shared" si="27"/>
        <v>1.7551469419354844</v>
      </c>
      <c r="AY27" s="5">
        <f t="shared" si="28"/>
        <v>15.170308270746586</v>
      </c>
      <c r="AZ27" s="5">
        <f t="shared" si="29"/>
        <v>2.9889742556513994</v>
      </c>
      <c r="BA27" s="5">
        <f t="shared" si="30"/>
        <v>0.78306780758521777</v>
      </c>
      <c r="BB27" s="469">
        <f t="shared" si="31"/>
        <v>47.736346232890845</v>
      </c>
      <c r="BC27" s="5"/>
      <c r="BD27" s="177">
        <f t="shared" si="57"/>
        <v>0.4441750482896541</v>
      </c>
      <c r="BE27" s="177">
        <f t="shared" si="32"/>
        <v>0.61308445392205524</v>
      </c>
      <c r="BF27" s="177">
        <f t="shared" si="33"/>
        <v>1.0065170827433316</v>
      </c>
      <c r="BG27" s="177"/>
      <c r="BH27" s="538">
        <f t="shared" si="34"/>
        <v>2.1702062087542821E-2</v>
      </c>
      <c r="BI27" s="538">
        <f t="shared" si="35"/>
        <v>6.5171313866693767E-2</v>
      </c>
      <c r="BJ27" s="538">
        <f t="shared" si="36"/>
        <v>1.7499999999999998E-2</v>
      </c>
      <c r="BK27" s="538">
        <f t="shared" si="37"/>
        <v>6.3516599999999993E-2</v>
      </c>
      <c r="BL27">
        <f t="shared" si="38"/>
        <v>3.48E-3</v>
      </c>
      <c r="BM27">
        <f t="shared" si="39"/>
        <v>2.4500000000000003E-5</v>
      </c>
      <c r="BN27">
        <f t="shared" si="40"/>
        <v>0.172083503543253</v>
      </c>
      <c r="BO27" s="469">
        <f t="shared" si="58"/>
        <v>172.08350354325299</v>
      </c>
      <c r="BP27" s="177">
        <f t="shared" si="41"/>
        <v>8.3159999999999998E-2</v>
      </c>
      <c r="BQ27" s="177">
        <f t="shared" si="42"/>
        <v>0.14355000000000001</v>
      </c>
      <c r="BR27" s="538"/>
      <c r="BT27" s="469">
        <f t="shared" si="59"/>
        <v>226.71000000000004</v>
      </c>
      <c r="BU27" s="538">
        <f t="shared" si="43"/>
        <v>9.4699907291095949E-3</v>
      </c>
      <c r="BV27" s="538">
        <f t="shared" si="60"/>
        <v>9.020941143381711E-2</v>
      </c>
      <c r="BW27" s="538">
        <f t="shared" si="44"/>
        <v>0.24313839308499519</v>
      </c>
      <c r="BX27" s="538">
        <f t="shared" si="45"/>
        <v>0</v>
      </c>
      <c r="BY27" s="538">
        <f t="shared" si="46"/>
        <v>0.35248484134127628</v>
      </c>
      <c r="BZ27" s="538">
        <f t="shared" si="61"/>
        <v>0.34281779524792189</v>
      </c>
      <c r="CA27" s="641">
        <f t="shared" si="47"/>
        <v>3.0091111111111117E-2</v>
      </c>
      <c r="CB27" s="469">
        <f t="shared" si="62"/>
        <v>382.57595245238741</v>
      </c>
      <c r="CC27" s="177">
        <f t="shared" si="63"/>
        <v>0.78136945599564034</v>
      </c>
      <c r="CD27" s="5">
        <f t="shared" si="64"/>
        <v>2.7081999999999997</v>
      </c>
      <c r="CE27" s="177">
        <f t="shared" si="65"/>
        <v>0.77608428035351984</v>
      </c>
      <c r="CF27" s="5">
        <f t="shared" si="66"/>
        <v>77.608428035351977</v>
      </c>
      <c r="CG27">
        <f t="shared" si="67"/>
        <v>22</v>
      </c>
      <c r="CI27" s="571">
        <f t="shared" si="48"/>
        <v>-50</v>
      </c>
      <c r="CJ27">
        <f t="shared" si="49"/>
        <v>-50</v>
      </c>
    </row>
    <row r="28" spans="5:88" x14ac:dyDescent="0.2">
      <c r="E28" s="174">
        <v>23</v>
      </c>
      <c r="F28" s="221">
        <f t="shared" si="68"/>
        <v>9.6600000000000005E-2</v>
      </c>
      <c r="G28" s="221">
        <f t="shared" si="50"/>
        <v>0.16675000000000001</v>
      </c>
      <c r="H28" s="221">
        <f t="shared" si="0"/>
        <v>1.4973000000000001</v>
      </c>
      <c r="I28" s="221">
        <f t="shared" si="69"/>
        <v>1.3340000000000001</v>
      </c>
      <c r="J28" s="551">
        <f t="shared" si="1"/>
        <v>12</v>
      </c>
      <c r="K28" s="451">
        <f t="shared" si="2"/>
        <v>16.399999999999999</v>
      </c>
      <c r="L28" s="451">
        <f t="shared" si="3"/>
        <v>28.4</v>
      </c>
      <c r="M28" s="451"/>
      <c r="N28" s="221">
        <f t="shared" si="4"/>
        <v>0.57746478873239437</v>
      </c>
      <c r="O28" s="176">
        <f t="shared" si="51"/>
        <v>6.7612354549719109</v>
      </c>
      <c r="P28" s="176">
        <f t="shared" si="5"/>
        <v>11.390692542350877</v>
      </c>
      <c r="Q28" s="221">
        <f t="shared" si="6"/>
        <v>0.43620873903044588</v>
      </c>
      <c r="R28" s="221">
        <f t="shared" si="7"/>
        <v>0.84515443187148886</v>
      </c>
      <c r="S28" s="451">
        <f t="shared" si="8"/>
        <v>15.5</v>
      </c>
      <c r="T28" s="221">
        <f t="shared" si="9"/>
        <v>0.90795980126467923</v>
      </c>
      <c r="U28" s="221">
        <f t="shared" si="10"/>
        <v>0.68096985094850948</v>
      </c>
      <c r="V28" s="221">
        <f t="shared" si="11"/>
        <v>0.49827062264525085</v>
      </c>
      <c r="W28" s="201">
        <f t="shared" si="12"/>
        <v>350</v>
      </c>
      <c r="X28" s="451">
        <f t="shared" si="52"/>
        <v>350</v>
      </c>
      <c r="Z28" s="221">
        <f t="shared" si="13"/>
        <v>2.1998658618376927</v>
      </c>
      <c r="AA28" s="177">
        <f t="shared" si="14"/>
        <v>1.2072434607645877</v>
      </c>
      <c r="AB28" s="177">
        <f t="shared" si="15"/>
        <v>0.46476039334599145</v>
      </c>
      <c r="AC28" s="177"/>
      <c r="AD28" s="177">
        <f t="shared" si="16"/>
        <v>0.45</v>
      </c>
      <c r="AE28" s="555">
        <f t="shared" si="17"/>
        <v>523.57723577235777</v>
      </c>
      <c r="AF28" s="538">
        <f t="shared" si="18"/>
        <v>6.4574999999999994E-2</v>
      </c>
      <c r="AH28" s="177">
        <f t="shared" si="19"/>
        <v>1.340765003142159</v>
      </c>
      <c r="AI28" s="177">
        <f t="shared" si="20"/>
        <v>1.340765003142159</v>
      </c>
      <c r="AJ28" s="177">
        <f t="shared" si="21"/>
        <v>1.5857518541793769</v>
      </c>
      <c r="AL28" s="555">
        <f t="shared" si="22"/>
        <v>96.600000000000009</v>
      </c>
      <c r="AM28" s="469">
        <f t="shared" si="23"/>
        <v>350</v>
      </c>
      <c r="AO28">
        <f t="shared" si="53"/>
        <v>96.600000000000009</v>
      </c>
      <c r="AP28" s="469">
        <f t="shared" si="24"/>
        <v>350</v>
      </c>
      <c r="AQ28" s="469"/>
      <c r="AR28" s="5">
        <f t="shared" si="54"/>
        <v>2.8571428571428572</v>
      </c>
      <c r="AS28" s="5">
        <f t="shared" si="25"/>
        <v>1.0055737523566191</v>
      </c>
      <c r="AT28" s="5">
        <f t="shared" si="55"/>
        <v>1.8515691047862382</v>
      </c>
      <c r="AU28" s="177">
        <f t="shared" si="56"/>
        <v>0.35195081332481665</v>
      </c>
      <c r="AW28" s="5">
        <f t="shared" si="26"/>
        <v>4.6051229968782526</v>
      </c>
      <c r="AX28" s="5">
        <f t="shared" si="27"/>
        <v>1.9095502733137837</v>
      </c>
      <c r="AY28" s="5">
        <f t="shared" si="28"/>
        <v>15.170308270746586</v>
      </c>
      <c r="AZ28" s="5">
        <f t="shared" si="29"/>
        <v>3.2517156637181617</v>
      </c>
      <c r="BA28" s="5">
        <f t="shared" si="30"/>
        <v>0.80900426024402394</v>
      </c>
      <c r="BB28" s="469">
        <f t="shared" si="31"/>
        <v>49.326727836863675</v>
      </c>
      <c r="BC28" s="5"/>
      <c r="BD28" s="177">
        <f t="shared" si="57"/>
        <v>0.45923293250789371</v>
      </c>
      <c r="BE28" s="177">
        <f t="shared" si="32"/>
        <v>0.62315491245526711</v>
      </c>
      <c r="BF28" s="177">
        <f t="shared" si="33"/>
        <v>1.0230500228299588</v>
      </c>
      <c r="BG28" s="177"/>
      <c r="BH28" s="538">
        <f t="shared" si="34"/>
        <v>2.3198437492977963E-2</v>
      </c>
      <c r="BI28" s="538">
        <f t="shared" si="35"/>
        <v>6.6636020656165293E-2</v>
      </c>
      <c r="BJ28" s="538">
        <f t="shared" si="36"/>
        <v>1.7499999999999998E-2</v>
      </c>
      <c r="BK28" s="538">
        <f t="shared" si="37"/>
        <v>6.3516599999999993E-2</v>
      </c>
      <c r="BL28">
        <f t="shared" si="38"/>
        <v>3.48E-3</v>
      </c>
      <c r="BM28">
        <f t="shared" si="39"/>
        <v>2.4500000000000003E-5</v>
      </c>
      <c r="BN28">
        <f t="shared" si="40"/>
        <v>0.17510502722796689</v>
      </c>
      <c r="BO28" s="469">
        <f t="shared" si="58"/>
        <v>175.1050272279669</v>
      </c>
      <c r="BP28" s="177">
        <f t="shared" si="41"/>
        <v>8.6940000000000003E-2</v>
      </c>
      <c r="BQ28" s="177">
        <f t="shared" si="42"/>
        <v>0.15007500000000001</v>
      </c>
      <c r="BR28" s="538"/>
      <c r="BT28" s="469">
        <f t="shared" si="59"/>
        <v>237.01500000000004</v>
      </c>
      <c r="BU28" s="538">
        <f t="shared" si="43"/>
        <v>1.0122954542390384E-2</v>
      </c>
      <c r="BV28" s="538">
        <f t="shared" si="60"/>
        <v>9.3197290780111589E-2</v>
      </c>
      <c r="BW28" s="538">
        <f t="shared" si="44"/>
        <v>0.25119152381097104</v>
      </c>
      <c r="BX28" s="538">
        <f t="shared" si="45"/>
        <v>0</v>
      </c>
      <c r="BY28" s="538">
        <f t="shared" si="46"/>
        <v>0.36485952889950246</v>
      </c>
      <c r="BZ28" s="538">
        <f t="shared" si="61"/>
        <v>0.35451176913347304</v>
      </c>
      <c r="CA28" s="641">
        <f t="shared" si="47"/>
        <v>3.145888888888889E-2</v>
      </c>
      <c r="CB28" s="469">
        <f t="shared" si="62"/>
        <v>396.31841778839134</v>
      </c>
      <c r="CC28" s="177">
        <f t="shared" si="63"/>
        <v>0.80843844501635831</v>
      </c>
      <c r="CD28" s="5">
        <f t="shared" si="64"/>
        <v>2.8313000000000001</v>
      </c>
      <c r="CE28" s="177">
        <f t="shared" si="65"/>
        <v>0.77788556589188518</v>
      </c>
      <c r="CF28" s="5">
        <f t="shared" si="66"/>
        <v>77.788556589188516</v>
      </c>
      <c r="CG28">
        <f t="shared" si="67"/>
        <v>23</v>
      </c>
      <c r="CI28" s="571">
        <f t="shared" si="48"/>
        <v>-50</v>
      </c>
      <c r="CJ28">
        <f t="shared" si="49"/>
        <v>-50</v>
      </c>
    </row>
    <row r="29" spans="5:88" x14ac:dyDescent="0.2">
      <c r="E29" s="174">
        <v>24</v>
      </c>
      <c r="F29" s="221">
        <f t="shared" si="68"/>
        <v>0.10079999999999999</v>
      </c>
      <c r="G29" s="221">
        <f t="shared" si="50"/>
        <v>0.17399999999999999</v>
      </c>
      <c r="H29" s="221">
        <f t="shared" si="0"/>
        <v>1.5623999999999998</v>
      </c>
      <c r="I29" s="221">
        <f t="shared" si="69"/>
        <v>1.3919999999999999</v>
      </c>
      <c r="J29" s="551">
        <f t="shared" si="1"/>
        <v>12</v>
      </c>
      <c r="K29" s="451">
        <f t="shared" si="2"/>
        <v>16.399999999999999</v>
      </c>
      <c r="L29" s="451">
        <f t="shared" si="3"/>
        <v>28.4</v>
      </c>
      <c r="M29" s="451"/>
      <c r="N29" s="221">
        <f t="shared" si="4"/>
        <v>0.57746478873239437</v>
      </c>
      <c r="O29" s="176">
        <f t="shared" si="51"/>
        <v>6.7612354549719109</v>
      </c>
      <c r="P29" s="176">
        <f t="shared" si="5"/>
        <v>11.390692542350877</v>
      </c>
      <c r="Q29" s="221">
        <f t="shared" si="6"/>
        <v>0.43620873903044588</v>
      </c>
      <c r="R29" s="221">
        <f t="shared" si="7"/>
        <v>0.84515443187148886</v>
      </c>
      <c r="S29" s="451">
        <f t="shared" si="8"/>
        <v>15.5</v>
      </c>
      <c r="T29" s="221">
        <f t="shared" si="9"/>
        <v>0.94743631436314346</v>
      </c>
      <c r="U29" s="221">
        <f t="shared" si="10"/>
        <v>0.71057723577235765</v>
      </c>
      <c r="V29" s="221">
        <f t="shared" si="11"/>
        <v>0.51993456276026173</v>
      </c>
      <c r="W29" s="201">
        <f t="shared" si="12"/>
        <v>350</v>
      </c>
      <c r="X29" s="451">
        <f t="shared" si="52"/>
        <v>350</v>
      </c>
      <c r="Z29" s="221">
        <f t="shared" si="13"/>
        <v>2.1998658618376927</v>
      </c>
      <c r="AA29" s="177">
        <f t="shared" si="14"/>
        <v>1.2072434607645877</v>
      </c>
      <c r="AB29" s="177">
        <f t="shared" si="15"/>
        <v>0.46476039334599145</v>
      </c>
      <c r="AC29" s="177"/>
      <c r="AD29" s="177">
        <f t="shared" si="16"/>
        <v>0.45</v>
      </c>
      <c r="AE29" s="555">
        <f t="shared" si="17"/>
        <v>546.34146341463406</v>
      </c>
      <c r="AF29" s="538">
        <f t="shared" si="18"/>
        <v>6.4574999999999994E-2</v>
      </c>
      <c r="AH29" s="177">
        <f t="shared" si="19"/>
        <v>1.3696019581650443</v>
      </c>
      <c r="AI29" s="177">
        <f t="shared" si="20"/>
        <v>1.3696019581650443</v>
      </c>
      <c r="AJ29" s="177">
        <f t="shared" si="21"/>
        <v>1.6071125616037365</v>
      </c>
      <c r="AL29" s="555">
        <f t="shared" si="22"/>
        <v>100.79999999999998</v>
      </c>
      <c r="AM29" s="469">
        <f t="shared" si="23"/>
        <v>350</v>
      </c>
      <c r="AO29">
        <f t="shared" si="53"/>
        <v>100.79999999999998</v>
      </c>
      <c r="AP29" s="469">
        <f t="shared" si="24"/>
        <v>350</v>
      </c>
      <c r="AQ29" s="469"/>
      <c r="AR29" s="5">
        <f t="shared" si="54"/>
        <v>2.8571428571428572</v>
      </c>
      <c r="AS29" s="5">
        <f t="shared" si="25"/>
        <v>1.0272014686237831</v>
      </c>
      <c r="AT29" s="5">
        <f t="shared" si="55"/>
        <v>1.8299413885190741</v>
      </c>
      <c r="AU29" s="177">
        <f t="shared" si="56"/>
        <v>0.35952051401832408</v>
      </c>
      <c r="AW29" s="5">
        <f t="shared" si="26"/>
        <v>4.6051229968782526</v>
      </c>
      <c r="AX29" s="5">
        <f t="shared" si="27"/>
        <v>2.0704426416422286</v>
      </c>
      <c r="AY29" s="5">
        <f t="shared" si="28"/>
        <v>15.170308270746586</v>
      </c>
      <c r="AZ29" s="5">
        <f t="shared" si="29"/>
        <v>3.5254900232545574</v>
      </c>
      <c r="BA29" s="5">
        <f t="shared" si="30"/>
        <v>0.83431772195073317</v>
      </c>
      <c r="BB29" s="469">
        <f t="shared" si="31"/>
        <v>50.879729983710661</v>
      </c>
      <c r="BC29" s="5"/>
      <c r="BD29" s="177">
        <f t="shared" si="57"/>
        <v>0.47412797294980313</v>
      </c>
      <c r="BE29" s="177">
        <f t="shared" si="32"/>
        <v>0.63282897099955215</v>
      </c>
      <c r="BF29" s="177">
        <f t="shared" si="33"/>
        <v>1.0389321824932669</v>
      </c>
      <c r="BG29" s="177"/>
      <c r="BH29" s="538">
        <f t="shared" si="34"/>
        <v>2.4727706820683818E-2</v>
      </c>
      <c r="BI29" s="538">
        <f t="shared" si="35"/>
        <v>6.8069217320802691E-2</v>
      </c>
      <c r="BJ29" s="538">
        <f t="shared" si="36"/>
        <v>1.7499999999999998E-2</v>
      </c>
      <c r="BK29" s="538">
        <f t="shared" si="37"/>
        <v>6.3516599999999993E-2</v>
      </c>
      <c r="BL29">
        <f t="shared" si="38"/>
        <v>3.48E-3</v>
      </c>
      <c r="BM29">
        <f t="shared" si="39"/>
        <v>2.4500000000000003E-5</v>
      </c>
      <c r="BN29">
        <f t="shared" si="40"/>
        <v>0.17813070306278925</v>
      </c>
      <c r="BO29" s="469">
        <f t="shared" si="58"/>
        <v>178.13070306278925</v>
      </c>
      <c r="BP29" s="177">
        <f t="shared" si="41"/>
        <v>9.0719999999999995E-2</v>
      </c>
      <c r="BQ29" s="177">
        <f t="shared" si="42"/>
        <v>0.15659999999999999</v>
      </c>
      <c r="BR29" s="538"/>
      <c r="BT29" s="469">
        <f t="shared" si="59"/>
        <v>247.32</v>
      </c>
      <c r="BU29" s="538">
        <f t="shared" si="43"/>
        <v>1.0790272067207484E-2</v>
      </c>
      <c r="BV29" s="538">
        <f t="shared" si="60"/>
        <v>9.6113401568724485E-2</v>
      </c>
      <c r="BW29" s="538">
        <f t="shared" si="44"/>
        <v>0.25905121915685347</v>
      </c>
      <c r="BX29" s="538">
        <f t="shared" si="45"/>
        <v>0</v>
      </c>
      <c r="BY29" s="538">
        <f t="shared" si="46"/>
        <v>0.37699185387012918</v>
      </c>
      <c r="BZ29" s="538">
        <f t="shared" si="61"/>
        <v>0.36595489279278542</v>
      </c>
      <c r="CA29" s="641">
        <f t="shared" si="47"/>
        <v>3.2826666666666671E-2</v>
      </c>
      <c r="CB29" s="469">
        <f t="shared" si="62"/>
        <v>409.81852053679586</v>
      </c>
      <c r="CC29" s="177">
        <f t="shared" si="63"/>
        <v>0.835269223599585</v>
      </c>
      <c r="CD29" s="5">
        <f t="shared" si="64"/>
        <v>2.9543999999999997</v>
      </c>
      <c r="CE29" s="177">
        <f t="shared" si="65"/>
        <v>0.77959310580509933</v>
      </c>
      <c r="CF29" s="5">
        <f t="shared" si="66"/>
        <v>77.959310580509936</v>
      </c>
      <c r="CG29">
        <f t="shared" si="67"/>
        <v>24</v>
      </c>
      <c r="CI29" s="571">
        <f t="shared" si="48"/>
        <v>-50</v>
      </c>
      <c r="CJ29">
        <f t="shared" si="49"/>
        <v>-50</v>
      </c>
    </row>
    <row r="30" spans="5:88" x14ac:dyDescent="0.2">
      <c r="E30" s="174">
        <v>25</v>
      </c>
      <c r="F30" s="221">
        <f t="shared" si="68"/>
        <v>0.105</v>
      </c>
      <c r="G30" s="221">
        <f t="shared" si="50"/>
        <v>0.18124999999999999</v>
      </c>
      <c r="H30" s="221">
        <f t="shared" si="0"/>
        <v>1.6274999999999999</v>
      </c>
      <c r="I30" s="221">
        <f t="shared" si="69"/>
        <v>1.45</v>
      </c>
      <c r="J30" s="551">
        <f t="shared" si="1"/>
        <v>12</v>
      </c>
      <c r="K30" s="451">
        <f t="shared" si="2"/>
        <v>16.399999999999999</v>
      </c>
      <c r="L30" s="451">
        <f t="shared" si="3"/>
        <v>28.4</v>
      </c>
      <c r="M30" s="451"/>
      <c r="N30" s="221">
        <f t="shared" si="4"/>
        <v>0.57746478873239437</v>
      </c>
      <c r="O30" s="176">
        <f t="shared" si="51"/>
        <v>6.7612354549719109</v>
      </c>
      <c r="P30" s="176">
        <f t="shared" si="5"/>
        <v>11.390692542350877</v>
      </c>
      <c r="Q30" s="221">
        <f t="shared" si="6"/>
        <v>0.43620873903044588</v>
      </c>
      <c r="R30" s="221">
        <f t="shared" si="7"/>
        <v>0.84515443187148886</v>
      </c>
      <c r="S30" s="451">
        <f t="shared" si="8"/>
        <v>15.5</v>
      </c>
      <c r="T30" s="221">
        <f t="shared" si="9"/>
        <v>0.9869128274616078</v>
      </c>
      <c r="U30" s="221">
        <f t="shared" si="10"/>
        <v>0.74018462059620582</v>
      </c>
      <c r="V30" s="221">
        <f t="shared" si="11"/>
        <v>0.54159850287527256</v>
      </c>
      <c r="W30" s="201">
        <f t="shared" si="12"/>
        <v>350</v>
      </c>
      <c r="X30" s="451">
        <f t="shared" si="52"/>
        <v>350</v>
      </c>
      <c r="Z30" s="221">
        <f t="shared" si="13"/>
        <v>2.1998658618376927</v>
      </c>
      <c r="AA30" s="177">
        <f t="shared" si="14"/>
        <v>1.2072434607645877</v>
      </c>
      <c r="AB30" s="177">
        <f t="shared" si="15"/>
        <v>0.46476039334599145</v>
      </c>
      <c r="AC30" s="177"/>
      <c r="AD30" s="177">
        <f t="shared" si="16"/>
        <v>0.45</v>
      </c>
      <c r="AE30" s="555">
        <f t="shared" si="17"/>
        <v>569.10569105691059</v>
      </c>
      <c r="AF30" s="538">
        <f t="shared" si="18"/>
        <v>6.4574999999999994E-2</v>
      </c>
      <c r="AH30" s="177">
        <f t="shared" si="19"/>
        <v>1.3978441450920964</v>
      </c>
      <c r="AI30" s="177">
        <f t="shared" si="20"/>
        <v>1.3978441450920964</v>
      </c>
      <c r="AJ30" s="177">
        <f t="shared" si="21"/>
        <v>1.6280327000682195</v>
      </c>
      <c r="AL30" s="555">
        <f t="shared" si="22"/>
        <v>105</v>
      </c>
      <c r="AM30" s="469">
        <f t="shared" si="23"/>
        <v>350</v>
      </c>
      <c r="AO30">
        <f t="shared" si="53"/>
        <v>105</v>
      </c>
      <c r="AP30" s="469">
        <f t="shared" si="24"/>
        <v>350</v>
      </c>
      <c r="AQ30" s="469"/>
      <c r="AR30" s="5">
        <f t="shared" si="54"/>
        <v>2.8571428571428572</v>
      </c>
      <c r="AS30" s="5">
        <f t="shared" si="25"/>
        <v>1.0483831088190723</v>
      </c>
      <c r="AT30" s="5">
        <f t="shared" si="55"/>
        <v>1.8087597483237849</v>
      </c>
      <c r="AU30" s="177">
        <f t="shared" si="56"/>
        <v>0.36693408808667527</v>
      </c>
      <c r="AW30" s="5">
        <f t="shared" si="26"/>
        <v>4.6051229968782526</v>
      </c>
      <c r="AX30" s="5">
        <f t="shared" si="27"/>
        <v>2.2378240469208217</v>
      </c>
      <c r="AY30" s="5">
        <f t="shared" si="28"/>
        <v>15.170308270746586</v>
      </c>
      <c r="AZ30" s="5">
        <f t="shared" si="29"/>
        <v>3.8102973342605879</v>
      </c>
      <c r="BA30" s="5">
        <f t="shared" si="30"/>
        <v>0.85902131565840223</v>
      </c>
      <c r="BB30" s="469">
        <f t="shared" si="31"/>
        <v>52.396140050615259</v>
      </c>
      <c r="BC30" s="5"/>
      <c r="BD30" s="177">
        <f t="shared" si="57"/>
        <v>0.48886861200809173</v>
      </c>
      <c r="BE30" s="177">
        <f t="shared" si="32"/>
        <v>0.6421294507465245</v>
      </c>
      <c r="BF30" s="177">
        <f t="shared" si="33"/>
        <v>1.0542010278915652</v>
      </c>
      <c r="BG30" s="177"/>
      <c r="BH30" s="538">
        <f t="shared" si="34"/>
        <v>2.6289177178738993E-2</v>
      </c>
      <c r="BI30" s="538">
        <f t="shared" si="35"/>
        <v>6.9472854011077195E-2</v>
      </c>
      <c r="BJ30" s="538">
        <f t="shared" si="36"/>
        <v>1.7499999999999998E-2</v>
      </c>
      <c r="BK30" s="538">
        <f t="shared" si="37"/>
        <v>6.3516599999999993E-2</v>
      </c>
      <c r="BL30">
        <f t="shared" si="38"/>
        <v>3.48E-3</v>
      </c>
      <c r="BM30">
        <f t="shared" si="39"/>
        <v>2.4500000000000003E-5</v>
      </c>
      <c r="BN30">
        <f t="shared" si="40"/>
        <v>0.18116183005001082</v>
      </c>
      <c r="BO30" s="469">
        <f t="shared" si="58"/>
        <v>181.16183005001082</v>
      </c>
      <c r="BP30" s="177">
        <f t="shared" si="41"/>
        <v>9.4500000000000001E-2</v>
      </c>
      <c r="BQ30" s="177">
        <f t="shared" si="42"/>
        <v>0.16312499999999999</v>
      </c>
      <c r="BR30" s="538"/>
      <c r="BT30" s="469">
        <f t="shared" si="59"/>
        <v>257.625</v>
      </c>
      <c r="BU30" s="538">
        <f t="shared" si="43"/>
        <v>1.1471640950722469E-2</v>
      </c>
      <c r="BV30" s="538">
        <f t="shared" si="60"/>
        <v>9.8959255563847964E-2</v>
      </c>
      <c r="BW30" s="538">
        <f t="shared" si="44"/>
        <v>0.26672155372983181</v>
      </c>
      <c r="BX30" s="538">
        <f t="shared" si="45"/>
        <v>0</v>
      </c>
      <c r="BY30" s="538">
        <f t="shared" si="46"/>
        <v>0.38888599470592805</v>
      </c>
      <c r="BZ30" s="538">
        <f t="shared" si="61"/>
        <v>0.37715245024440225</v>
      </c>
      <c r="CA30" s="641">
        <f t="shared" si="47"/>
        <v>3.4194444444444451E-2</v>
      </c>
      <c r="CB30" s="469">
        <f t="shared" si="62"/>
        <v>423.08043915037251</v>
      </c>
      <c r="CC30" s="177">
        <f t="shared" si="63"/>
        <v>0.86186726920038326</v>
      </c>
      <c r="CD30" s="5">
        <f t="shared" si="64"/>
        <v>3.0774999999999997</v>
      </c>
      <c r="CE30" s="177">
        <f t="shared" si="65"/>
        <v>0.78121682739793752</v>
      </c>
      <c r="CF30" s="5">
        <f t="shared" si="66"/>
        <v>78.121682739793755</v>
      </c>
      <c r="CG30">
        <f t="shared" si="67"/>
        <v>25</v>
      </c>
      <c r="CI30" s="571">
        <f t="shared" si="48"/>
        <v>-50</v>
      </c>
      <c r="CJ30">
        <f t="shared" si="49"/>
        <v>-50</v>
      </c>
    </row>
    <row r="31" spans="5:88" x14ac:dyDescent="0.2">
      <c r="E31" s="174">
        <v>26</v>
      </c>
      <c r="F31" s="221">
        <f t="shared" si="68"/>
        <v>0.10920000000000001</v>
      </c>
      <c r="G31" s="221">
        <f t="shared" si="50"/>
        <v>0.1885</v>
      </c>
      <c r="H31" s="221">
        <f t="shared" si="0"/>
        <v>1.6926000000000001</v>
      </c>
      <c r="I31" s="221">
        <f t="shared" si="69"/>
        <v>1.508</v>
      </c>
      <c r="J31" s="551">
        <f t="shared" si="1"/>
        <v>12</v>
      </c>
      <c r="K31" s="451">
        <f t="shared" si="2"/>
        <v>16.399999999999999</v>
      </c>
      <c r="L31" s="451">
        <f t="shared" si="3"/>
        <v>28.4</v>
      </c>
      <c r="M31" s="451"/>
      <c r="N31" s="221">
        <f t="shared" si="4"/>
        <v>0.57746478873239437</v>
      </c>
      <c r="O31" s="176">
        <f t="shared" si="51"/>
        <v>6.7612354549719109</v>
      </c>
      <c r="P31" s="176">
        <f t="shared" si="5"/>
        <v>11.390692542350877</v>
      </c>
      <c r="Q31" s="221">
        <f t="shared" si="6"/>
        <v>0.43620873903044588</v>
      </c>
      <c r="R31" s="221">
        <f t="shared" si="7"/>
        <v>0.84515443187148886</v>
      </c>
      <c r="S31" s="451">
        <f t="shared" si="8"/>
        <v>15.5</v>
      </c>
      <c r="T31" s="221">
        <f t="shared" si="9"/>
        <v>1.0263893405600721</v>
      </c>
      <c r="U31" s="221">
        <f t="shared" si="10"/>
        <v>0.7697920054200541</v>
      </c>
      <c r="V31" s="221">
        <f t="shared" si="11"/>
        <v>0.56326244299028361</v>
      </c>
      <c r="W31" s="201">
        <f t="shared" si="12"/>
        <v>350</v>
      </c>
      <c r="X31" s="451">
        <f t="shared" si="52"/>
        <v>350</v>
      </c>
      <c r="Z31" s="221">
        <f t="shared" si="13"/>
        <v>2.1998658618376927</v>
      </c>
      <c r="AA31" s="177">
        <f t="shared" si="14"/>
        <v>1.2072434607645877</v>
      </c>
      <c r="AB31" s="177">
        <f t="shared" si="15"/>
        <v>0.46476039334599145</v>
      </c>
      <c r="AC31" s="177"/>
      <c r="AD31" s="177">
        <f t="shared" si="16"/>
        <v>0.45</v>
      </c>
      <c r="AE31" s="555">
        <f t="shared" si="17"/>
        <v>591.869918699187</v>
      </c>
      <c r="AF31" s="538">
        <f t="shared" si="18"/>
        <v>6.4574999999999994E-2</v>
      </c>
      <c r="AH31" s="177">
        <f t="shared" si="19"/>
        <v>1.4255269145572047</v>
      </c>
      <c r="AI31" s="177">
        <f t="shared" si="20"/>
        <v>1.4255269145572047</v>
      </c>
      <c r="AJ31" s="177">
        <f t="shared" si="21"/>
        <v>1.648538455227559</v>
      </c>
      <c r="AL31" s="555">
        <f t="shared" si="22"/>
        <v>109.2</v>
      </c>
      <c r="AM31" s="469">
        <f t="shared" si="23"/>
        <v>350</v>
      </c>
      <c r="AO31">
        <f t="shared" si="53"/>
        <v>109.2</v>
      </c>
      <c r="AP31" s="469">
        <f t="shared" si="24"/>
        <v>350</v>
      </c>
      <c r="AQ31" s="469"/>
      <c r="AR31" s="5">
        <f t="shared" si="54"/>
        <v>2.8571428571428572</v>
      </c>
      <c r="AS31" s="5">
        <f t="shared" si="25"/>
        <v>1.0691451859179035</v>
      </c>
      <c r="AT31" s="5">
        <f t="shared" si="55"/>
        <v>1.7879976712249537</v>
      </c>
      <c r="AU31" s="177">
        <f t="shared" si="56"/>
        <v>0.37420081507126624</v>
      </c>
      <c r="AW31" s="5">
        <f t="shared" si="26"/>
        <v>4.6051229968782526</v>
      </c>
      <c r="AX31" s="5">
        <f t="shared" si="27"/>
        <v>2.4116944891495611</v>
      </c>
      <c r="AY31" s="5">
        <f t="shared" si="28"/>
        <v>15.170308270746586</v>
      </c>
      <c r="AZ31" s="5">
        <f t="shared" si="29"/>
        <v>4.1061375967362528</v>
      </c>
      <c r="BA31" s="5">
        <f t="shared" si="30"/>
        <v>0.88312736829052263</v>
      </c>
      <c r="BB31" s="469">
        <f t="shared" si="31"/>
        <v>53.876697652986905</v>
      </c>
      <c r="BC31" s="5"/>
      <c r="BD31" s="177">
        <f t="shared" si="57"/>
        <v>0.50346253544450603</v>
      </c>
      <c r="BE31" s="177">
        <f t="shared" si="32"/>
        <v>0.65107690542627206</v>
      </c>
      <c r="BF31" s="177">
        <f t="shared" si="33"/>
        <v>1.0688903026311638</v>
      </c>
      <c r="BG31" s="177"/>
      <c r="BH31" s="538">
        <f t="shared" si="34"/>
        <v>2.7882197705583155E-2</v>
      </c>
      <c r="BI31" s="538">
        <f t="shared" si="35"/>
        <v>7.0848687653493073E-2</v>
      </c>
      <c r="BJ31" s="538">
        <f t="shared" si="36"/>
        <v>1.7499999999999998E-2</v>
      </c>
      <c r="BK31" s="538">
        <f t="shared" si="37"/>
        <v>6.3516599999999993E-2</v>
      </c>
      <c r="BL31">
        <f t="shared" si="38"/>
        <v>3.48E-3</v>
      </c>
      <c r="BM31">
        <f t="shared" si="39"/>
        <v>2.4500000000000003E-5</v>
      </c>
      <c r="BN31">
        <f t="shared" si="40"/>
        <v>0.18419955677983851</v>
      </c>
      <c r="BO31" s="469">
        <f t="shared" si="58"/>
        <v>184.1995567798385</v>
      </c>
      <c r="BP31" s="177">
        <f t="shared" si="41"/>
        <v>9.8280000000000006E-2</v>
      </c>
      <c r="BQ31" s="177">
        <f t="shared" si="42"/>
        <v>0.16965</v>
      </c>
      <c r="BR31" s="538"/>
      <c r="BT31" s="469">
        <f t="shared" si="59"/>
        <v>267.93</v>
      </c>
      <c r="BU31" s="538">
        <f t="shared" si="43"/>
        <v>1.2166777180618104E-2</v>
      </c>
      <c r="BV31" s="538">
        <f t="shared" si="60"/>
        <v>0.10173627282706818</v>
      </c>
      <c r="BW31" s="538">
        <f t="shared" si="44"/>
        <v>0.27420635497414581</v>
      </c>
      <c r="BX31" s="538">
        <f t="shared" si="45"/>
        <v>0</v>
      </c>
      <c r="BY31" s="538">
        <f t="shared" si="46"/>
        <v>0.40054585402780579</v>
      </c>
      <c r="BZ31" s="538">
        <f t="shared" si="61"/>
        <v>0.38810940498183211</v>
      </c>
      <c r="CA31" s="641">
        <f t="shared" si="47"/>
        <v>3.5562222222222231E-2</v>
      </c>
      <c r="CB31" s="469">
        <f t="shared" si="62"/>
        <v>436.10807625002803</v>
      </c>
      <c r="CC31" s="177">
        <f t="shared" si="63"/>
        <v>0.88823763302986647</v>
      </c>
      <c r="CD31" s="5">
        <f t="shared" si="64"/>
        <v>3.2006000000000001</v>
      </c>
      <c r="CE31" s="177">
        <f t="shared" si="65"/>
        <v>0.78276524705832495</v>
      </c>
      <c r="CF31" s="5">
        <f t="shared" si="66"/>
        <v>78.2765247058325</v>
      </c>
      <c r="CG31">
        <f t="shared" si="67"/>
        <v>26</v>
      </c>
      <c r="CI31" s="571">
        <f t="shared" si="48"/>
        <v>-50</v>
      </c>
      <c r="CJ31">
        <f t="shared" si="49"/>
        <v>-50</v>
      </c>
    </row>
    <row r="32" spans="5:88" x14ac:dyDescent="0.2">
      <c r="E32" s="174">
        <v>27</v>
      </c>
      <c r="F32" s="221">
        <f t="shared" si="68"/>
        <v>0.1134</v>
      </c>
      <c r="G32" s="221">
        <f t="shared" si="50"/>
        <v>0.19575000000000001</v>
      </c>
      <c r="H32" s="221">
        <f t="shared" si="0"/>
        <v>1.7577</v>
      </c>
      <c r="I32" s="221">
        <f t="shared" si="69"/>
        <v>1.5660000000000001</v>
      </c>
      <c r="J32" s="551">
        <f t="shared" si="1"/>
        <v>12</v>
      </c>
      <c r="K32" s="451">
        <f t="shared" si="2"/>
        <v>16.399999999999999</v>
      </c>
      <c r="L32" s="451">
        <f t="shared" si="3"/>
        <v>28.4</v>
      </c>
      <c r="M32" s="451"/>
      <c r="N32" s="221">
        <f t="shared" si="4"/>
        <v>0.57746478873239437</v>
      </c>
      <c r="O32" s="176">
        <f t="shared" si="51"/>
        <v>6.7612354549719109</v>
      </c>
      <c r="P32" s="176">
        <f t="shared" si="5"/>
        <v>11.390692542350877</v>
      </c>
      <c r="Q32" s="221">
        <f t="shared" si="6"/>
        <v>0.43620873903044588</v>
      </c>
      <c r="R32" s="221">
        <f t="shared" si="7"/>
        <v>0.84515443187148886</v>
      </c>
      <c r="S32" s="451">
        <f t="shared" si="8"/>
        <v>15.5</v>
      </c>
      <c r="T32" s="221">
        <f t="shared" si="9"/>
        <v>1.0658658536585366</v>
      </c>
      <c r="U32" s="221">
        <f t="shared" si="10"/>
        <v>0.79939939024390239</v>
      </c>
      <c r="V32" s="221">
        <f t="shared" si="11"/>
        <v>0.58492638310529455</v>
      </c>
      <c r="W32" s="201">
        <f t="shared" si="12"/>
        <v>350</v>
      </c>
      <c r="X32" s="451">
        <f t="shared" si="52"/>
        <v>350</v>
      </c>
      <c r="Z32" s="221">
        <f t="shared" si="13"/>
        <v>2.1998658618376927</v>
      </c>
      <c r="AA32" s="177">
        <f t="shared" si="14"/>
        <v>1.2072434607645877</v>
      </c>
      <c r="AB32" s="177">
        <f t="shared" si="15"/>
        <v>0.46476039334599145</v>
      </c>
      <c r="AC32" s="177"/>
      <c r="AD32" s="177">
        <f t="shared" si="16"/>
        <v>0.45</v>
      </c>
      <c r="AE32" s="555">
        <f t="shared" si="17"/>
        <v>614.63414634146341</v>
      </c>
      <c r="AF32" s="538">
        <f t="shared" si="18"/>
        <v>6.4574999999999994E-2</v>
      </c>
      <c r="AH32" s="177">
        <f t="shared" si="19"/>
        <v>1.4526822482173156</v>
      </c>
      <c r="AI32" s="177">
        <f t="shared" si="20"/>
        <v>1.4526822482173156</v>
      </c>
      <c r="AJ32" s="177">
        <f t="shared" si="21"/>
        <v>1.6686535171980115</v>
      </c>
      <c r="AL32" s="555">
        <f t="shared" si="22"/>
        <v>113.4</v>
      </c>
      <c r="AM32" s="469">
        <f t="shared" si="23"/>
        <v>350</v>
      </c>
      <c r="AO32">
        <f t="shared" si="53"/>
        <v>113.4</v>
      </c>
      <c r="AP32" s="469">
        <f t="shared" si="24"/>
        <v>350</v>
      </c>
      <c r="AQ32" s="469"/>
      <c r="AR32" s="5">
        <f t="shared" si="54"/>
        <v>2.8571428571428572</v>
      </c>
      <c r="AS32" s="5">
        <f t="shared" si="25"/>
        <v>1.0895116861629868</v>
      </c>
      <c r="AT32" s="5">
        <f t="shared" si="55"/>
        <v>1.7676311709798704</v>
      </c>
      <c r="AU32" s="177">
        <f t="shared" si="56"/>
        <v>0.38132909015704536</v>
      </c>
      <c r="AW32" s="5">
        <f t="shared" si="26"/>
        <v>4.6051229968782526</v>
      </c>
      <c r="AX32" s="5">
        <f t="shared" si="27"/>
        <v>2.5920539683284463</v>
      </c>
      <c r="AY32" s="5">
        <f t="shared" si="28"/>
        <v>15.170308270746586</v>
      </c>
      <c r="AZ32" s="5">
        <f t="shared" si="29"/>
        <v>4.4130108106815502</v>
      </c>
      <c r="BA32" s="5">
        <f t="shared" si="30"/>
        <v>0.90664748811509177</v>
      </c>
      <c r="BB32" s="469">
        <f t="shared" si="31"/>
        <v>55.322099286905512</v>
      </c>
      <c r="BC32" s="5"/>
      <c r="BD32" s="177">
        <f t="shared" si="57"/>
        <v>0.51791676660765429</v>
      </c>
      <c r="BE32" s="177">
        <f t="shared" si="32"/>
        <v>0.65968992283893813</v>
      </c>
      <c r="BF32" s="177">
        <f t="shared" si="33"/>
        <v>1.083030522798802</v>
      </c>
      <c r="BG32" s="177"/>
      <c r="BH32" s="538">
        <f t="shared" si="34"/>
        <v>2.9506155484666022E-2</v>
      </c>
      <c r="BI32" s="538">
        <f t="shared" si="35"/>
        <v>7.2198307736400583E-2</v>
      </c>
      <c r="BJ32" s="538">
        <f t="shared" si="36"/>
        <v>1.7499999999999998E-2</v>
      </c>
      <c r="BK32" s="538">
        <f t="shared" si="37"/>
        <v>6.3516599999999993E-2</v>
      </c>
      <c r="BL32">
        <f t="shared" si="38"/>
        <v>3.48E-3</v>
      </c>
      <c r="BM32">
        <f t="shared" si="39"/>
        <v>2.4500000000000003E-5</v>
      </c>
      <c r="BN32">
        <f t="shared" si="40"/>
        <v>0.1872449030688319</v>
      </c>
      <c r="BO32" s="469">
        <f t="shared" si="58"/>
        <v>187.24490306883189</v>
      </c>
      <c r="BP32" s="177">
        <f t="shared" si="41"/>
        <v>0.10206</v>
      </c>
      <c r="BQ32" s="177">
        <f t="shared" si="42"/>
        <v>0.176175</v>
      </c>
      <c r="BR32" s="538"/>
      <c r="BT32" s="469">
        <f t="shared" si="59"/>
        <v>278.23500000000001</v>
      </c>
      <c r="BU32" s="538">
        <f t="shared" si="43"/>
        <v>1.2875413302399719E-2</v>
      </c>
      <c r="BV32" s="538">
        <f t="shared" si="60"/>
        <v>0.1044457906308586</v>
      </c>
      <c r="BW32" s="538">
        <f t="shared" si="44"/>
        <v>0.28150922719532312</v>
      </c>
      <c r="BX32" s="538">
        <f t="shared" si="45"/>
        <v>0</v>
      </c>
      <c r="BY32" s="538">
        <f t="shared" si="46"/>
        <v>0.41197508726193438</v>
      </c>
      <c r="BZ32" s="538">
        <f t="shared" si="61"/>
        <v>0.39883043112858141</v>
      </c>
      <c r="CA32" s="641">
        <f t="shared" si="47"/>
        <v>3.6930000000000011E-2</v>
      </c>
      <c r="CB32" s="469">
        <f t="shared" si="62"/>
        <v>448.9050872619344</v>
      </c>
      <c r="CC32" s="177">
        <f t="shared" si="63"/>
        <v>0.91438499033076626</v>
      </c>
      <c r="CD32" s="5">
        <f t="shared" si="64"/>
        <v>3.3237000000000001</v>
      </c>
      <c r="CE32" s="177">
        <f t="shared" si="65"/>
        <v>0.78424571654014841</v>
      </c>
      <c r="CF32" s="5">
        <f t="shared" si="66"/>
        <v>78.424571654014841</v>
      </c>
      <c r="CG32">
        <f t="shared" si="67"/>
        <v>27</v>
      </c>
      <c r="CI32" s="571">
        <f t="shared" si="48"/>
        <v>-50</v>
      </c>
      <c r="CJ32">
        <f t="shared" si="49"/>
        <v>-50</v>
      </c>
    </row>
    <row r="33" spans="5:88" x14ac:dyDescent="0.2">
      <c r="E33" s="174">
        <v>28</v>
      </c>
      <c r="F33" s="221">
        <f t="shared" si="68"/>
        <v>0.11760000000000001</v>
      </c>
      <c r="G33" s="221">
        <f t="shared" si="50"/>
        <v>0.20300000000000001</v>
      </c>
      <c r="H33" s="221">
        <f t="shared" si="0"/>
        <v>1.8228000000000002</v>
      </c>
      <c r="I33" s="221">
        <f t="shared" si="69"/>
        <v>1.6240000000000001</v>
      </c>
      <c r="J33" s="551">
        <f t="shared" si="1"/>
        <v>12</v>
      </c>
      <c r="K33" s="451">
        <f t="shared" si="2"/>
        <v>16.399999999999999</v>
      </c>
      <c r="L33" s="451">
        <f t="shared" si="3"/>
        <v>28.4</v>
      </c>
      <c r="M33" s="451"/>
      <c r="N33" s="221">
        <f t="shared" si="4"/>
        <v>0.57746478873239437</v>
      </c>
      <c r="O33" s="176">
        <f t="shared" si="51"/>
        <v>6.7612354549719109</v>
      </c>
      <c r="P33" s="176">
        <f t="shared" si="5"/>
        <v>11.390692542350877</v>
      </c>
      <c r="Q33" s="221">
        <f t="shared" si="6"/>
        <v>0.43620873903044588</v>
      </c>
      <c r="R33" s="221">
        <f t="shared" si="7"/>
        <v>0.84515443187148886</v>
      </c>
      <c r="S33" s="451">
        <f t="shared" si="8"/>
        <v>15.5</v>
      </c>
      <c r="T33" s="221">
        <f t="shared" si="9"/>
        <v>1.105342366757001</v>
      </c>
      <c r="U33" s="221">
        <f t="shared" si="10"/>
        <v>0.82900677506775078</v>
      </c>
      <c r="V33" s="221">
        <f t="shared" si="11"/>
        <v>0.60659032322030548</v>
      </c>
      <c r="W33" s="201">
        <f t="shared" si="12"/>
        <v>350</v>
      </c>
      <c r="X33" s="451">
        <f t="shared" si="52"/>
        <v>350</v>
      </c>
      <c r="Z33" s="221">
        <f t="shared" si="13"/>
        <v>2.1998658618376927</v>
      </c>
      <c r="AA33" s="177">
        <f t="shared" si="14"/>
        <v>1.2072434607645877</v>
      </c>
      <c r="AB33" s="177">
        <f t="shared" si="15"/>
        <v>0.46476039334599145</v>
      </c>
      <c r="AC33" s="177"/>
      <c r="AD33" s="177">
        <f t="shared" si="16"/>
        <v>0.45</v>
      </c>
      <c r="AE33" s="555">
        <f t="shared" si="17"/>
        <v>637.39837398373993</v>
      </c>
      <c r="AF33" s="538">
        <f t="shared" si="18"/>
        <v>6.4574999999999994E-2</v>
      </c>
      <c r="AH33" s="177">
        <f t="shared" si="19"/>
        <v>1.4793391918165506</v>
      </c>
      <c r="AI33" s="177">
        <f t="shared" si="20"/>
        <v>1.4793391918165506</v>
      </c>
      <c r="AJ33" s="177">
        <f t="shared" si="21"/>
        <v>1.688399401345593</v>
      </c>
      <c r="AL33" s="555">
        <f t="shared" si="22"/>
        <v>117.60000000000001</v>
      </c>
      <c r="AM33" s="469">
        <f t="shared" si="23"/>
        <v>350</v>
      </c>
      <c r="AO33">
        <f t="shared" si="53"/>
        <v>117.60000000000001</v>
      </c>
      <c r="AP33" s="469">
        <f t="shared" si="24"/>
        <v>350</v>
      </c>
      <c r="AQ33" s="469"/>
      <c r="AR33" s="5">
        <f t="shared" si="54"/>
        <v>2.8571428571428572</v>
      </c>
      <c r="AS33" s="5">
        <f t="shared" si="25"/>
        <v>1.109504393862413</v>
      </c>
      <c r="AT33" s="5">
        <f t="shared" si="55"/>
        <v>1.7476384632804443</v>
      </c>
      <c r="AU33" s="177">
        <f t="shared" si="56"/>
        <v>0.38832653785184451</v>
      </c>
      <c r="AW33" s="5">
        <f t="shared" si="26"/>
        <v>4.6051229968782526</v>
      </c>
      <c r="AX33" s="5">
        <f t="shared" si="27"/>
        <v>2.778902484457479</v>
      </c>
      <c r="AY33" s="5">
        <f t="shared" si="28"/>
        <v>15.170308270746586</v>
      </c>
      <c r="AZ33" s="5">
        <f t="shared" si="29"/>
        <v>4.7309169760964815</v>
      </c>
      <c r="BA33" s="5">
        <f t="shared" si="30"/>
        <v>0.92959263198071518</v>
      </c>
      <c r="BB33" s="469">
        <f t="shared" si="31"/>
        <v>56.733002363287376</v>
      </c>
      <c r="BC33" s="5"/>
      <c r="BD33" s="177">
        <f t="shared" si="57"/>
        <v>0.53223774587184081</v>
      </c>
      <c r="BE33" s="177">
        <f t="shared" si="32"/>
        <v>0.66798537659947577</v>
      </c>
      <c r="BF33" s="177">
        <f t="shared" si="33"/>
        <v>1.0966493902577215</v>
      </c>
      <c r="BG33" s="177"/>
      <c r="BH33" s="538">
        <f t="shared" si="34"/>
        <v>3.1160471994381201E-2</v>
      </c>
      <c r="BI33" s="538">
        <f t="shared" si="35"/>
        <v>7.352315783328256E-2</v>
      </c>
      <c r="BJ33" s="538">
        <f t="shared" si="36"/>
        <v>1.7499999999999998E-2</v>
      </c>
      <c r="BK33" s="538">
        <f t="shared" si="37"/>
        <v>6.3516599999999993E-2</v>
      </c>
      <c r="BL33">
        <f t="shared" si="38"/>
        <v>3.48E-3</v>
      </c>
      <c r="BM33">
        <f t="shared" si="39"/>
        <v>2.4500000000000003E-5</v>
      </c>
      <c r="BN33">
        <f t="shared" si="40"/>
        <v>0.19029877787944979</v>
      </c>
      <c r="BO33" s="469">
        <f t="shared" si="58"/>
        <v>190.2987778794498</v>
      </c>
      <c r="BP33" s="177">
        <f t="shared" si="41"/>
        <v>0.10584000000000002</v>
      </c>
      <c r="BQ33" s="177">
        <f t="shared" si="42"/>
        <v>0.18270000000000003</v>
      </c>
      <c r="BR33" s="538"/>
      <c r="BT33" s="469">
        <f t="shared" si="59"/>
        <v>288.54000000000002</v>
      </c>
      <c r="BU33" s="538">
        <f t="shared" si="43"/>
        <v>1.3597296870275433E-2</v>
      </c>
      <c r="BV33" s="538">
        <f t="shared" si="60"/>
        <v>0.10708907120417843</v>
      </c>
      <c r="BW33" s="538">
        <f t="shared" si="44"/>
        <v>0.28863357243663174</v>
      </c>
      <c r="BX33" s="538">
        <f t="shared" si="45"/>
        <v>0</v>
      </c>
      <c r="BY33" s="538">
        <f t="shared" si="46"/>
        <v>0.42317712744148567</v>
      </c>
      <c r="BZ33" s="538">
        <f t="shared" si="61"/>
        <v>0.40931994051108561</v>
      </c>
      <c r="CA33" s="641">
        <f t="shared" si="47"/>
        <v>3.8297777777777799E-2</v>
      </c>
      <c r="CB33" s="469">
        <f t="shared" si="62"/>
        <v>461.47490521926346</v>
      </c>
      <c r="CC33" s="177">
        <f t="shared" si="63"/>
        <v>0.94031368309871333</v>
      </c>
      <c r="CD33" s="5">
        <f t="shared" si="64"/>
        <v>3.4468000000000005</v>
      </c>
      <c r="CE33" s="177">
        <f t="shared" si="65"/>
        <v>0.78566461892217265</v>
      </c>
      <c r="CF33" s="5">
        <f t="shared" si="66"/>
        <v>78.566461892217262</v>
      </c>
      <c r="CG33">
        <f t="shared" si="67"/>
        <v>28.000000000000004</v>
      </c>
      <c r="CI33" s="571">
        <f t="shared" si="48"/>
        <v>-50</v>
      </c>
      <c r="CJ33">
        <f t="shared" si="49"/>
        <v>-50</v>
      </c>
    </row>
    <row r="34" spans="5:88" x14ac:dyDescent="0.2">
      <c r="E34" s="174">
        <v>29</v>
      </c>
      <c r="F34" s="221">
        <f t="shared" si="68"/>
        <v>0.12179999999999999</v>
      </c>
      <c r="G34" s="221">
        <f t="shared" si="50"/>
        <v>0.21024999999999999</v>
      </c>
      <c r="H34" s="221">
        <f t="shared" si="0"/>
        <v>1.8878999999999999</v>
      </c>
      <c r="I34" s="221">
        <f t="shared" si="69"/>
        <v>1.6819999999999999</v>
      </c>
      <c r="J34" s="551">
        <f t="shared" si="1"/>
        <v>12</v>
      </c>
      <c r="K34" s="451">
        <f t="shared" si="2"/>
        <v>16.399999999999999</v>
      </c>
      <c r="L34" s="451">
        <f t="shared" si="3"/>
        <v>28.4</v>
      </c>
      <c r="M34" s="451"/>
      <c r="N34" s="221">
        <f t="shared" si="4"/>
        <v>0.57746478873239437</v>
      </c>
      <c r="O34" s="176">
        <f t="shared" si="51"/>
        <v>6.7612354549719109</v>
      </c>
      <c r="P34" s="176">
        <f t="shared" si="5"/>
        <v>11.390692542350877</v>
      </c>
      <c r="Q34" s="221">
        <f t="shared" si="6"/>
        <v>0.43620873903044588</v>
      </c>
      <c r="R34" s="221">
        <f t="shared" si="7"/>
        <v>0.84515443187148886</v>
      </c>
      <c r="S34" s="451">
        <f t="shared" si="8"/>
        <v>15.5</v>
      </c>
      <c r="T34" s="221">
        <f t="shared" si="9"/>
        <v>1.144818879855465</v>
      </c>
      <c r="U34" s="221">
        <f t="shared" si="10"/>
        <v>0.85861415989159873</v>
      </c>
      <c r="V34" s="221">
        <f t="shared" si="11"/>
        <v>0.62825426333531631</v>
      </c>
      <c r="W34" s="201">
        <f t="shared" si="12"/>
        <v>350</v>
      </c>
      <c r="X34" s="451">
        <f t="shared" si="52"/>
        <v>350</v>
      </c>
      <c r="Z34" s="221">
        <f t="shared" si="13"/>
        <v>2.1998658618376927</v>
      </c>
      <c r="AA34" s="177">
        <f t="shared" si="14"/>
        <v>1.2072434607645877</v>
      </c>
      <c r="AB34" s="177">
        <f t="shared" si="15"/>
        <v>0.46476039334599145</v>
      </c>
      <c r="AC34" s="177"/>
      <c r="AD34" s="177">
        <f t="shared" si="16"/>
        <v>0.45</v>
      </c>
      <c r="AE34" s="555">
        <f t="shared" si="17"/>
        <v>660.16260162601623</v>
      </c>
      <c r="AF34" s="538">
        <f t="shared" si="18"/>
        <v>6.4574999999999994E-2</v>
      </c>
      <c r="AH34" s="177">
        <f t="shared" si="19"/>
        <v>1.505524219201795</v>
      </c>
      <c r="AI34" s="177">
        <f t="shared" si="20"/>
        <v>1.505524219201795</v>
      </c>
      <c r="AJ34" s="177">
        <f t="shared" si="21"/>
        <v>1.7077957179272554</v>
      </c>
      <c r="AL34" s="555">
        <f t="shared" si="22"/>
        <v>121.8</v>
      </c>
      <c r="AM34" s="469">
        <f t="shared" si="23"/>
        <v>350</v>
      </c>
      <c r="AO34">
        <f t="shared" si="53"/>
        <v>121.8</v>
      </c>
      <c r="AP34" s="469">
        <f t="shared" si="24"/>
        <v>350</v>
      </c>
      <c r="AQ34" s="469"/>
      <c r="AR34" s="5">
        <f t="shared" si="54"/>
        <v>2.8571428571428572</v>
      </c>
      <c r="AS34" s="5">
        <f t="shared" si="25"/>
        <v>1.1291431644013463</v>
      </c>
      <c r="AT34" s="5">
        <f t="shared" si="55"/>
        <v>1.7279996927415109</v>
      </c>
      <c r="AU34" s="177">
        <f t="shared" si="56"/>
        <v>0.39520010754047119</v>
      </c>
      <c r="AW34" s="5">
        <f t="shared" si="26"/>
        <v>4.6051229968782526</v>
      </c>
      <c r="AX34" s="5">
        <f t="shared" si="27"/>
        <v>2.9722400375366571</v>
      </c>
      <c r="AY34" s="5">
        <f t="shared" si="28"/>
        <v>15.170308270746586</v>
      </c>
      <c r="AZ34" s="5">
        <f t="shared" si="29"/>
        <v>5.0598560929810468</v>
      </c>
      <c r="BA34" s="5">
        <f t="shared" si="30"/>
        <v>0.95197316406140697</v>
      </c>
      <c r="BB34" s="469">
        <f t="shared" si="31"/>
        <v>58.110028732573319</v>
      </c>
      <c r="BC34" s="5"/>
      <c r="BD34" s="177">
        <f t="shared" si="57"/>
        <v>0.5464313980591855</v>
      </c>
      <c r="BE34" s="177">
        <f t="shared" si="32"/>
        <v>0.67597863779077783</v>
      </c>
      <c r="BF34" s="177">
        <f t="shared" si="33"/>
        <v>1.1097721401242475</v>
      </c>
      <c r="BG34" s="177"/>
      <c r="BH34" s="538">
        <f t="shared" si="34"/>
        <v>3.2844600006340763E-2</v>
      </c>
      <c r="BI34" s="538">
        <f t="shared" si="35"/>
        <v>7.4824553694329207E-2</v>
      </c>
      <c r="BJ34" s="538">
        <f t="shared" si="36"/>
        <v>1.7499999999999998E-2</v>
      </c>
      <c r="BK34" s="538">
        <f t="shared" si="37"/>
        <v>6.3516599999999993E-2</v>
      </c>
      <c r="BL34">
        <f t="shared" si="38"/>
        <v>3.48E-3</v>
      </c>
      <c r="BM34">
        <f t="shared" si="39"/>
        <v>2.4500000000000003E-5</v>
      </c>
      <c r="BN34">
        <f t="shared" si="40"/>
        <v>0.1933619942632217</v>
      </c>
      <c r="BO34" s="469">
        <f t="shared" si="58"/>
        <v>193.3619942632217</v>
      </c>
      <c r="BP34" s="177">
        <f t="shared" si="41"/>
        <v>0.10962</v>
      </c>
      <c r="BQ34" s="177">
        <f t="shared" si="42"/>
        <v>0.189225</v>
      </c>
      <c r="BR34" s="538"/>
      <c r="BT34" s="469">
        <f t="shared" si="59"/>
        <v>298.84500000000003</v>
      </c>
      <c r="BU34" s="538">
        <f t="shared" si="43"/>
        <v>1.433218909367597E-2</v>
      </c>
      <c r="BV34" s="538">
        <f t="shared" si="60"/>
        <v>0.10966730849987413</v>
      </c>
      <c r="BW34" s="538">
        <f t="shared" si="44"/>
        <v>0.29558260871902858</v>
      </c>
      <c r="BX34" s="538">
        <f t="shared" si="45"/>
        <v>0</v>
      </c>
      <c r="BY34" s="538">
        <f t="shared" si="46"/>
        <v>0.4341552068035554</v>
      </c>
      <c r="BZ34" s="538">
        <f t="shared" si="61"/>
        <v>0.4195821063125787</v>
      </c>
      <c r="CA34" s="641">
        <f t="shared" si="47"/>
        <v>3.9665555555555558E-2</v>
      </c>
      <c r="CB34" s="469">
        <f t="shared" si="62"/>
        <v>473.82076235911097</v>
      </c>
      <c r="CC34" s="177">
        <f t="shared" si="63"/>
        <v>0.96602775662233265</v>
      </c>
      <c r="CD34" s="5">
        <f t="shared" si="64"/>
        <v>3.5698999999999996</v>
      </c>
      <c r="CE34" s="177">
        <f t="shared" si="65"/>
        <v>0.78702752590978597</v>
      </c>
      <c r="CF34" s="5">
        <f t="shared" si="66"/>
        <v>78.702752590978591</v>
      </c>
      <c r="CG34">
        <f t="shared" si="67"/>
        <v>28.999999999999996</v>
      </c>
      <c r="CI34" s="571">
        <f t="shared" si="48"/>
        <v>-50</v>
      </c>
      <c r="CJ34">
        <f t="shared" si="49"/>
        <v>-50</v>
      </c>
    </row>
    <row r="35" spans="5:88" x14ac:dyDescent="0.2">
      <c r="E35" s="174">
        <v>30</v>
      </c>
      <c r="F35" s="221">
        <f t="shared" si="68"/>
        <v>0.126</v>
      </c>
      <c r="G35" s="221">
        <f t="shared" si="50"/>
        <v>0.2175</v>
      </c>
      <c r="H35" s="221">
        <f t="shared" si="0"/>
        <v>1.9530000000000001</v>
      </c>
      <c r="I35" s="221">
        <f t="shared" si="69"/>
        <v>1.74</v>
      </c>
      <c r="J35" s="551">
        <f t="shared" si="1"/>
        <v>12</v>
      </c>
      <c r="K35" s="451">
        <f t="shared" si="2"/>
        <v>16.399999999999999</v>
      </c>
      <c r="L35" s="451">
        <f t="shared" si="3"/>
        <v>28.4</v>
      </c>
      <c r="M35" s="451"/>
      <c r="N35" s="221">
        <f t="shared" si="4"/>
        <v>0.57746478873239437</v>
      </c>
      <c r="O35" s="176">
        <f t="shared" si="51"/>
        <v>6.7612354549719109</v>
      </c>
      <c r="P35" s="176">
        <f t="shared" si="5"/>
        <v>11.390692542350877</v>
      </c>
      <c r="Q35" s="221">
        <f t="shared" si="6"/>
        <v>0.43620873903044588</v>
      </c>
      <c r="R35" s="221">
        <f t="shared" si="7"/>
        <v>0.84515443187148886</v>
      </c>
      <c r="S35" s="451">
        <f t="shared" si="8"/>
        <v>15.5</v>
      </c>
      <c r="T35" s="221">
        <f t="shared" si="9"/>
        <v>1.1842953929539295</v>
      </c>
      <c r="U35" s="221">
        <f t="shared" si="10"/>
        <v>0.88822154471544712</v>
      </c>
      <c r="V35" s="221">
        <f t="shared" si="11"/>
        <v>0.64991820345032725</v>
      </c>
      <c r="W35" s="201">
        <f t="shared" si="12"/>
        <v>350</v>
      </c>
      <c r="X35" s="451">
        <f t="shared" si="52"/>
        <v>350</v>
      </c>
      <c r="Z35" s="221">
        <f t="shared" si="13"/>
        <v>2.1998658618376927</v>
      </c>
      <c r="AA35" s="177">
        <f t="shared" si="14"/>
        <v>1.2072434607645877</v>
      </c>
      <c r="AB35" s="177">
        <f t="shared" si="15"/>
        <v>0.46476039334599145</v>
      </c>
      <c r="AC35" s="177"/>
      <c r="AD35" s="177">
        <f t="shared" si="16"/>
        <v>0.45</v>
      </c>
      <c r="AE35" s="555">
        <f t="shared" si="17"/>
        <v>682.92682926829275</v>
      </c>
      <c r="AF35" s="538">
        <f t="shared" si="18"/>
        <v>6.4574999999999994E-2</v>
      </c>
      <c r="AH35" s="177">
        <f t="shared" si="19"/>
        <v>1.5312615402869312</v>
      </c>
      <c r="AI35" s="177">
        <f t="shared" si="20"/>
        <v>1.5312615402869312</v>
      </c>
      <c r="AJ35" s="177">
        <f t="shared" si="21"/>
        <v>1.7268604002125416</v>
      </c>
      <c r="AL35" s="555">
        <f t="shared" si="22"/>
        <v>126</v>
      </c>
      <c r="AM35" s="469">
        <f t="shared" si="23"/>
        <v>350</v>
      </c>
      <c r="AO35">
        <f t="shared" si="53"/>
        <v>126</v>
      </c>
      <c r="AP35" s="469">
        <f t="shared" si="24"/>
        <v>350</v>
      </c>
      <c r="AQ35" s="469"/>
      <c r="AR35" s="5">
        <f t="shared" si="54"/>
        <v>2.8571428571428572</v>
      </c>
      <c r="AS35" s="5">
        <f t="shared" si="25"/>
        <v>1.1484461552151983</v>
      </c>
      <c r="AT35" s="5">
        <f t="shared" si="55"/>
        <v>1.7086967019276589</v>
      </c>
      <c r="AU35" s="177">
        <f t="shared" si="56"/>
        <v>0.40195615432531939</v>
      </c>
      <c r="AW35" s="5">
        <f t="shared" si="26"/>
        <v>4.6051229968782526</v>
      </c>
      <c r="AX35" s="5">
        <f t="shared" si="27"/>
        <v>3.1720666275659841</v>
      </c>
      <c r="AY35" s="5">
        <f t="shared" si="28"/>
        <v>15.170308270746586</v>
      </c>
      <c r="AZ35" s="5">
        <f t="shared" si="29"/>
        <v>5.3998281613352468</v>
      </c>
      <c r="BA35" s="5">
        <f t="shared" si="30"/>
        <v>0.97379890744117947</v>
      </c>
      <c r="BB35" s="469">
        <f t="shared" si="31"/>
        <v>59.45376777980411</v>
      </c>
      <c r="BC35" s="5"/>
      <c r="BD35" s="177">
        <f t="shared" si="57"/>
        <v>0.5605031900137013</v>
      </c>
      <c r="BE35" s="177">
        <f t="shared" si="32"/>
        <v>0.68368375406452819</v>
      </c>
      <c r="BF35" s="177">
        <f t="shared" si="33"/>
        <v>1.1224218348024286</v>
      </c>
      <c r="BG35" s="177"/>
      <c r="BH35" s="538">
        <f t="shared" si="34"/>
        <v>3.4558020861708887E-2</v>
      </c>
      <c r="BI35" s="538">
        <f t="shared" si="35"/>
        <v>7.6103698552260471E-2</v>
      </c>
      <c r="BJ35" s="538">
        <f t="shared" si="36"/>
        <v>1.7499999999999998E-2</v>
      </c>
      <c r="BK35" s="538">
        <f t="shared" si="37"/>
        <v>6.3516599999999993E-2</v>
      </c>
      <c r="BL35">
        <f t="shared" si="38"/>
        <v>3.48E-3</v>
      </c>
      <c r="BM35">
        <f t="shared" si="39"/>
        <v>2.4500000000000003E-5</v>
      </c>
      <c r="BN35">
        <f t="shared" si="40"/>
        <v>0.19643528190212503</v>
      </c>
      <c r="BO35" s="469">
        <f t="shared" si="58"/>
        <v>196.43528190212504</v>
      </c>
      <c r="BP35" s="177">
        <f t="shared" si="41"/>
        <v>0.1134</v>
      </c>
      <c r="BQ35" s="177">
        <f t="shared" si="42"/>
        <v>0.19575000000000001</v>
      </c>
      <c r="BR35" s="538"/>
      <c r="BT35" s="469">
        <f t="shared" si="59"/>
        <v>309.15000000000003</v>
      </c>
      <c r="BU35" s="538">
        <f t="shared" si="43"/>
        <v>1.5079863648745697E-2</v>
      </c>
      <c r="BV35" s="538">
        <f t="shared" si="60"/>
        <v>0.1121816341372239</v>
      </c>
      <c r="BW35" s="538">
        <f t="shared" si="44"/>
        <v>0.30235938605790008</v>
      </c>
      <c r="BX35" s="538">
        <f t="shared" si="45"/>
        <v>0</v>
      </c>
      <c r="BY35" s="538">
        <f t="shared" si="46"/>
        <v>0.44491237569003184</v>
      </c>
      <c r="BZ35" s="538">
        <f t="shared" si="61"/>
        <v>0.42962088384386965</v>
      </c>
      <c r="CA35" s="641">
        <f t="shared" si="47"/>
        <v>4.1033333333333345E-2</v>
      </c>
      <c r="CB35" s="469">
        <f t="shared" si="62"/>
        <v>485.94570902336523</v>
      </c>
      <c r="CC35" s="177">
        <f t="shared" si="63"/>
        <v>0.99153099092549024</v>
      </c>
      <c r="CD35" s="5">
        <f t="shared" si="64"/>
        <v>3.6930000000000001</v>
      </c>
      <c r="CE35" s="177">
        <f t="shared" si="65"/>
        <v>0.78833932514349736</v>
      </c>
      <c r="CF35" s="5">
        <f t="shared" si="66"/>
        <v>78.83393251434974</v>
      </c>
      <c r="CG35">
        <f t="shared" si="67"/>
        <v>30</v>
      </c>
      <c r="CI35" s="571">
        <f t="shared" si="48"/>
        <v>-50</v>
      </c>
      <c r="CJ35">
        <f t="shared" si="49"/>
        <v>-50</v>
      </c>
    </row>
    <row r="36" spans="5:88" x14ac:dyDescent="0.2">
      <c r="E36" s="174">
        <v>31</v>
      </c>
      <c r="F36" s="221">
        <f t="shared" si="68"/>
        <v>0.13019999999999998</v>
      </c>
      <c r="G36" s="221">
        <f t="shared" si="50"/>
        <v>0.22475000000000001</v>
      </c>
      <c r="H36" s="221">
        <f t="shared" si="0"/>
        <v>2.0180999999999996</v>
      </c>
      <c r="I36" s="221">
        <f t="shared" si="69"/>
        <v>1.798</v>
      </c>
      <c r="J36" s="551">
        <f t="shared" si="1"/>
        <v>12</v>
      </c>
      <c r="K36" s="451">
        <f t="shared" si="2"/>
        <v>16.399999999999999</v>
      </c>
      <c r="L36" s="451">
        <f t="shared" si="3"/>
        <v>28.4</v>
      </c>
      <c r="M36" s="451"/>
      <c r="N36" s="221">
        <f t="shared" si="4"/>
        <v>0.57746478873239437</v>
      </c>
      <c r="O36" s="176">
        <f t="shared" si="51"/>
        <v>6.7612354549719109</v>
      </c>
      <c r="P36" s="176">
        <f t="shared" si="5"/>
        <v>11.390692542350877</v>
      </c>
      <c r="Q36" s="221">
        <f t="shared" si="6"/>
        <v>0.43620873903044588</v>
      </c>
      <c r="R36" s="221">
        <f t="shared" si="7"/>
        <v>0.84515443187148886</v>
      </c>
      <c r="S36" s="451">
        <f t="shared" si="8"/>
        <v>15.5</v>
      </c>
      <c r="T36" s="221">
        <f t="shared" si="9"/>
        <v>1.2237719060523937</v>
      </c>
      <c r="U36" s="221">
        <f t="shared" si="10"/>
        <v>0.91782892953929529</v>
      </c>
      <c r="V36" s="221">
        <f t="shared" si="11"/>
        <v>0.67158214356533807</v>
      </c>
      <c r="W36" s="201">
        <f t="shared" si="12"/>
        <v>350</v>
      </c>
      <c r="X36" s="451">
        <f t="shared" si="52"/>
        <v>350</v>
      </c>
      <c r="Z36" s="221">
        <f t="shared" si="13"/>
        <v>2.1998658618376927</v>
      </c>
      <c r="AA36" s="177">
        <f t="shared" si="14"/>
        <v>1.2072434607645877</v>
      </c>
      <c r="AB36" s="177">
        <f t="shared" si="15"/>
        <v>0.46476039334599145</v>
      </c>
      <c r="AC36" s="177"/>
      <c r="AD36" s="177">
        <f t="shared" si="16"/>
        <v>0.45</v>
      </c>
      <c r="AE36" s="555">
        <f t="shared" si="17"/>
        <v>705.69105691056893</v>
      </c>
      <c r="AF36" s="538">
        <f t="shared" si="18"/>
        <v>6.4574999999999994E-2</v>
      </c>
      <c r="AH36" s="177">
        <f t="shared" si="19"/>
        <v>1.5565733631668746</v>
      </c>
      <c r="AI36" s="177">
        <f t="shared" si="20"/>
        <v>1.5565733631668746</v>
      </c>
      <c r="AJ36" s="177">
        <f t="shared" si="21"/>
        <v>1.7456098986421291</v>
      </c>
      <c r="AL36" s="555">
        <f t="shared" si="22"/>
        <v>130.19999999999999</v>
      </c>
      <c r="AM36" s="469">
        <f t="shared" si="23"/>
        <v>350</v>
      </c>
      <c r="AO36">
        <f t="shared" si="53"/>
        <v>130.19999999999999</v>
      </c>
      <c r="AP36" s="469">
        <f t="shared" si="24"/>
        <v>350</v>
      </c>
      <c r="AQ36" s="469"/>
      <c r="AR36" s="5">
        <f t="shared" si="54"/>
        <v>2.8571428571428572</v>
      </c>
      <c r="AS36" s="5">
        <f t="shared" si="25"/>
        <v>1.1674300223751561</v>
      </c>
      <c r="AT36" s="5">
        <f t="shared" si="55"/>
        <v>1.6897128347677011</v>
      </c>
      <c r="AU36" s="177">
        <f t="shared" si="56"/>
        <v>0.40860050783130464</v>
      </c>
      <c r="AW36" s="5">
        <f t="shared" si="26"/>
        <v>4.6051229968782526</v>
      </c>
      <c r="AX36" s="5">
        <f t="shared" si="27"/>
        <v>3.3783822545454543</v>
      </c>
      <c r="AY36" s="5">
        <f t="shared" si="28"/>
        <v>15.170308270746586</v>
      </c>
      <c r="AZ36" s="5">
        <f t="shared" si="29"/>
        <v>5.7508331811590807</v>
      </c>
      <c r="BA36" s="5">
        <f t="shared" si="30"/>
        <v>0.99507918962299713</v>
      </c>
      <c r="BB36" s="469">
        <f t="shared" si="31"/>
        <v>60.764779155157612</v>
      </c>
      <c r="BC36" s="5"/>
      <c r="BD36" s="177">
        <f t="shared" si="57"/>
        <v>0.57445818004548677</v>
      </c>
      <c r="BE36" s="177">
        <f t="shared" si="32"/>
        <v>0.69111360210824879</v>
      </c>
      <c r="BF36" s="177">
        <f t="shared" si="33"/>
        <v>1.1346196142932501</v>
      </c>
      <c r="BG36" s="177"/>
      <c r="BH36" s="538">
        <f t="shared" si="34"/>
        <v>3.6300242068329019E-2</v>
      </c>
      <c r="BI36" s="538">
        <f t="shared" si="35"/>
        <v>7.7361696149393658E-2</v>
      </c>
      <c r="BJ36" s="538">
        <f t="shared" si="36"/>
        <v>1.7499999999999998E-2</v>
      </c>
      <c r="BK36" s="538">
        <f t="shared" si="37"/>
        <v>6.3516599999999993E-2</v>
      </c>
      <c r="BL36">
        <f t="shared" si="38"/>
        <v>3.48E-3</v>
      </c>
      <c r="BM36">
        <f t="shared" si="39"/>
        <v>2.4500000000000003E-5</v>
      </c>
      <c r="BN36">
        <f t="shared" si="40"/>
        <v>0.19951929769700613</v>
      </c>
      <c r="BO36" s="469">
        <f t="shared" si="58"/>
        <v>199.51929769700612</v>
      </c>
      <c r="BP36" s="177">
        <f t="shared" si="41"/>
        <v>0.11717999999999999</v>
      </c>
      <c r="BQ36" s="177">
        <f t="shared" si="42"/>
        <v>0.20227500000000001</v>
      </c>
      <c r="BR36" s="538"/>
      <c r="BT36" s="469">
        <f t="shared" si="59"/>
        <v>319.45499999999998</v>
      </c>
      <c r="BU36" s="538">
        <f t="shared" si="43"/>
        <v>1.58401056298163E-2</v>
      </c>
      <c r="BV36" s="538">
        <f t="shared" si="60"/>
        <v>0.11463312264456932</v>
      </c>
      <c r="BW36" s="538">
        <f t="shared" si="44"/>
        <v>0.30896680059335124</v>
      </c>
      <c r="BX36" s="538">
        <f t="shared" si="45"/>
        <v>0</v>
      </c>
      <c r="BY36" s="538">
        <f t="shared" si="46"/>
        <v>0.45545151916615523</v>
      </c>
      <c r="BZ36" s="538">
        <f t="shared" si="61"/>
        <v>0.43944002886773686</v>
      </c>
      <c r="CA36" s="641">
        <f t="shared" si="47"/>
        <v>4.2401111111111112E-2</v>
      </c>
      <c r="CB36" s="469">
        <f t="shared" si="62"/>
        <v>497.85263027726631</v>
      </c>
      <c r="CC36" s="177">
        <f t="shared" si="63"/>
        <v>1.0168269279742725</v>
      </c>
      <c r="CD36" s="5">
        <f t="shared" si="64"/>
        <v>3.8160999999999996</v>
      </c>
      <c r="CE36" s="177">
        <f t="shared" si="65"/>
        <v>0.78960432401975567</v>
      </c>
      <c r="CF36" s="5">
        <f t="shared" si="66"/>
        <v>78.960432401975567</v>
      </c>
      <c r="CG36">
        <f t="shared" si="67"/>
        <v>30.999999999999993</v>
      </c>
      <c r="CI36" s="571">
        <f t="shared" si="48"/>
        <v>-50</v>
      </c>
      <c r="CJ36">
        <f t="shared" si="49"/>
        <v>-50</v>
      </c>
    </row>
    <row r="37" spans="5:88" x14ac:dyDescent="0.2">
      <c r="E37" s="174">
        <v>32</v>
      </c>
      <c r="F37" s="221">
        <f t="shared" si="68"/>
        <v>0.13439999999999999</v>
      </c>
      <c r="G37" s="221">
        <f t="shared" si="50"/>
        <v>0.23199999999999998</v>
      </c>
      <c r="H37" s="221">
        <f t="shared" ref="H37:H68" si="70">F37*Vout</f>
        <v>2.0831999999999997</v>
      </c>
      <c r="I37" s="221">
        <f t="shared" si="69"/>
        <v>1.8559999999999999</v>
      </c>
      <c r="J37" s="551">
        <f t="shared" si="1"/>
        <v>12</v>
      </c>
      <c r="K37" s="451">
        <f t="shared" si="2"/>
        <v>16.399999999999999</v>
      </c>
      <c r="L37" s="451">
        <f t="shared" si="3"/>
        <v>28.4</v>
      </c>
      <c r="M37" s="451"/>
      <c r="N37" s="221">
        <f t="shared" si="4"/>
        <v>0.57746478873239437</v>
      </c>
      <c r="O37" s="176">
        <f t="shared" si="51"/>
        <v>6.7612354549719109</v>
      </c>
      <c r="P37" s="176">
        <f t="shared" ref="P37:P68" si="71">N37*J37*Isw_max*0.5*Efficiency*(Pout2/Pout_total)</f>
        <v>11.390692542350877</v>
      </c>
      <c r="Q37" s="221">
        <f t="shared" si="6"/>
        <v>0.43620873903044588</v>
      </c>
      <c r="R37" s="221">
        <f t="shared" ref="R37:R68" si="72">O37/Vout2</f>
        <v>0.84515443187148886</v>
      </c>
      <c r="S37" s="451">
        <f t="shared" ref="S37:S68" si="73">MIN(Vout,O37/F37)</f>
        <v>15.5</v>
      </c>
      <c r="T37" s="221">
        <f t="shared" ref="T37:T68" si="74">MIN(2*(Vout*F37+Vout2*G37)/(Efficiency*J37*N37), Isw_max)</f>
        <v>1.2632484191508579</v>
      </c>
      <c r="U37" s="221">
        <f t="shared" si="10"/>
        <v>0.94743631436314346</v>
      </c>
      <c r="V37" s="221">
        <f t="shared" si="11"/>
        <v>0.6932460836803489</v>
      </c>
      <c r="W37" s="201">
        <f t="shared" si="12"/>
        <v>350</v>
      </c>
      <c r="X37" s="451">
        <f t="shared" si="52"/>
        <v>350</v>
      </c>
      <c r="Z37" s="221">
        <f t="shared" si="13"/>
        <v>2.1998658618376927</v>
      </c>
      <c r="AA37" s="177">
        <f t="shared" si="14"/>
        <v>1.2072434607645877</v>
      </c>
      <c r="AB37" s="177">
        <f t="shared" ref="AB37:AB68" si="75">0.5*AA37*Z37*Nps*W37/1000*(Pout/Pout_total)</f>
        <v>0.46476039334599145</v>
      </c>
      <c r="AC37" s="177"/>
      <c r="AD37" s="177">
        <f t="shared" si="16"/>
        <v>0.45</v>
      </c>
      <c r="AE37" s="555">
        <f t="shared" ref="AE37:AE68" si="76">MAX(10, F37/(0.5*AD37/1000000*Isw_min*Nps)/1000*Pout_total/Pout)</f>
        <v>728.45528455284557</v>
      </c>
      <c r="AF37" s="538">
        <f t="shared" ref="AF37:AF68" si="77">0.5*AD37/1000000*Isw_min*Nps*W37*1000*(Pout/Pout_total)</f>
        <v>6.4574999999999994E-2</v>
      </c>
      <c r="AH37" s="177">
        <f t="shared" ref="AH37:AH68" si="78">SQRT((H37+I37)/(0.5*L*Fsw_DCM))</f>
        <v>1.5814801184584537</v>
      </c>
      <c r="AI37" s="177">
        <f t="shared" ref="AI37:AI68" si="79">MAX(IF(F37&gt;AB37,T37,AH37),Isw_min)</f>
        <v>1.5814801184584537</v>
      </c>
      <c r="AJ37" s="177">
        <f t="shared" ref="AJ37:AJ68" si="80">IF(F37&gt;AF37, (AI37-Isw_min)/1.08*0.8+1.2, AE37*0.2/350+1)</f>
        <v>1.764059347006262</v>
      </c>
      <c r="AL37" s="555">
        <f t="shared" ref="AL37:AL68" si="81">F37*1000</f>
        <v>134.4</v>
      </c>
      <c r="AM37" s="469">
        <f t="shared" ref="AM37:AM68" si="82">IF(F37&gt;AF37, X37, AE37)</f>
        <v>350</v>
      </c>
      <c r="AO37">
        <f t="shared" si="53"/>
        <v>134.4</v>
      </c>
      <c r="AP37" s="469">
        <f t="shared" si="24"/>
        <v>350</v>
      </c>
      <c r="AQ37" s="469"/>
      <c r="AR37" s="5">
        <f t="shared" si="54"/>
        <v>2.8571428571428572</v>
      </c>
      <c r="AS37" s="5">
        <f t="shared" si="25"/>
        <v>1.1861100888438405</v>
      </c>
      <c r="AT37" s="5">
        <f t="shared" si="55"/>
        <v>1.6710327682990167</v>
      </c>
      <c r="AU37" s="177">
        <f t="shared" si="56"/>
        <v>0.41513853109534415</v>
      </c>
      <c r="AW37" s="5">
        <f t="shared" ref="AW37:AW68" si="83">L*Iout^2/(2*Vripple1_spec*Vout*Npri_sec1^2)*1000000000*((1+N37)/(1-N37))^2</f>
        <v>4.6051229968782526</v>
      </c>
      <c r="AX37" s="5">
        <f t="shared" ref="AX37:AX68" si="84">L*F37^2/(2*Cout*Vout*Nps^2)*1000000000*((1+N37)/(1-N37))^2+F37*RCoutEsr</f>
        <v>3.5911869184750738</v>
      </c>
      <c r="AY37" s="5">
        <f t="shared" ref="AY37:AY68" si="85">L*Iout2^2/(2*Vripple2_spec*Vout2*Npri_sec2^2)*1000000000*((1+N37)/(1-N37))^2</f>
        <v>15.170308270746586</v>
      </c>
      <c r="AZ37" s="5">
        <f t="shared" ref="AZ37:AZ68" si="86">L*G37^2/(2*Cout2*Vout2*Npri_sec2^2)*1000000000*((1+N37)/(1-N37))^2+G37*CoutEsr2</f>
        <v>6.112871152452545</v>
      </c>
      <c r="BA37" s="5">
        <f t="shared" ref="BA37:BA68" si="87">(H37+I37)/Efficiency/J37*AT37/Vinripple1</f>
        <v>1.0158228828523894</v>
      </c>
      <c r="BB37" s="469">
        <f t="shared" ref="BB37:BB68" si="88">((CD37/J37/Efficiency)*AT37/Cin+(CD37/J37/Efficiency)*RCinEsr)*1000</f>
        <v>62.043595193365611</v>
      </c>
      <c r="BC37" s="5"/>
      <c r="BD37" s="177">
        <f t="shared" si="57"/>
        <v>0.58830106061775422</v>
      </c>
      <c r="BE37" s="177">
        <f t="shared" ref="BE37:BE68" si="89">AI37*Npri_sec1*SQRT((1-AU37)/3)*(Pout/Pout_total)</f>
        <v>0.69828001816545415</v>
      </c>
      <c r="BF37" s="177">
        <f t="shared" ref="BF37:BF68" si="90">AI37*Npri_sec2*SQRT((1-AU37)/3)*(Pout2/Pout_total)</f>
        <v>1.1463849104730492</v>
      </c>
      <c r="BG37" s="177"/>
      <c r="BH37" s="538">
        <f t="shared" si="34"/>
        <v>3.8070795171637202E-2</v>
      </c>
      <c r="BI37" s="538">
        <f t="shared" si="35"/>
        <v>7.859956188738515E-2</v>
      </c>
      <c r="BJ37" s="538">
        <f t="shared" si="36"/>
        <v>1.7499999999999998E-2</v>
      </c>
      <c r="BK37" s="538">
        <f t="shared" si="37"/>
        <v>6.3516599999999993E-2</v>
      </c>
      <c r="BL37">
        <f t="shared" si="38"/>
        <v>3.48E-3</v>
      </c>
      <c r="BM37">
        <f t="shared" ref="BM37:BM68" si="91">(J37-Vdd)*Qg*AM37</f>
        <v>2.4500000000000003E-5</v>
      </c>
      <c r="BN37">
        <f t="shared" ref="BN37:BN68" si="92">(BI37+BJ37+BK37+BL37+BM37+BH37*(1+RdsonTC*(Ta-25)))/(1-BH37*RdsonTC*ThetaJA)</f>
        <v>0.202614634756734</v>
      </c>
      <c r="BO37" s="469">
        <f t="shared" si="58"/>
        <v>202.61463475673401</v>
      </c>
      <c r="BP37" s="177">
        <f t="shared" ref="BP37:BP68" si="93">(Vfwd2*F37+BE37^2*Rdiode)*(1+Diode_TC/1000*(Ta-25))</f>
        <v>0.12096</v>
      </c>
      <c r="BQ37" s="177">
        <f t="shared" ref="BQ37:BQ68" si="94">(Vfwd2*G37+BF37^2*Rdiode)*(1+Diode_TC/1000*(Ta-25))</f>
        <v>0.20879999999999999</v>
      </c>
      <c r="BR37" s="538"/>
      <c r="BT37" s="469">
        <f t="shared" si="59"/>
        <v>329.76</v>
      </c>
      <c r="BU37" s="538">
        <f t="shared" si="43"/>
        <v>1.6612710620350777E-2</v>
      </c>
      <c r="BV37" s="538">
        <f t="shared" si="60"/>
        <v>0.11702279610459528</v>
      </c>
      <c r="BW37" s="538">
        <f t="shared" ref="BW37:BW68" si="95">Rdcr_sec2*BF37^2</f>
        <v>0.31540760711047228</v>
      </c>
      <c r="BX37" s="538">
        <f t="shared" si="45"/>
        <v>0</v>
      </c>
      <c r="BY37" s="538">
        <f t="shared" ref="BY37:BY68" si="96">(BX37+(BU37+BV37+BW37)*(1+Ltc*(Ta-25)))/(1-(BU37+BV37+BW37)*Ltc*ThetaCa)</f>
        <v>0.46577537169574695</v>
      </c>
      <c r="BZ37" s="538">
        <f t="shared" si="61"/>
        <v>0.44904311383541834</v>
      </c>
      <c r="CA37" s="641">
        <f t="shared" ref="CA37:CA68" si="97">0.5*Lleak*0.000000001*AI37^2*AM37*1000</f>
        <v>4.3768888888888892E-2</v>
      </c>
      <c r="CB37" s="469">
        <f t="shared" si="62"/>
        <v>509.54426058463588</v>
      </c>
      <c r="CC37" s="177">
        <f t="shared" si="63"/>
        <v>1.0419188953413698</v>
      </c>
      <c r="CD37" s="5">
        <f t="shared" si="64"/>
        <v>3.9391999999999996</v>
      </c>
      <c r="CE37" s="177">
        <f t="shared" si="65"/>
        <v>0.790826334959434</v>
      </c>
      <c r="CF37" s="5">
        <f t="shared" si="66"/>
        <v>79.082633495943398</v>
      </c>
      <c r="CG37">
        <f t="shared" si="67"/>
        <v>32</v>
      </c>
      <c r="CI37" s="571">
        <f t="shared" ref="CI37:CI68" si="98">IF(ABS(F37-Ioutmax_Vinnom)&lt;Iout/200, AM37, -50)</f>
        <v>-50</v>
      </c>
      <c r="CJ37">
        <f t="shared" ref="CJ37:CJ68" si="99">IF(ABS(F37-Ioutmax_Vinnom)&lt;Iout/200, (O37+P37)*CE37, -50)</f>
        <v>-50</v>
      </c>
    </row>
    <row r="38" spans="5:88" x14ac:dyDescent="0.2">
      <c r="E38" s="174">
        <v>33</v>
      </c>
      <c r="F38" s="221">
        <f t="shared" si="68"/>
        <v>0.1386</v>
      </c>
      <c r="G38" s="221">
        <f t="shared" ref="G38:G69" si="100">IF(PLOT_TYPE=1, E38/100*Iout2, min_I*EXP(Q38*rr/100))</f>
        <v>0.23924999999999999</v>
      </c>
      <c r="H38" s="221">
        <f t="shared" si="70"/>
        <v>2.1482999999999999</v>
      </c>
      <c r="I38" s="221">
        <f t="shared" si="69"/>
        <v>1.9139999999999999</v>
      </c>
      <c r="J38" s="551">
        <f t="shared" si="1"/>
        <v>12</v>
      </c>
      <c r="K38" s="451">
        <f t="shared" si="2"/>
        <v>16.399999999999999</v>
      </c>
      <c r="L38" s="451">
        <f t="shared" si="3"/>
        <v>28.4</v>
      </c>
      <c r="M38" s="451"/>
      <c r="N38" s="221">
        <f t="shared" si="4"/>
        <v>0.57746478873239437</v>
      </c>
      <c r="O38" s="176">
        <f t="shared" ref="O38:O69" si="101">N38*J38*Isw_max*0.5*Efficiency*Pout/(Pout+Pout2)</f>
        <v>6.7612354549719109</v>
      </c>
      <c r="P38" s="176">
        <f t="shared" si="71"/>
        <v>11.390692542350877</v>
      </c>
      <c r="Q38" s="221">
        <f t="shared" si="6"/>
        <v>0.43620873903044588</v>
      </c>
      <c r="R38" s="221">
        <f t="shared" si="72"/>
        <v>0.84515443187148886</v>
      </c>
      <c r="S38" s="451">
        <f t="shared" si="73"/>
        <v>15.5</v>
      </c>
      <c r="T38" s="221">
        <f t="shared" si="74"/>
        <v>1.3027249322493222</v>
      </c>
      <c r="U38" s="221">
        <f t="shared" si="10"/>
        <v>0.97704369918699152</v>
      </c>
      <c r="V38" s="221">
        <f t="shared" si="11"/>
        <v>0.71491002379535973</v>
      </c>
      <c r="W38" s="201">
        <f t="shared" si="12"/>
        <v>350</v>
      </c>
      <c r="X38" s="451">
        <f t="shared" si="52"/>
        <v>350</v>
      </c>
      <c r="Z38" s="221">
        <f t="shared" si="13"/>
        <v>2.1998658618376927</v>
      </c>
      <c r="AA38" s="177">
        <f t="shared" si="14"/>
        <v>1.2072434607645877</v>
      </c>
      <c r="AB38" s="177">
        <f t="shared" si="75"/>
        <v>0.46476039334599145</v>
      </c>
      <c r="AC38" s="177"/>
      <c r="AD38" s="177">
        <f t="shared" si="16"/>
        <v>0.45</v>
      </c>
      <c r="AE38" s="555">
        <f t="shared" si="76"/>
        <v>751.21951219512187</v>
      </c>
      <c r="AF38" s="538">
        <f t="shared" si="77"/>
        <v>6.4574999999999994E-2</v>
      </c>
      <c r="AH38" s="177">
        <f t="shared" si="78"/>
        <v>1.6060006523155883</v>
      </c>
      <c r="AI38" s="177">
        <f t="shared" si="79"/>
        <v>1.6060006523155883</v>
      </c>
      <c r="AJ38" s="177">
        <f t="shared" si="80"/>
        <v>1.7822227054189543</v>
      </c>
      <c r="AL38" s="555">
        <f t="shared" si="81"/>
        <v>138.6</v>
      </c>
      <c r="AM38" s="469">
        <f t="shared" si="82"/>
        <v>350</v>
      </c>
      <c r="AO38">
        <f t="shared" si="53"/>
        <v>138.6</v>
      </c>
      <c r="AP38" s="469">
        <f t="shared" si="24"/>
        <v>350</v>
      </c>
      <c r="AQ38" s="469"/>
      <c r="AR38" s="5">
        <f t="shared" si="54"/>
        <v>2.8571428571428572</v>
      </c>
      <c r="AS38" s="5">
        <f t="shared" si="25"/>
        <v>1.2045004892366913</v>
      </c>
      <c r="AT38" s="5">
        <f t="shared" si="55"/>
        <v>1.6526423679061659</v>
      </c>
      <c r="AU38" s="177">
        <f t="shared" si="56"/>
        <v>0.42157517123284194</v>
      </c>
      <c r="AW38" s="5">
        <f t="shared" si="83"/>
        <v>4.6051229968782526</v>
      </c>
      <c r="AX38" s="5">
        <f t="shared" si="84"/>
        <v>3.8104806193548413</v>
      </c>
      <c r="AY38" s="5">
        <f t="shared" si="85"/>
        <v>15.170308270746586</v>
      </c>
      <c r="AZ38" s="5">
        <f t="shared" si="86"/>
        <v>6.4859420752156494</v>
      </c>
      <c r="BA38" s="5">
        <f t="shared" si="87"/>
        <v>1.0360384399915457</v>
      </c>
      <c r="BB38" s="469">
        <f t="shared" si="88"/>
        <v>63.290723066159416</v>
      </c>
      <c r="BC38" s="5"/>
      <c r="BD38" s="177">
        <f t="shared" si="57"/>
        <v>0.60203619538204656</v>
      </c>
      <c r="BE38" s="177">
        <f t="shared" si="89"/>
        <v>0.70519391035086376</v>
      </c>
      <c r="BF38" s="177">
        <f t="shared" si="90"/>
        <v>1.1577356314843914</v>
      </c>
      <c r="BG38" s="177"/>
      <c r="BH38" s="538">
        <f t="shared" si="34"/>
        <v>3.9869233860509869E-2</v>
      </c>
      <c r="BI38" s="538">
        <f t="shared" si="35"/>
        <v>7.9818232420084734E-2</v>
      </c>
      <c r="BJ38" s="538">
        <f t="shared" si="36"/>
        <v>1.7499999999999998E-2</v>
      </c>
      <c r="BK38" s="538">
        <f t="shared" si="37"/>
        <v>6.3516599999999993E-2</v>
      </c>
      <c r="BL38">
        <f t="shared" si="38"/>
        <v>3.48E-3</v>
      </c>
      <c r="BM38">
        <f t="shared" si="91"/>
        <v>2.4500000000000003E-5</v>
      </c>
      <c r="BN38">
        <f t="shared" si="92"/>
        <v>0.20572183006906661</v>
      </c>
      <c r="BO38" s="469">
        <f t="shared" si="58"/>
        <v>205.72183006906661</v>
      </c>
      <c r="BP38" s="177">
        <f t="shared" si="93"/>
        <v>0.12474</v>
      </c>
      <c r="BQ38" s="177">
        <f t="shared" si="94"/>
        <v>0.21532499999999999</v>
      </c>
      <c r="BR38" s="538"/>
      <c r="BT38" s="469">
        <f t="shared" si="59"/>
        <v>340.065</v>
      </c>
      <c r="BU38" s="538">
        <f t="shared" si="43"/>
        <v>1.7397483866404308E-2</v>
      </c>
      <c r="BV38" s="538">
        <f t="shared" si="60"/>
        <v>0.1193516282870261</v>
      </c>
      <c r="BW38" s="538">
        <f t="shared" si="95"/>
        <v>0.32168443017805504</v>
      </c>
      <c r="BX38" s="538">
        <f t="shared" si="45"/>
        <v>0</v>
      </c>
      <c r="BY38" s="538">
        <f t="shared" si="96"/>
        <v>0.47588653015274651</v>
      </c>
      <c r="BZ38" s="538">
        <f t="shared" si="61"/>
        <v>0.45843354233148548</v>
      </c>
      <c r="CA38" s="641">
        <f t="shared" si="97"/>
        <v>4.5136666666666672E-2</v>
      </c>
      <c r="CB38" s="469">
        <f t="shared" si="62"/>
        <v>521.02319681941322</v>
      </c>
      <c r="CC38" s="177">
        <f t="shared" si="63"/>
        <v>1.0668100268884797</v>
      </c>
      <c r="CD38" s="5">
        <f t="shared" si="64"/>
        <v>4.0622999999999996</v>
      </c>
      <c r="CE38" s="177">
        <f t="shared" si="65"/>
        <v>0.79200874590408243</v>
      </c>
      <c r="CF38" s="5">
        <f t="shared" si="66"/>
        <v>79.200874590408247</v>
      </c>
      <c r="CG38">
        <f t="shared" ref="CG38:CG69" si="102">F38/Iout*100</f>
        <v>33</v>
      </c>
      <c r="CI38" s="571">
        <f t="shared" si="98"/>
        <v>-50</v>
      </c>
      <c r="CJ38">
        <f t="shared" si="99"/>
        <v>-50</v>
      </c>
    </row>
    <row r="39" spans="5:88" x14ac:dyDescent="0.2">
      <c r="E39" s="174">
        <v>34</v>
      </c>
      <c r="F39" s="221">
        <f t="shared" si="68"/>
        <v>0.14280000000000001</v>
      </c>
      <c r="G39" s="221">
        <f t="shared" si="100"/>
        <v>0.2465</v>
      </c>
      <c r="H39" s="221">
        <f t="shared" si="70"/>
        <v>2.2134</v>
      </c>
      <c r="I39" s="221">
        <f t="shared" si="69"/>
        <v>1.972</v>
      </c>
      <c r="J39" s="551">
        <f t="shared" si="1"/>
        <v>12</v>
      </c>
      <c r="K39" s="451">
        <f t="shared" si="2"/>
        <v>16.399999999999999</v>
      </c>
      <c r="L39" s="451">
        <f t="shared" si="3"/>
        <v>28.4</v>
      </c>
      <c r="M39" s="451"/>
      <c r="N39" s="221">
        <f t="shared" si="4"/>
        <v>0.57746478873239437</v>
      </c>
      <c r="O39" s="176">
        <f t="shared" si="101"/>
        <v>6.7612354549719109</v>
      </c>
      <c r="P39" s="176">
        <f t="shared" si="71"/>
        <v>11.390692542350877</v>
      </c>
      <c r="Q39" s="221">
        <f t="shared" si="6"/>
        <v>0.43620873903044588</v>
      </c>
      <c r="R39" s="221">
        <f t="shared" si="72"/>
        <v>0.84515443187148886</v>
      </c>
      <c r="S39" s="451">
        <f t="shared" si="73"/>
        <v>15.5</v>
      </c>
      <c r="T39" s="221">
        <f t="shared" si="74"/>
        <v>1.3422014453477866</v>
      </c>
      <c r="U39" s="221">
        <f t="shared" si="10"/>
        <v>1.00665108401084</v>
      </c>
      <c r="V39" s="221">
        <f t="shared" si="11"/>
        <v>0.73657396391037078</v>
      </c>
      <c r="W39" s="201">
        <f t="shared" si="12"/>
        <v>350</v>
      </c>
      <c r="X39" s="451">
        <f t="shared" si="52"/>
        <v>350</v>
      </c>
      <c r="Z39" s="221">
        <f t="shared" si="13"/>
        <v>2.1998658618376927</v>
      </c>
      <c r="AA39" s="177">
        <f t="shared" si="14"/>
        <v>1.2072434607645877</v>
      </c>
      <c r="AB39" s="177">
        <f t="shared" si="75"/>
        <v>0.46476039334599145</v>
      </c>
      <c r="AC39" s="177"/>
      <c r="AD39" s="177">
        <f t="shared" si="16"/>
        <v>0.45</v>
      </c>
      <c r="AE39" s="555">
        <f t="shared" si="76"/>
        <v>773.9837398373985</v>
      </c>
      <c r="AF39" s="538">
        <f t="shared" si="77"/>
        <v>6.4574999999999994E-2</v>
      </c>
      <c r="AH39" s="177">
        <f t="shared" si="78"/>
        <v>1.6301523933046336</v>
      </c>
      <c r="AI39" s="177">
        <f t="shared" si="79"/>
        <v>1.6301523933046336</v>
      </c>
      <c r="AJ39" s="177">
        <f t="shared" si="80"/>
        <v>1.8001128839293581</v>
      </c>
      <c r="AL39" s="555">
        <f t="shared" si="81"/>
        <v>142.80000000000001</v>
      </c>
      <c r="AM39" s="469">
        <f t="shared" si="82"/>
        <v>350</v>
      </c>
      <c r="AO39">
        <f t="shared" si="53"/>
        <v>142.80000000000001</v>
      </c>
      <c r="AP39" s="469">
        <f t="shared" si="24"/>
        <v>350</v>
      </c>
      <c r="AQ39" s="469"/>
      <c r="AR39" s="5">
        <f t="shared" si="54"/>
        <v>2.8571428571428572</v>
      </c>
      <c r="AS39" s="5">
        <f t="shared" si="25"/>
        <v>1.2226142949784753</v>
      </c>
      <c r="AT39" s="5">
        <f t="shared" si="55"/>
        <v>1.6345285621643819</v>
      </c>
      <c r="AU39" s="177">
        <f t="shared" si="56"/>
        <v>0.42791500324246634</v>
      </c>
      <c r="AW39" s="5">
        <f t="shared" si="83"/>
        <v>4.6051229968782526</v>
      </c>
      <c r="AX39" s="5">
        <f t="shared" si="84"/>
        <v>4.0362633571847519</v>
      </c>
      <c r="AY39" s="5">
        <f t="shared" si="85"/>
        <v>15.170308270746586</v>
      </c>
      <c r="AZ39" s="5">
        <f t="shared" si="86"/>
        <v>6.8700459494483841</v>
      </c>
      <c r="BA39" s="5">
        <f t="shared" si="87"/>
        <v>1.055733926555988</v>
      </c>
      <c r="BB39" s="469">
        <f t="shared" si="88"/>
        <v>64.506646704470398</v>
      </c>
      <c r="BC39" s="5"/>
      <c r="BD39" s="177">
        <f t="shared" si="57"/>
        <v>0.61566765145820945</v>
      </c>
      <c r="BE39" s="177">
        <f t="shared" si="89"/>
        <v>0.71186535577093102</v>
      </c>
      <c r="BF39" s="177">
        <f t="shared" si="90"/>
        <v>1.1686883211814314</v>
      </c>
      <c r="BG39" s="177"/>
      <c r="BH39" s="538">
        <f t="shared" si="34"/>
        <v>4.1695132275727395E-2</v>
      </c>
      <c r="BI39" s="538">
        <f t="shared" si="35"/>
        <v>8.1018573947240283E-2</v>
      </c>
      <c r="BJ39" s="538">
        <f t="shared" si="36"/>
        <v>1.7499999999999998E-2</v>
      </c>
      <c r="BK39" s="538">
        <f t="shared" si="37"/>
        <v>6.3516599999999993E-2</v>
      </c>
      <c r="BL39">
        <f t="shared" si="38"/>
        <v>3.48E-3</v>
      </c>
      <c r="BM39">
        <f t="shared" si="91"/>
        <v>2.4500000000000003E-5</v>
      </c>
      <c r="BN39">
        <f t="shared" si="92"/>
        <v>0.20884137107814513</v>
      </c>
      <c r="BO39" s="469">
        <f t="shared" si="58"/>
        <v>208.84137107814513</v>
      </c>
      <c r="BP39" s="177">
        <f t="shared" si="93"/>
        <v>0.12852000000000002</v>
      </c>
      <c r="BQ39" s="177">
        <f t="shared" si="94"/>
        <v>0.22184999999999999</v>
      </c>
      <c r="BR39" s="538"/>
      <c r="BT39" s="469">
        <f t="shared" si="59"/>
        <v>350.37</v>
      </c>
      <c r="BU39" s="538">
        <f t="shared" si="43"/>
        <v>1.8194239538499229E-2</v>
      </c>
      <c r="BV39" s="538">
        <f t="shared" si="60"/>
        <v>0.12162054833924979</v>
      </c>
      <c r="BW39" s="538">
        <f t="shared" si="95"/>
        <v>0.3277997740958094</v>
      </c>
      <c r="BX39" s="538">
        <f t="shared" si="45"/>
        <v>0</v>
      </c>
      <c r="BY39" s="538">
        <f t="shared" si="96"/>
        <v>0.48578746540122558</v>
      </c>
      <c r="BZ39" s="538">
        <f t="shared" si="61"/>
        <v>0.46761456197355844</v>
      </c>
      <c r="CA39" s="641">
        <f t="shared" si="97"/>
        <v>4.6504444444444439E-2</v>
      </c>
      <c r="CB39" s="469">
        <f t="shared" si="62"/>
        <v>532.29190984567003</v>
      </c>
      <c r="CC39" s="177">
        <f t="shared" si="63"/>
        <v>1.0915032809238152</v>
      </c>
      <c r="CD39" s="5">
        <f t="shared" si="64"/>
        <v>4.1853999999999996</v>
      </c>
      <c r="CE39" s="177">
        <f t="shared" si="65"/>
        <v>0.79315457896118036</v>
      </c>
      <c r="CF39" s="5">
        <f t="shared" si="66"/>
        <v>79.315457896118033</v>
      </c>
      <c r="CG39">
        <f t="shared" si="102"/>
        <v>34</v>
      </c>
      <c r="CI39" s="571">
        <f t="shared" si="98"/>
        <v>-50</v>
      </c>
      <c r="CJ39">
        <f t="shared" si="99"/>
        <v>-50</v>
      </c>
    </row>
    <row r="40" spans="5:88" x14ac:dyDescent="0.2">
      <c r="E40" s="174">
        <v>35</v>
      </c>
      <c r="F40" s="221">
        <f t="shared" ref="F40:F71" si="103">IF(PLOT_TYPE=1, E40/100*Iout_max, min_I*EXP(O40*rr/100))</f>
        <v>0.14699999999999999</v>
      </c>
      <c r="G40" s="221">
        <f t="shared" si="100"/>
        <v>0.25374999999999998</v>
      </c>
      <c r="H40" s="221">
        <f t="shared" si="70"/>
        <v>2.2784999999999997</v>
      </c>
      <c r="I40" s="221">
        <f t="shared" ref="I40:I71" si="104">Vout2*G40</f>
        <v>2.0299999999999998</v>
      </c>
      <c r="J40" s="551">
        <f t="shared" si="1"/>
        <v>12</v>
      </c>
      <c r="K40" s="451">
        <f t="shared" si="2"/>
        <v>16.399999999999999</v>
      </c>
      <c r="L40" s="451">
        <f t="shared" si="3"/>
        <v>28.4</v>
      </c>
      <c r="M40" s="451"/>
      <c r="N40" s="221">
        <f t="shared" si="4"/>
        <v>0.57746478873239437</v>
      </c>
      <c r="O40" s="176">
        <f t="shared" si="101"/>
        <v>6.7612354549719109</v>
      </c>
      <c r="P40" s="176">
        <f t="shared" si="71"/>
        <v>11.390692542350877</v>
      </c>
      <c r="Q40" s="221">
        <f t="shared" si="6"/>
        <v>0.43620873903044588</v>
      </c>
      <c r="R40" s="221">
        <f t="shared" si="72"/>
        <v>0.84515443187148886</v>
      </c>
      <c r="S40" s="451">
        <f t="shared" si="73"/>
        <v>15.5</v>
      </c>
      <c r="T40" s="221">
        <f t="shared" si="74"/>
        <v>1.3816779584462509</v>
      </c>
      <c r="U40" s="221">
        <f t="shared" si="10"/>
        <v>1.0362584688346881</v>
      </c>
      <c r="V40" s="221">
        <f t="shared" si="11"/>
        <v>0.7582379040253816</v>
      </c>
      <c r="W40" s="201">
        <f t="shared" si="12"/>
        <v>350</v>
      </c>
      <c r="X40" s="451">
        <f t="shared" si="52"/>
        <v>350</v>
      </c>
      <c r="Z40" s="221">
        <f t="shared" si="13"/>
        <v>2.1998658618376927</v>
      </c>
      <c r="AA40" s="177">
        <f t="shared" si="14"/>
        <v>1.2072434607645877</v>
      </c>
      <c r="AB40" s="177">
        <f t="shared" si="75"/>
        <v>0.46476039334599145</v>
      </c>
      <c r="AC40" s="177"/>
      <c r="AD40" s="177">
        <f t="shared" si="16"/>
        <v>0.45</v>
      </c>
      <c r="AE40" s="555">
        <f t="shared" si="76"/>
        <v>796.7479674796748</v>
      </c>
      <c r="AF40" s="538">
        <f t="shared" si="77"/>
        <v>6.4574999999999994E-2</v>
      </c>
      <c r="AH40" s="177">
        <f t="shared" si="78"/>
        <v>1.6539514973407037</v>
      </c>
      <c r="AI40" s="177">
        <f t="shared" si="79"/>
        <v>1.6539514973407037</v>
      </c>
      <c r="AJ40" s="177">
        <f t="shared" si="80"/>
        <v>1.8177418498820028</v>
      </c>
      <c r="AL40" s="555">
        <f t="shared" si="81"/>
        <v>147</v>
      </c>
      <c r="AM40" s="469">
        <f t="shared" si="82"/>
        <v>350</v>
      </c>
      <c r="AO40">
        <f t="shared" si="53"/>
        <v>147</v>
      </c>
      <c r="AP40" s="469">
        <f t="shared" si="24"/>
        <v>350</v>
      </c>
      <c r="AQ40" s="469"/>
      <c r="AR40" s="5">
        <f t="shared" si="54"/>
        <v>2.8571428571428572</v>
      </c>
      <c r="AS40" s="5">
        <f t="shared" si="25"/>
        <v>1.2404636230055279</v>
      </c>
      <c r="AT40" s="5">
        <f t="shared" si="55"/>
        <v>1.6166792341373293</v>
      </c>
      <c r="AU40" s="177">
        <f t="shared" si="56"/>
        <v>0.43416226805193475</v>
      </c>
      <c r="AW40" s="5">
        <f t="shared" si="83"/>
        <v>4.6051229968782526</v>
      </c>
      <c r="AX40" s="5">
        <f t="shared" si="84"/>
        <v>4.2685351319648097</v>
      </c>
      <c r="AY40" s="5">
        <f t="shared" si="85"/>
        <v>15.170308270746586</v>
      </c>
      <c r="AZ40" s="5">
        <f t="shared" si="86"/>
        <v>7.2651827751507501</v>
      </c>
      <c r="BA40" s="5">
        <f t="shared" si="87"/>
        <v>1.0749170494260312</v>
      </c>
      <c r="BB40" s="469">
        <f t="shared" si="88"/>
        <v>65.691828521117429</v>
      </c>
      <c r="BC40" s="5"/>
      <c r="BD40" s="177">
        <f t="shared" si="57"/>
        <v>0.62919922769132253</v>
      </c>
      <c r="BE40" s="177">
        <f t="shared" si="89"/>
        <v>0.71830368488856788</v>
      </c>
      <c r="BF40" s="177">
        <f t="shared" si="90"/>
        <v>1.179258297633728</v>
      </c>
      <c r="BG40" s="177"/>
      <c r="BH40" s="538">
        <f t="shared" si="34"/>
        <v>4.3548083494009238E-2</v>
      </c>
      <c r="BI40" s="538">
        <f t="shared" si="35"/>
        <v>8.2201389417832962E-2</v>
      </c>
      <c r="BJ40" s="538">
        <f t="shared" si="36"/>
        <v>1.7499999999999998E-2</v>
      </c>
      <c r="BK40" s="538">
        <f t="shared" si="37"/>
        <v>6.3516599999999993E-2</v>
      </c>
      <c r="BL40">
        <f t="shared" si="38"/>
        <v>3.48E-3</v>
      </c>
      <c r="BM40">
        <f t="shared" si="91"/>
        <v>2.4500000000000003E-5</v>
      </c>
      <c r="BN40">
        <f t="shared" si="92"/>
        <v>0.21197370134993013</v>
      </c>
      <c r="BO40" s="469">
        <f t="shared" si="58"/>
        <v>211.97370134993014</v>
      </c>
      <c r="BP40" s="177">
        <f t="shared" si="93"/>
        <v>0.1323</v>
      </c>
      <c r="BQ40" s="177">
        <f t="shared" si="94"/>
        <v>0.22837499999999999</v>
      </c>
      <c r="BR40" s="538"/>
      <c r="BT40" s="469">
        <f t="shared" si="59"/>
        <v>360.67499999999995</v>
      </c>
      <c r="BU40" s="538">
        <f t="shared" si="43"/>
        <v>1.9002800070113124E-2</v>
      </c>
      <c r="BV40" s="538">
        <f t="shared" si="60"/>
        <v>0.12383044409387881</v>
      </c>
      <c r="BW40" s="538">
        <f t="shared" si="95"/>
        <v>0.33375603180911956</v>
      </c>
      <c r="BX40" s="538">
        <f t="shared" si="45"/>
        <v>0</v>
      </c>
      <c r="BY40" s="538">
        <f t="shared" si="96"/>
        <v>0.49548053263780123</v>
      </c>
      <c r="BZ40" s="538">
        <f t="shared" si="61"/>
        <v>0.47658927597311151</v>
      </c>
      <c r="CA40" s="641">
        <f t="shared" si="97"/>
        <v>4.7872222222222226E-2</v>
      </c>
      <c r="CB40" s="469">
        <f t="shared" si="62"/>
        <v>543.35275486002342</v>
      </c>
      <c r="CC40" s="177">
        <f t="shared" si="63"/>
        <v>1.1160014562099536</v>
      </c>
      <c r="CD40" s="5">
        <f t="shared" si="64"/>
        <v>4.3084999999999996</v>
      </c>
      <c r="CE40" s="177">
        <f t="shared" si="65"/>
        <v>0.79426653947481973</v>
      </c>
      <c r="CF40" s="5">
        <f t="shared" si="66"/>
        <v>79.426653947481967</v>
      </c>
      <c r="CG40">
        <f t="shared" si="102"/>
        <v>35</v>
      </c>
      <c r="CI40" s="571">
        <f t="shared" si="98"/>
        <v>-50</v>
      </c>
      <c r="CJ40">
        <f t="shared" si="99"/>
        <v>-50</v>
      </c>
    </row>
    <row r="41" spans="5:88" x14ac:dyDescent="0.2">
      <c r="E41" s="174">
        <v>36</v>
      </c>
      <c r="F41" s="221">
        <f t="shared" si="103"/>
        <v>0.1512</v>
      </c>
      <c r="G41" s="221">
        <f t="shared" si="100"/>
        <v>0.26100000000000001</v>
      </c>
      <c r="H41" s="221">
        <f t="shared" si="70"/>
        <v>2.3435999999999999</v>
      </c>
      <c r="I41" s="221">
        <f t="shared" si="104"/>
        <v>2.0880000000000001</v>
      </c>
      <c r="J41" s="551">
        <f t="shared" si="1"/>
        <v>12</v>
      </c>
      <c r="K41" s="451">
        <f t="shared" si="2"/>
        <v>16.399999999999999</v>
      </c>
      <c r="L41" s="451">
        <f t="shared" si="3"/>
        <v>28.4</v>
      </c>
      <c r="M41" s="451"/>
      <c r="N41" s="221">
        <f t="shared" si="4"/>
        <v>0.57746478873239437</v>
      </c>
      <c r="O41" s="176">
        <f t="shared" si="101"/>
        <v>6.7612354549719109</v>
      </c>
      <c r="P41" s="176">
        <f t="shared" si="71"/>
        <v>11.390692542350877</v>
      </c>
      <c r="Q41" s="221">
        <f t="shared" si="6"/>
        <v>0.43620873903044588</v>
      </c>
      <c r="R41" s="221">
        <f t="shared" si="72"/>
        <v>0.84515443187148886</v>
      </c>
      <c r="S41" s="451">
        <f t="shared" si="73"/>
        <v>15.5</v>
      </c>
      <c r="T41" s="221">
        <f t="shared" si="74"/>
        <v>1.4211544715447151</v>
      </c>
      <c r="U41" s="221">
        <f t="shared" si="10"/>
        <v>1.0658658536585364</v>
      </c>
      <c r="V41" s="221">
        <f t="shared" si="11"/>
        <v>0.77990184414039254</v>
      </c>
      <c r="W41" s="201">
        <f t="shared" si="12"/>
        <v>350</v>
      </c>
      <c r="X41" s="451">
        <f t="shared" si="52"/>
        <v>350</v>
      </c>
      <c r="Z41" s="221">
        <f t="shared" si="13"/>
        <v>2.1998658618376927</v>
      </c>
      <c r="AA41" s="177">
        <f t="shared" si="14"/>
        <v>1.2072434607645877</v>
      </c>
      <c r="AB41" s="177">
        <f t="shared" si="75"/>
        <v>0.46476039334599145</v>
      </c>
      <c r="AC41" s="177"/>
      <c r="AD41" s="177">
        <f t="shared" si="16"/>
        <v>0.45</v>
      </c>
      <c r="AE41" s="555">
        <f t="shared" si="76"/>
        <v>819.51219512195144</v>
      </c>
      <c r="AF41" s="538">
        <f t="shared" si="77"/>
        <v>6.4574999999999994E-2</v>
      </c>
      <c r="AH41" s="177">
        <f t="shared" si="78"/>
        <v>1.6774129741105157</v>
      </c>
      <c r="AI41" s="177">
        <f t="shared" si="79"/>
        <v>1.6774129741105157</v>
      </c>
      <c r="AJ41" s="177">
        <f t="shared" si="80"/>
        <v>1.8351207215633449</v>
      </c>
      <c r="AL41" s="555">
        <f t="shared" si="81"/>
        <v>151.19999999999999</v>
      </c>
      <c r="AM41" s="469">
        <f t="shared" si="82"/>
        <v>350</v>
      </c>
      <c r="AO41">
        <f t="shared" si="53"/>
        <v>151.19999999999999</v>
      </c>
      <c r="AP41" s="469">
        <f t="shared" si="24"/>
        <v>350</v>
      </c>
      <c r="AQ41" s="469"/>
      <c r="AR41" s="5">
        <f t="shared" si="54"/>
        <v>2.8571428571428572</v>
      </c>
      <c r="AS41" s="5">
        <f t="shared" si="25"/>
        <v>1.2580597305828869</v>
      </c>
      <c r="AT41" s="5">
        <f t="shared" si="55"/>
        <v>1.5990831265599703</v>
      </c>
      <c r="AU41" s="177">
        <f t="shared" si="56"/>
        <v>0.44032090570401039</v>
      </c>
      <c r="AW41" s="5">
        <f t="shared" si="83"/>
        <v>4.6051229968782526</v>
      </c>
      <c r="AX41" s="5">
        <f t="shared" si="84"/>
        <v>4.5072959436950164</v>
      </c>
      <c r="AY41" s="5">
        <f t="shared" si="85"/>
        <v>15.170308270746586</v>
      </c>
      <c r="AZ41" s="5">
        <f t="shared" si="86"/>
        <v>7.6713525523227561</v>
      </c>
      <c r="BA41" s="5">
        <f t="shared" si="87"/>
        <v>1.0935951826640684</v>
      </c>
      <c r="BB41" s="469">
        <f t="shared" si="88"/>
        <v>66.846710959844117</v>
      </c>
      <c r="BC41" s="5"/>
      <c r="BD41" s="177">
        <f t="shared" si="57"/>
        <v>0.64263447948737462</v>
      </c>
      <c r="BE41" s="177">
        <f t="shared" si="89"/>
        <v>0.72451755512116678</v>
      </c>
      <c r="BF41" s="177">
        <f t="shared" si="90"/>
        <v>1.1894597739540789</v>
      </c>
      <c r="BG41" s="177"/>
      <c r="BH41" s="538">
        <f t="shared" si="34"/>
        <v>4.5427698164860982E-2</v>
      </c>
      <c r="BI41" s="538">
        <f t="shared" si="35"/>
        <v>8.3367424813292623E-2</v>
      </c>
      <c r="BJ41" s="538">
        <f t="shared" si="36"/>
        <v>1.7499999999999998E-2</v>
      </c>
      <c r="BK41" s="538">
        <f t="shared" si="37"/>
        <v>6.3516599999999993E-2</v>
      </c>
      <c r="BL41">
        <f t="shared" si="38"/>
        <v>3.48E-3</v>
      </c>
      <c r="BM41">
        <f t="shared" si="91"/>
        <v>2.4500000000000003E-5</v>
      </c>
      <c r="BN41">
        <f t="shared" si="92"/>
        <v>0.21511922547271461</v>
      </c>
      <c r="BO41" s="469">
        <f t="shared" si="58"/>
        <v>215.11922547271462</v>
      </c>
      <c r="BP41" s="177">
        <f t="shared" si="93"/>
        <v>0.13608000000000001</v>
      </c>
      <c r="BQ41" s="177">
        <f t="shared" si="94"/>
        <v>0.23490000000000003</v>
      </c>
      <c r="BR41" s="538"/>
      <c r="BT41" s="469">
        <f t="shared" si="59"/>
        <v>370.98</v>
      </c>
      <c r="BU41" s="538">
        <f t="shared" si="43"/>
        <v>1.9822995562848431E-2</v>
      </c>
      <c r="BV41" s="538">
        <f t="shared" si="60"/>
        <v>0.12598216504290069</v>
      </c>
      <c r="BW41" s="538">
        <f t="shared" si="95"/>
        <v>0.33955549292517323</v>
      </c>
      <c r="BX41" s="538">
        <f t="shared" si="45"/>
        <v>0</v>
      </c>
      <c r="BY41" s="538">
        <f t="shared" si="96"/>
        <v>0.50496798065932225</v>
      </c>
      <c r="BZ41" s="538">
        <f t="shared" si="61"/>
        <v>0.48536065353092234</v>
      </c>
      <c r="CA41" s="641">
        <f t="shared" si="97"/>
        <v>4.9240000000000006E-2</v>
      </c>
      <c r="CB41" s="469">
        <f t="shared" si="62"/>
        <v>554.20798065932229</v>
      </c>
      <c r="CC41" s="177">
        <f t="shared" si="63"/>
        <v>1.140307206132037</v>
      </c>
      <c r="CD41" s="5">
        <f t="shared" si="64"/>
        <v>4.4315999999999995</v>
      </c>
      <c r="CE41" s="177">
        <f t="shared" si="65"/>
        <v>0.79534705730973099</v>
      </c>
      <c r="CF41" s="5">
        <f t="shared" si="66"/>
        <v>79.534705730973101</v>
      </c>
      <c r="CG41">
        <f t="shared" si="102"/>
        <v>36.000000000000007</v>
      </c>
      <c r="CI41" s="571">
        <f t="shared" si="98"/>
        <v>-50</v>
      </c>
      <c r="CJ41">
        <f t="shared" si="99"/>
        <v>-50</v>
      </c>
    </row>
    <row r="42" spans="5:88" x14ac:dyDescent="0.2">
      <c r="E42" s="174">
        <v>37</v>
      </c>
      <c r="F42" s="221">
        <f t="shared" si="103"/>
        <v>0.15539999999999998</v>
      </c>
      <c r="G42" s="221">
        <f t="shared" si="100"/>
        <v>0.26824999999999999</v>
      </c>
      <c r="H42" s="221">
        <f t="shared" si="70"/>
        <v>2.4086999999999996</v>
      </c>
      <c r="I42" s="221">
        <f t="shared" si="104"/>
        <v>2.1459999999999999</v>
      </c>
      <c r="J42" s="551">
        <f t="shared" si="1"/>
        <v>12</v>
      </c>
      <c r="K42" s="451">
        <f t="shared" si="2"/>
        <v>16.399999999999999</v>
      </c>
      <c r="L42" s="451">
        <f t="shared" si="3"/>
        <v>28.4</v>
      </c>
      <c r="M42" s="451"/>
      <c r="N42" s="221">
        <f t="shared" si="4"/>
        <v>0.57746478873239437</v>
      </c>
      <c r="O42" s="176">
        <f t="shared" si="101"/>
        <v>6.7612354549719109</v>
      </c>
      <c r="P42" s="176">
        <f t="shared" si="71"/>
        <v>11.390692542350877</v>
      </c>
      <c r="Q42" s="221">
        <f t="shared" si="6"/>
        <v>0.43620873903044588</v>
      </c>
      <c r="R42" s="221">
        <f t="shared" si="72"/>
        <v>0.84515443187148886</v>
      </c>
      <c r="S42" s="451">
        <f t="shared" si="73"/>
        <v>15.5</v>
      </c>
      <c r="T42" s="221">
        <f t="shared" si="74"/>
        <v>1.4606309846431795</v>
      </c>
      <c r="U42" s="221">
        <f t="shared" si="10"/>
        <v>1.0954732384823846</v>
      </c>
      <c r="V42" s="221">
        <f t="shared" si="11"/>
        <v>0.80156578425540348</v>
      </c>
      <c r="W42" s="201">
        <f t="shared" si="12"/>
        <v>350</v>
      </c>
      <c r="X42" s="451">
        <f t="shared" si="52"/>
        <v>350</v>
      </c>
      <c r="Z42" s="221">
        <f t="shared" si="13"/>
        <v>2.1998658618376927</v>
      </c>
      <c r="AA42" s="177">
        <f t="shared" si="14"/>
        <v>1.2072434607645877</v>
      </c>
      <c r="AB42" s="177">
        <f t="shared" si="75"/>
        <v>0.46476039334599145</v>
      </c>
      <c r="AC42" s="177"/>
      <c r="AD42" s="177">
        <f t="shared" si="16"/>
        <v>0.45</v>
      </c>
      <c r="AE42" s="555">
        <f t="shared" si="76"/>
        <v>842.27642276422762</v>
      </c>
      <c r="AF42" s="538">
        <f t="shared" si="77"/>
        <v>6.4574999999999994E-2</v>
      </c>
      <c r="AH42" s="177">
        <f t="shared" si="78"/>
        <v>1.7005507977925904</v>
      </c>
      <c r="AI42" s="177">
        <f t="shared" si="79"/>
        <v>1.7005507977925904</v>
      </c>
      <c r="AJ42" s="177">
        <f t="shared" si="80"/>
        <v>1.8522598502167336</v>
      </c>
      <c r="AL42" s="555">
        <f t="shared" si="81"/>
        <v>155.39999999999998</v>
      </c>
      <c r="AM42" s="469">
        <f t="shared" si="82"/>
        <v>350</v>
      </c>
      <c r="AO42">
        <f t="shared" si="53"/>
        <v>155.39999999999998</v>
      </c>
      <c r="AP42" s="469">
        <f t="shared" si="24"/>
        <v>350</v>
      </c>
      <c r="AQ42" s="469"/>
      <c r="AR42" s="5">
        <f t="shared" si="54"/>
        <v>2.8571428571428572</v>
      </c>
      <c r="AS42" s="5">
        <f t="shared" si="25"/>
        <v>1.2754130983444429</v>
      </c>
      <c r="AT42" s="5">
        <f t="shared" si="55"/>
        <v>1.5817297587984143</v>
      </c>
      <c r="AU42" s="177">
        <f t="shared" si="56"/>
        <v>0.44639458442055502</v>
      </c>
      <c r="AW42" s="5">
        <f t="shared" si="83"/>
        <v>4.6051229968782526</v>
      </c>
      <c r="AX42" s="5">
        <f t="shared" si="84"/>
        <v>4.7525457923753667</v>
      </c>
      <c r="AY42" s="5">
        <f t="shared" si="85"/>
        <v>15.170308270746586</v>
      </c>
      <c r="AZ42" s="5">
        <f t="shared" si="86"/>
        <v>8.0885552809643908</v>
      </c>
      <c r="BA42" s="5">
        <f t="shared" si="87"/>
        <v>1.1117753908023358</v>
      </c>
      <c r="BB42" s="469">
        <f t="shared" si="88"/>
        <v>67.971717892584607</v>
      </c>
      <c r="BC42" s="5"/>
      <c r="BD42" s="177">
        <f t="shared" si="57"/>
        <v>0.6559767407252719</v>
      </c>
      <c r="BE42" s="177">
        <f t="shared" si="89"/>
        <v>0.73051501530435448</v>
      </c>
      <c r="BF42" s="177">
        <f t="shared" si="90"/>
        <v>1.1993059641303816</v>
      </c>
      <c r="BG42" s="177"/>
      <c r="BH42" s="538">
        <f t="shared" si="34"/>
        <v>4.7333603280980567E-2</v>
      </c>
      <c r="BI42" s="538">
        <f t="shared" si="35"/>
        <v>8.4517374650291729E-2</v>
      </c>
      <c r="BJ42" s="538">
        <f t="shared" si="36"/>
        <v>1.7499999999999998E-2</v>
      </c>
      <c r="BK42" s="538">
        <f t="shared" si="37"/>
        <v>6.3516599999999993E-2</v>
      </c>
      <c r="BL42">
        <f t="shared" si="38"/>
        <v>3.48E-3</v>
      </c>
      <c r="BM42">
        <f t="shared" si="91"/>
        <v>2.4500000000000003E-5</v>
      </c>
      <c r="BN42">
        <f t="shared" si="92"/>
        <v>0.21827831331285935</v>
      </c>
      <c r="BO42" s="469">
        <f t="shared" si="58"/>
        <v>218.27831331285935</v>
      </c>
      <c r="BP42" s="177">
        <f t="shared" si="93"/>
        <v>0.13985999999999998</v>
      </c>
      <c r="BQ42" s="177">
        <f t="shared" si="94"/>
        <v>0.241425</v>
      </c>
      <c r="BR42" s="538"/>
      <c r="BT42" s="469">
        <f t="shared" si="59"/>
        <v>381.28499999999997</v>
      </c>
      <c r="BU42" s="538">
        <f t="shared" si="43"/>
        <v>2.0654663249882431E-2</v>
      </c>
      <c r="BV42" s="538">
        <f t="shared" si="60"/>
        <v>0.1280765250204291</v>
      </c>
      <c r="BW42" s="538">
        <f t="shared" si="95"/>
        <v>0.345200350943689</v>
      </c>
      <c r="BX42" s="538">
        <f t="shared" si="45"/>
        <v>0</v>
      </c>
      <c r="BY42" s="538">
        <f t="shared" si="96"/>
        <v>0.51425196019337083</v>
      </c>
      <c r="BZ42" s="538">
        <f t="shared" si="61"/>
        <v>0.49393153921400057</v>
      </c>
      <c r="CA42" s="641">
        <f t="shared" si="97"/>
        <v>5.0607777777777772E-2</v>
      </c>
      <c r="CB42" s="469">
        <f t="shared" si="62"/>
        <v>564.85973797114866</v>
      </c>
      <c r="CC42" s="177">
        <f t="shared" si="63"/>
        <v>1.1644230512840079</v>
      </c>
      <c r="CD42" s="5">
        <f t="shared" si="64"/>
        <v>4.5546999999999995</v>
      </c>
      <c r="CE42" s="177">
        <f t="shared" si="65"/>
        <v>0.79639832176323222</v>
      </c>
      <c r="CF42" s="5">
        <f t="shared" si="66"/>
        <v>79.639832176323225</v>
      </c>
      <c r="CG42">
        <f t="shared" si="102"/>
        <v>37</v>
      </c>
      <c r="CI42" s="571">
        <f t="shared" si="98"/>
        <v>-50</v>
      </c>
      <c r="CJ42">
        <f t="shared" si="99"/>
        <v>-50</v>
      </c>
    </row>
    <row r="43" spans="5:88" x14ac:dyDescent="0.2">
      <c r="E43" s="174">
        <v>38</v>
      </c>
      <c r="F43" s="221">
        <f t="shared" si="103"/>
        <v>0.15959999999999999</v>
      </c>
      <c r="G43" s="221">
        <f t="shared" si="100"/>
        <v>0.27549999999999997</v>
      </c>
      <c r="H43" s="221">
        <f t="shared" si="70"/>
        <v>2.4737999999999998</v>
      </c>
      <c r="I43" s="221">
        <f t="shared" si="104"/>
        <v>2.2039999999999997</v>
      </c>
      <c r="J43" s="551">
        <f t="shared" si="1"/>
        <v>12</v>
      </c>
      <c r="K43" s="451">
        <f t="shared" si="2"/>
        <v>16.399999999999999</v>
      </c>
      <c r="L43" s="451">
        <f t="shared" si="3"/>
        <v>28.4</v>
      </c>
      <c r="M43" s="451"/>
      <c r="N43" s="221">
        <f t="shared" si="4"/>
        <v>0.57746478873239437</v>
      </c>
      <c r="O43" s="176">
        <f t="shared" si="101"/>
        <v>6.7612354549719109</v>
      </c>
      <c r="P43" s="176">
        <f t="shared" si="71"/>
        <v>11.390692542350877</v>
      </c>
      <c r="Q43" s="221">
        <f t="shared" si="6"/>
        <v>0.43620873903044588</v>
      </c>
      <c r="R43" s="221">
        <f t="shared" si="72"/>
        <v>0.84515443187148886</v>
      </c>
      <c r="S43" s="451">
        <f t="shared" si="73"/>
        <v>15.5</v>
      </c>
      <c r="T43" s="221">
        <f t="shared" si="74"/>
        <v>1.5001074977416438</v>
      </c>
      <c r="U43" s="221">
        <f t="shared" si="10"/>
        <v>1.1250806233062329</v>
      </c>
      <c r="V43" s="221">
        <f t="shared" si="11"/>
        <v>0.82322972437041431</v>
      </c>
      <c r="W43" s="201">
        <f t="shared" si="12"/>
        <v>350</v>
      </c>
      <c r="X43" s="451">
        <f t="shared" si="52"/>
        <v>350</v>
      </c>
      <c r="Z43" s="221">
        <f t="shared" si="13"/>
        <v>2.1998658618376927</v>
      </c>
      <c r="AA43" s="177">
        <f t="shared" si="14"/>
        <v>1.2072434607645877</v>
      </c>
      <c r="AB43" s="177">
        <f t="shared" si="75"/>
        <v>0.46476039334599145</v>
      </c>
      <c r="AC43" s="177"/>
      <c r="AD43" s="177">
        <f t="shared" si="16"/>
        <v>0.45</v>
      </c>
      <c r="AE43" s="555">
        <f t="shared" si="76"/>
        <v>865.04065040650403</v>
      </c>
      <c r="AF43" s="538">
        <f t="shared" si="77"/>
        <v>6.4574999999999994E-2</v>
      </c>
      <c r="AH43" s="177">
        <f t="shared" si="78"/>
        <v>1.7233780043947833</v>
      </c>
      <c r="AI43" s="177">
        <f t="shared" si="79"/>
        <v>1.7233780043947833</v>
      </c>
      <c r="AJ43" s="177">
        <f t="shared" si="80"/>
        <v>1.8691688921442839</v>
      </c>
      <c r="AL43" s="555">
        <f t="shared" si="81"/>
        <v>159.6</v>
      </c>
      <c r="AM43" s="469">
        <f t="shared" si="82"/>
        <v>350</v>
      </c>
      <c r="AO43">
        <f t="shared" si="53"/>
        <v>159.6</v>
      </c>
      <c r="AP43" s="469">
        <f t="shared" si="24"/>
        <v>350</v>
      </c>
      <c r="AQ43" s="469"/>
      <c r="AR43" s="5">
        <f t="shared" si="54"/>
        <v>2.8571428571428572</v>
      </c>
      <c r="AS43" s="5">
        <f t="shared" si="25"/>
        <v>1.2925335032960874</v>
      </c>
      <c r="AT43" s="5">
        <f t="shared" si="55"/>
        <v>1.5646093538467698</v>
      </c>
      <c r="AU43" s="177">
        <f t="shared" si="56"/>
        <v>0.45238672615363057</v>
      </c>
      <c r="AW43" s="5">
        <f t="shared" si="83"/>
        <v>4.6051229968782526</v>
      </c>
      <c r="AX43" s="5">
        <f t="shared" si="84"/>
        <v>5.0042846780058667</v>
      </c>
      <c r="AY43" s="5">
        <f t="shared" si="85"/>
        <v>15.170308270746586</v>
      </c>
      <c r="AZ43" s="5">
        <f t="shared" si="86"/>
        <v>8.516790961075662</v>
      </c>
      <c r="BA43" s="5">
        <f t="shared" si="87"/>
        <v>1.1294644499111757</v>
      </c>
      <c r="BB43" s="469">
        <f t="shared" si="88"/>
        <v>69.06725588355944</v>
      </c>
      <c r="BC43" s="5"/>
      <c r="BD43" s="177">
        <f t="shared" si="57"/>
        <v>0.66922914315891646</v>
      </c>
      <c r="BE43" s="177">
        <f t="shared" si="89"/>
        <v>0.73630356236905747</v>
      </c>
      <c r="BF43" s="177">
        <f t="shared" si="90"/>
        <v>1.2088091760738835</v>
      </c>
      <c r="BG43" s="177"/>
      <c r="BH43" s="538">
        <f t="shared" si="34"/>
        <v>4.9265441065853927E-2</v>
      </c>
      <c r="BI43" s="538">
        <f t="shared" si="35"/>
        <v>8.5651886818420717E-2</v>
      </c>
      <c r="BJ43" s="538">
        <f t="shared" si="36"/>
        <v>1.7499999999999998E-2</v>
      </c>
      <c r="BK43" s="538">
        <f t="shared" si="37"/>
        <v>6.3516599999999993E-2</v>
      </c>
      <c r="BL43">
        <f t="shared" si="38"/>
        <v>3.48E-3</v>
      </c>
      <c r="BM43">
        <f t="shared" si="91"/>
        <v>2.4500000000000003E-5</v>
      </c>
      <c r="BN43">
        <f t="shared" si="92"/>
        <v>0.22145130372442795</v>
      </c>
      <c r="BO43" s="469">
        <f t="shared" si="58"/>
        <v>221.45130372442796</v>
      </c>
      <c r="BP43" s="177">
        <f t="shared" si="93"/>
        <v>0.14363999999999999</v>
      </c>
      <c r="BQ43" s="177">
        <f t="shared" si="94"/>
        <v>0.24794999999999998</v>
      </c>
      <c r="BR43" s="538"/>
      <c r="BT43" s="469">
        <f t="shared" si="59"/>
        <v>391.59</v>
      </c>
      <c r="BU43" s="538">
        <f t="shared" si="43"/>
        <v>2.1497647010554441E-2</v>
      </c>
      <c r="BV43" s="538">
        <f t="shared" si="60"/>
        <v>0.13011430462976747</v>
      </c>
      <c r="BW43" s="538">
        <f t="shared" si="95"/>
        <v>0.35069270979850109</v>
      </c>
      <c r="BX43" s="538">
        <f t="shared" si="45"/>
        <v>0</v>
      </c>
      <c r="BY43" s="538">
        <f t="shared" si="96"/>
        <v>0.52333453140828579</v>
      </c>
      <c r="BZ43" s="538">
        <f t="shared" si="61"/>
        <v>0.50230466143882302</v>
      </c>
      <c r="CA43" s="641">
        <f t="shared" si="97"/>
        <v>5.1975555555555553E-2</v>
      </c>
      <c r="CB43" s="469">
        <f t="shared" si="62"/>
        <v>575.31008696384129</v>
      </c>
      <c r="CC43" s="177">
        <f t="shared" si="63"/>
        <v>1.1883513906882692</v>
      </c>
      <c r="CD43" s="5">
        <f t="shared" si="64"/>
        <v>4.6777999999999995</v>
      </c>
      <c r="CE43" s="177">
        <f t="shared" si="65"/>
        <v>0.79742231123209362</v>
      </c>
      <c r="CF43" s="5">
        <f t="shared" si="66"/>
        <v>79.742231123209365</v>
      </c>
      <c r="CG43">
        <f t="shared" si="102"/>
        <v>38</v>
      </c>
      <c r="CI43" s="571">
        <f t="shared" si="98"/>
        <v>-50</v>
      </c>
      <c r="CJ43">
        <f t="shared" si="99"/>
        <v>-50</v>
      </c>
    </row>
    <row r="44" spans="5:88" x14ac:dyDescent="0.2">
      <c r="E44" s="174">
        <v>39</v>
      </c>
      <c r="F44" s="221">
        <f t="shared" si="103"/>
        <v>0.1638</v>
      </c>
      <c r="G44" s="221">
        <f t="shared" si="100"/>
        <v>0.28275</v>
      </c>
      <c r="H44" s="221">
        <f t="shared" si="70"/>
        <v>2.5388999999999999</v>
      </c>
      <c r="I44" s="221">
        <f t="shared" si="104"/>
        <v>2.262</v>
      </c>
      <c r="J44" s="551">
        <f t="shared" si="1"/>
        <v>12</v>
      </c>
      <c r="K44" s="451">
        <f t="shared" si="2"/>
        <v>16.399999999999999</v>
      </c>
      <c r="L44" s="451">
        <f t="shared" si="3"/>
        <v>28.4</v>
      </c>
      <c r="M44" s="451"/>
      <c r="N44" s="221">
        <f t="shared" si="4"/>
        <v>0.57746478873239437</v>
      </c>
      <c r="O44" s="176">
        <f t="shared" si="101"/>
        <v>6.7612354549719109</v>
      </c>
      <c r="P44" s="176">
        <f t="shared" si="71"/>
        <v>11.390692542350877</v>
      </c>
      <c r="Q44" s="221">
        <f t="shared" si="6"/>
        <v>0.43620873903044588</v>
      </c>
      <c r="R44" s="221">
        <f t="shared" si="72"/>
        <v>0.84515443187148886</v>
      </c>
      <c r="S44" s="451">
        <f t="shared" si="73"/>
        <v>15.5</v>
      </c>
      <c r="T44" s="221">
        <f t="shared" si="74"/>
        <v>1.5395840108401084</v>
      </c>
      <c r="U44" s="221">
        <f t="shared" si="10"/>
        <v>1.1546880081300814</v>
      </c>
      <c r="V44" s="221">
        <f t="shared" si="11"/>
        <v>0.84489366448542547</v>
      </c>
      <c r="W44" s="201">
        <f t="shared" si="12"/>
        <v>350</v>
      </c>
      <c r="X44" s="451">
        <f t="shared" si="52"/>
        <v>350</v>
      </c>
      <c r="Z44" s="221">
        <f t="shared" si="13"/>
        <v>2.1998658618376927</v>
      </c>
      <c r="AA44" s="177">
        <f t="shared" si="14"/>
        <v>1.2072434607645877</v>
      </c>
      <c r="AB44" s="177">
        <f t="shared" si="75"/>
        <v>0.46476039334599145</v>
      </c>
      <c r="AC44" s="177"/>
      <c r="AD44" s="177">
        <f t="shared" si="16"/>
        <v>0.45</v>
      </c>
      <c r="AE44" s="555">
        <f t="shared" si="76"/>
        <v>887.80487804878044</v>
      </c>
      <c r="AF44" s="538">
        <f t="shared" si="77"/>
        <v>6.4574999999999994E-2</v>
      </c>
      <c r="AH44" s="177">
        <f t="shared" si="78"/>
        <v>1.7459067776346124</v>
      </c>
      <c r="AI44" s="177">
        <f t="shared" si="79"/>
        <v>1.7459067776346124</v>
      </c>
      <c r="AJ44" s="177">
        <f t="shared" si="80"/>
        <v>1.8858568723219351</v>
      </c>
      <c r="AL44" s="555">
        <f t="shared" si="81"/>
        <v>163.80000000000001</v>
      </c>
      <c r="AM44" s="469">
        <f t="shared" si="82"/>
        <v>350</v>
      </c>
      <c r="AO44">
        <f t="shared" si="53"/>
        <v>163.80000000000001</v>
      </c>
      <c r="AP44" s="469">
        <f t="shared" si="24"/>
        <v>350</v>
      </c>
      <c r="AQ44" s="469"/>
      <c r="AR44" s="5">
        <f t="shared" si="54"/>
        <v>2.8571428571428572</v>
      </c>
      <c r="AS44" s="5">
        <f t="shared" si="25"/>
        <v>1.3094300832259593</v>
      </c>
      <c r="AT44" s="5">
        <f t="shared" si="55"/>
        <v>1.5477127739168979</v>
      </c>
      <c r="AU44" s="177">
        <f t="shared" si="56"/>
        <v>0.45830052912908575</v>
      </c>
      <c r="AW44" s="5">
        <f t="shared" si="83"/>
        <v>4.6051229968782526</v>
      </c>
      <c r="AX44" s="5">
        <f t="shared" si="84"/>
        <v>5.2625126005865122</v>
      </c>
      <c r="AY44" s="5">
        <f t="shared" si="85"/>
        <v>15.170308270746586</v>
      </c>
      <c r="AZ44" s="5">
        <f t="shared" si="86"/>
        <v>8.9560595926565689</v>
      </c>
      <c r="BA44" s="5">
        <f t="shared" si="87"/>
        <v>1.1466688667125979</v>
      </c>
      <c r="BB44" s="469">
        <f t="shared" si="88"/>
        <v>70.133715336089224</v>
      </c>
      <c r="BC44" s="5"/>
      <c r="BD44" s="177">
        <f t="shared" si="57"/>
        <v>0.68239463365522224</v>
      </c>
      <c r="BE44" s="177">
        <f t="shared" si="89"/>
        <v>0.74189019135047674</v>
      </c>
      <c r="BF44" s="177">
        <f t="shared" si="90"/>
        <v>1.2179808937202461</v>
      </c>
      <c r="BG44" s="177"/>
      <c r="BH44" s="538">
        <f t="shared" si="34"/>
        <v>5.1222867964558945E-2</v>
      </c>
      <c r="BI44" s="538">
        <f t="shared" si="35"/>
        <v>8.6771566848440229E-2</v>
      </c>
      <c r="BJ44" s="538">
        <f t="shared" si="36"/>
        <v>1.7499999999999998E-2</v>
      </c>
      <c r="BK44" s="538">
        <f t="shared" si="37"/>
        <v>6.3516599999999993E-2</v>
      </c>
      <c r="BL44">
        <f t="shared" si="38"/>
        <v>3.48E-3</v>
      </c>
      <c r="BM44">
        <f t="shared" si="91"/>
        <v>2.4500000000000003E-5</v>
      </c>
      <c r="BN44">
        <f t="shared" si="92"/>
        <v>0.22463850779421921</v>
      </c>
      <c r="BO44" s="469">
        <f t="shared" si="58"/>
        <v>224.63850779421921</v>
      </c>
      <c r="BP44" s="177">
        <f t="shared" si="93"/>
        <v>0.14742</v>
      </c>
      <c r="BQ44" s="177">
        <f t="shared" si="94"/>
        <v>0.25447500000000001</v>
      </c>
      <c r="BR44" s="538"/>
      <c r="BT44" s="469">
        <f t="shared" si="59"/>
        <v>401.89499999999998</v>
      </c>
      <c r="BU44" s="538">
        <f t="shared" si="43"/>
        <v>2.235179692998936E-2</v>
      </c>
      <c r="BV44" s="538">
        <f t="shared" si="60"/>
        <v>0.13209625344529127</v>
      </c>
      <c r="BW44" s="538">
        <f t="shared" si="95"/>
        <v>0.35603458979221664</v>
      </c>
      <c r="BX44" s="538">
        <f t="shared" si="45"/>
        <v>0</v>
      </c>
      <c r="BY44" s="538">
        <f t="shared" si="96"/>
        <v>0.53221767070220594</v>
      </c>
      <c r="BZ44" s="538">
        <f t="shared" si="61"/>
        <v>0.51048264016749734</v>
      </c>
      <c r="CA44" s="641">
        <f t="shared" si="97"/>
        <v>5.3343333333333326E-2</v>
      </c>
      <c r="CB44" s="469">
        <f t="shared" si="62"/>
        <v>585.56100403553921</v>
      </c>
      <c r="CC44" s="177">
        <f t="shared" si="63"/>
        <v>1.2120945118297586</v>
      </c>
      <c r="CD44" s="5">
        <f t="shared" si="64"/>
        <v>4.8009000000000004</v>
      </c>
      <c r="CE44" s="177">
        <f t="shared" si="65"/>
        <v>0.79842081853806357</v>
      </c>
      <c r="CF44" s="5">
        <f t="shared" si="66"/>
        <v>79.842081853806363</v>
      </c>
      <c r="CG44">
        <f t="shared" si="102"/>
        <v>39</v>
      </c>
      <c r="CI44" s="571">
        <f t="shared" si="98"/>
        <v>-50</v>
      </c>
      <c r="CJ44">
        <f t="shared" si="99"/>
        <v>-50</v>
      </c>
    </row>
    <row r="45" spans="5:88" x14ac:dyDescent="0.2">
      <c r="E45" s="174">
        <v>40</v>
      </c>
      <c r="F45" s="221">
        <f t="shared" si="103"/>
        <v>0.16800000000000001</v>
      </c>
      <c r="G45" s="221">
        <f t="shared" si="100"/>
        <v>0.28999999999999998</v>
      </c>
      <c r="H45" s="221">
        <f t="shared" si="70"/>
        <v>2.6040000000000001</v>
      </c>
      <c r="I45" s="221">
        <f t="shared" si="104"/>
        <v>2.3199999999999998</v>
      </c>
      <c r="J45" s="551">
        <f t="shared" si="1"/>
        <v>12</v>
      </c>
      <c r="K45" s="451">
        <f t="shared" si="2"/>
        <v>16.399999999999999</v>
      </c>
      <c r="L45" s="451">
        <f t="shared" si="3"/>
        <v>28.4</v>
      </c>
      <c r="M45" s="451"/>
      <c r="N45" s="221">
        <f t="shared" si="4"/>
        <v>0.57746478873239437</v>
      </c>
      <c r="O45" s="176">
        <f t="shared" si="101"/>
        <v>6.7612354549719109</v>
      </c>
      <c r="P45" s="176">
        <f t="shared" si="71"/>
        <v>11.390692542350877</v>
      </c>
      <c r="Q45" s="221">
        <f t="shared" si="6"/>
        <v>0.43620873903044588</v>
      </c>
      <c r="R45" s="221">
        <f t="shared" si="72"/>
        <v>0.84515443187148886</v>
      </c>
      <c r="S45" s="451">
        <f t="shared" si="73"/>
        <v>15.5</v>
      </c>
      <c r="T45" s="221">
        <f t="shared" si="74"/>
        <v>1.5790605239385724</v>
      </c>
      <c r="U45" s="221">
        <f t="shared" si="10"/>
        <v>1.1842953929539295</v>
      </c>
      <c r="V45" s="221">
        <f t="shared" si="11"/>
        <v>0.86655760460043618</v>
      </c>
      <c r="W45" s="201">
        <f t="shared" si="12"/>
        <v>350</v>
      </c>
      <c r="X45" s="451">
        <f t="shared" si="52"/>
        <v>350</v>
      </c>
      <c r="Z45" s="221">
        <f t="shared" si="13"/>
        <v>2.1998658618376927</v>
      </c>
      <c r="AA45" s="177">
        <f t="shared" si="14"/>
        <v>1.2072434607645877</v>
      </c>
      <c r="AB45" s="177">
        <f t="shared" si="75"/>
        <v>0.46476039334599145</v>
      </c>
      <c r="AC45" s="177"/>
      <c r="AD45" s="177">
        <f t="shared" si="16"/>
        <v>0.45</v>
      </c>
      <c r="AE45" s="555">
        <f t="shared" si="76"/>
        <v>910.56910569105708</v>
      </c>
      <c r="AF45" s="538">
        <f t="shared" si="77"/>
        <v>6.4574999999999994E-2</v>
      </c>
      <c r="AH45" s="177">
        <f t="shared" si="78"/>
        <v>1.7681485249687612</v>
      </c>
      <c r="AI45" s="177">
        <f t="shared" si="79"/>
        <v>1.7681485249687612</v>
      </c>
      <c r="AJ45" s="177">
        <f t="shared" si="80"/>
        <v>1.9023322407176009</v>
      </c>
      <c r="AL45" s="555">
        <f t="shared" si="81"/>
        <v>168</v>
      </c>
      <c r="AM45" s="469">
        <f t="shared" si="82"/>
        <v>350</v>
      </c>
      <c r="AO45">
        <f t="shared" si="53"/>
        <v>168</v>
      </c>
      <c r="AP45" s="469">
        <f t="shared" si="24"/>
        <v>350</v>
      </c>
      <c r="AQ45" s="469"/>
      <c r="AR45" s="5">
        <f t="shared" si="54"/>
        <v>2.8571428571428572</v>
      </c>
      <c r="AS45" s="5">
        <f t="shared" si="25"/>
        <v>1.3261113937265712</v>
      </c>
      <c r="AT45" s="5">
        <f t="shared" si="55"/>
        <v>1.531031463416286</v>
      </c>
      <c r="AU45" s="177">
        <f t="shared" si="56"/>
        <v>0.46413898780429991</v>
      </c>
      <c r="AW45" s="5">
        <f t="shared" si="83"/>
        <v>4.6051229968782526</v>
      </c>
      <c r="AX45" s="5">
        <f t="shared" si="84"/>
        <v>5.5272295601173047</v>
      </c>
      <c r="AY45" s="5">
        <f t="shared" si="85"/>
        <v>15.170308270746586</v>
      </c>
      <c r="AZ45" s="5">
        <f t="shared" si="86"/>
        <v>9.4063611757071044</v>
      </c>
      <c r="BA45" s="5">
        <f t="shared" si="87"/>
        <v>1.1633948959663256</v>
      </c>
      <c r="BB45" s="469">
        <f t="shared" si="88"/>
        <v>71.17147153575732</v>
      </c>
      <c r="BC45" s="5"/>
      <c r="BD45" s="177">
        <f t="shared" si="57"/>
        <v>0.69547598955863721</v>
      </c>
      <c r="BE45" s="177">
        <f t="shared" si="89"/>
        <v>0.74728143966235139</v>
      </c>
      <c r="BF45" s="177">
        <f t="shared" si="90"/>
        <v>1.2268318497157849</v>
      </c>
      <c r="BG45" s="177"/>
      <c r="BH45" s="538">
        <f t="shared" si="34"/>
        <v>5.3205553725782222E-2</v>
      </c>
      <c r="BI45" s="538">
        <f t="shared" si="35"/>
        <v>8.7876981690947431E-2</v>
      </c>
      <c r="BJ45" s="538">
        <f t="shared" si="36"/>
        <v>1.7499999999999998E-2</v>
      </c>
      <c r="BK45" s="538">
        <f t="shared" si="37"/>
        <v>6.3516599999999993E-2</v>
      </c>
      <c r="BL45">
        <f t="shared" si="38"/>
        <v>3.48E-3</v>
      </c>
      <c r="BM45">
        <f t="shared" si="91"/>
        <v>2.4500000000000003E-5</v>
      </c>
      <c r="BN45">
        <f t="shared" si="92"/>
        <v>0.22784021168984991</v>
      </c>
      <c r="BO45" s="469">
        <f t="shared" si="58"/>
        <v>227.84021168984992</v>
      </c>
      <c r="BP45" s="177">
        <f t="shared" si="93"/>
        <v>0.1512</v>
      </c>
      <c r="BQ45" s="177">
        <f t="shared" si="94"/>
        <v>0.26100000000000001</v>
      </c>
      <c r="BR45" s="538"/>
      <c r="BT45" s="469">
        <f t="shared" si="59"/>
        <v>412.2</v>
      </c>
      <c r="BU45" s="538">
        <f t="shared" si="43"/>
        <v>2.3216968898523153E-2</v>
      </c>
      <c r="BV45" s="538">
        <f t="shared" si="60"/>
        <v>0.13402309201532075</v>
      </c>
      <c r="BW45" s="538">
        <f t="shared" si="95"/>
        <v>0.36122793299449296</v>
      </c>
      <c r="BX45" s="538">
        <f t="shared" si="45"/>
        <v>0</v>
      </c>
      <c r="BY45" s="538">
        <f t="shared" si="96"/>
        <v>0.54090327685634942</v>
      </c>
      <c r="BZ45" s="538">
        <f t="shared" si="61"/>
        <v>0.51846799390833687</v>
      </c>
      <c r="CA45" s="641">
        <f t="shared" si="97"/>
        <v>5.4711111111111106E-2</v>
      </c>
      <c r="CB45" s="469">
        <f t="shared" si="62"/>
        <v>595.61438796746063</v>
      </c>
      <c r="CC45" s="177">
        <f t="shared" si="63"/>
        <v>1.2356545996573105</v>
      </c>
      <c r="CD45" s="5">
        <f t="shared" si="64"/>
        <v>4.9239999999999995</v>
      </c>
      <c r="CE45" s="177">
        <f t="shared" si="65"/>
        <v>0.79939547264126531</v>
      </c>
      <c r="CF45" s="5">
        <f t="shared" si="66"/>
        <v>79.939547264126531</v>
      </c>
      <c r="CG45">
        <f t="shared" si="102"/>
        <v>40</v>
      </c>
      <c r="CI45" s="571">
        <f t="shared" si="98"/>
        <v>-50</v>
      </c>
      <c r="CJ45">
        <f t="shared" si="99"/>
        <v>-50</v>
      </c>
    </row>
    <row r="46" spans="5:88" x14ac:dyDescent="0.2">
      <c r="E46" s="174">
        <v>41</v>
      </c>
      <c r="F46" s="221">
        <f t="shared" si="103"/>
        <v>0.17219999999999999</v>
      </c>
      <c r="G46" s="221">
        <f t="shared" si="100"/>
        <v>0.29724999999999996</v>
      </c>
      <c r="H46" s="221">
        <f t="shared" si="70"/>
        <v>2.6690999999999998</v>
      </c>
      <c r="I46" s="221">
        <f t="shared" si="104"/>
        <v>2.3779999999999997</v>
      </c>
      <c r="J46" s="551">
        <f t="shared" si="1"/>
        <v>12</v>
      </c>
      <c r="K46" s="451">
        <f t="shared" si="2"/>
        <v>16.399999999999999</v>
      </c>
      <c r="L46" s="451">
        <f t="shared" si="3"/>
        <v>28.4</v>
      </c>
      <c r="M46" s="451"/>
      <c r="N46" s="221">
        <f t="shared" si="4"/>
        <v>0.57746478873239437</v>
      </c>
      <c r="O46" s="176">
        <f t="shared" si="101"/>
        <v>6.7612354549719109</v>
      </c>
      <c r="P46" s="176">
        <f t="shared" si="71"/>
        <v>11.390692542350877</v>
      </c>
      <c r="Q46" s="221">
        <f t="shared" si="6"/>
        <v>0.43620873903044588</v>
      </c>
      <c r="R46" s="221">
        <f t="shared" si="72"/>
        <v>0.84515443187148886</v>
      </c>
      <c r="S46" s="451">
        <f t="shared" si="73"/>
        <v>15.5</v>
      </c>
      <c r="T46" s="221">
        <f t="shared" si="74"/>
        <v>1.6185370370370367</v>
      </c>
      <c r="U46" s="221">
        <f t="shared" si="10"/>
        <v>1.2139027777777776</v>
      </c>
      <c r="V46" s="221">
        <f t="shared" si="11"/>
        <v>0.88822154471544701</v>
      </c>
      <c r="W46" s="201">
        <f t="shared" si="12"/>
        <v>350</v>
      </c>
      <c r="X46" s="451">
        <f t="shared" si="52"/>
        <v>350</v>
      </c>
      <c r="Z46" s="221">
        <f t="shared" si="13"/>
        <v>2.1998658618376927</v>
      </c>
      <c r="AA46" s="177">
        <f t="shared" si="14"/>
        <v>1.2072434607645877</v>
      </c>
      <c r="AB46" s="177">
        <f t="shared" si="75"/>
        <v>0.46476039334599145</v>
      </c>
      <c r="AC46" s="177"/>
      <c r="AD46" s="177">
        <f t="shared" si="16"/>
        <v>0.45</v>
      </c>
      <c r="AE46" s="555">
        <f t="shared" si="76"/>
        <v>933.33333333333337</v>
      </c>
      <c r="AF46" s="538">
        <f t="shared" si="77"/>
        <v>6.4574999999999994E-2</v>
      </c>
      <c r="AH46" s="177">
        <f t="shared" si="78"/>
        <v>1.7901139451185604</v>
      </c>
      <c r="AI46" s="177">
        <f t="shared" si="79"/>
        <v>1.7901139451185604</v>
      </c>
      <c r="AJ46" s="177">
        <f t="shared" si="80"/>
        <v>1.9186029223100447</v>
      </c>
      <c r="AL46" s="555">
        <f t="shared" si="81"/>
        <v>172.2</v>
      </c>
      <c r="AM46" s="469">
        <f t="shared" si="82"/>
        <v>350</v>
      </c>
      <c r="AO46">
        <f t="shared" si="53"/>
        <v>172.2</v>
      </c>
      <c r="AP46" s="469">
        <f t="shared" si="24"/>
        <v>350</v>
      </c>
      <c r="AQ46" s="469"/>
      <c r="AR46" s="5">
        <f t="shared" si="54"/>
        <v>2.8571428571428572</v>
      </c>
      <c r="AS46" s="5">
        <f t="shared" si="25"/>
        <v>1.3425854588389203</v>
      </c>
      <c r="AT46" s="5">
        <f t="shared" si="55"/>
        <v>1.5145573983039369</v>
      </c>
      <c r="AU46" s="177">
        <f t="shared" si="56"/>
        <v>0.4699049105936221</v>
      </c>
      <c r="AW46" s="5">
        <f t="shared" si="83"/>
        <v>4.6051229968782526</v>
      </c>
      <c r="AX46" s="5">
        <f t="shared" si="84"/>
        <v>5.7984355565982417</v>
      </c>
      <c r="AY46" s="5">
        <f t="shared" si="85"/>
        <v>15.170308270746586</v>
      </c>
      <c r="AZ46" s="5">
        <f t="shared" si="86"/>
        <v>9.8676957102272755</v>
      </c>
      <c r="BA46" s="5">
        <f t="shared" si="87"/>
        <v>1.1796485563240429</v>
      </c>
      <c r="BB46" s="469">
        <f t="shared" si="88"/>
        <v>72.180885601664812</v>
      </c>
      <c r="BC46" s="5"/>
      <c r="BD46" s="177">
        <f t="shared" si="57"/>
        <v>0.70847583242745227</v>
      </c>
      <c r="BE46" s="177">
        <f t="shared" si="89"/>
        <v>0.7524834264191741</v>
      </c>
      <c r="BF46" s="177">
        <f t="shared" si="90"/>
        <v>1.235372089973797</v>
      </c>
      <c r="BG46" s="177"/>
      <c r="BH46" s="538">
        <f t="shared" si="34"/>
        <v>5.5213180564714852E-2</v>
      </c>
      <c r="BI46" s="538">
        <f t="shared" si="35"/>
        <v>8.8968663072392443E-2</v>
      </c>
      <c r="BJ46" s="538">
        <f t="shared" si="36"/>
        <v>1.7499999999999998E-2</v>
      </c>
      <c r="BK46" s="538">
        <f t="shared" si="37"/>
        <v>6.3516599999999993E-2</v>
      </c>
      <c r="BL46">
        <f t="shared" si="38"/>
        <v>3.48E-3</v>
      </c>
      <c r="BM46">
        <f t="shared" si="91"/>
        <v>2.4500000000000003E-5</v>
      </c>
      <c r="BN46">
        <f t="shared" si="92"/>
        <v>0.23105667916733014</v>
      </c>
      <c r="BO46" s="469">
        <f t="shared" si="58"/>
        <v>231.05667916733015</v>
      </c>
      <c r="BP46" s="177">
        <f t="shared" si="93"/>
        <v>0.15498000000000001</v>
      </c>
      <c r="BQ46" s="177">
        <f t="shared" si="94"/>
        <v>0.26752499999999996</v>
      </c>
      <c r="BR46" s="538"/>
      <c r="BT46" s="469">
        <f t="shared" si="59"/>
        <v>422.50499999999994</v>
      </c>
      <c r="BU46" s="538">
        <f t="shared" si="43"/>
        <v>2.4093024246421027E-2</v>
      </c>
      <c r="BV46" s="538">
        <f t="shared" si="60"/>
        <v>0.13589551368852973</v>
      </c>
      <c r="BW46" s="538">
        <f t="shared" si="95"/>
        <v>0.36627460816469448</v>
      </c>
      <c r="BX46" s="538">
        <f t="shared" si="45"/>
        <v>0</v>
      </c>
      <c r="BY46" s="538">
        <f t="shared" si="96"/>
        <v>0.54939317662578635</v>
      </c>
      <c r="BZ46" s="538">
        <f t="shared" si="61"/>
        <v>0.5262631460996452</v>
      </c>
      <c r="CA46" s="641">
        <f t="shared" si="97"/>
        <v>5.6078888888888886E-2</v>
      </c>
      <c r="CB46" s="469">
        <f t="shared" si="62"/>
        <v>605.47206551467525</v>
      </c>
      <c r="CC46" s="177">
        <f t="shared" si="63"/>
        <v>1.2590337446820052</v>
      </c>
      <c r="CD46" s="5">
        <f t="shared" si="64"/>
        <v>5.0470999999999995</v>
      </c>
      <c r="CE46" s="177">
        <f t="shared" si="65"/>
        <v>0.800347757333286</v>
      </c>
      <c r="CF46" s="5">
        <f t="shared" si="66"/>
        <v>80.034775733328601</v>
      </c>
      <c r="CG46">
        <f t="shared" si="102"/>
        <v>41</v>
      </c>
      <c r="CI46" s="571">
        <f t="shared" si="98"/>
        <v>-50</v>
      </c>
      <c r="CJ46">
        <f t="shared" si="99"/>
        <v>-50</v>
      </c>
    </row>
    <row r="47" spans="5:88" x14ac:dyDescent="0.2">
      <c r="E47" s="174">
        <v>42</v>
      </c>
      <c r="F47" s="221">
        <f t="shared" si="103"/>
        <v>0.17639999999999997</v>
      </c>
      <c r="G47" s="221">
        <f t="shared" si="100"/>
        <v>0.30449999999999999</v>
      </c>
      <c r="H47" s="221">
        <f t="shared" si="70"/>
        <v>2.7341999999999995</v>
      </c>
      <c r="I47" s="221">
        <f t="shared" si="104"/>
        <v>2.4359999999999999</v>
      </c>
      <c r="J47" s="551">
        <f t="shared" si="1"/>
        <v>12</v>
      </c>
      <c r="K47" s="451">
        <f t="shared" si="2"/>
        <v>16.399999999999999</v>
      </c>
      <c r="L47" s="451">
        <f t="shared" si="3"/>
        <v>28.4</v>
      </c>
      <c r="M47" s="451"/>
      <c r="N47" s="221">
        <f t="shared" si="4"/>
        <v>0.57746478873239437</v>
      </c>
      <c r="O47" s="176">
        <f t="shared" si="101"/>
        <v>6.7612354549719109</v>
      </c>
      <c r="P47" s="176">
        <f t="shared" si="71"/>
        <v>11.390692542350877</v>
      </c>
      <c r="Q47" s="221">
        <f t="shared" si="6"/>
        <v>0.43620873903044588</v>
      </c>
      <c r="R47" s="221">
        <f t="shared" si="72"/>
        <v>0.84515443187148886</v>
      </c>
      <c r="S47" s="451">
        <f t="shared" si="73"/>
        <v>15.5</v>
      </c>
      <c r="T47" s="221">
        <f t="shared" si="74"/>
        <v>1.6580135501355011</v>
      </c>
      <c r="U47" s="221">
        <f t="shared" si="10"/>
        <v>1.2435101626016261</v>
      </c>
      <c r="V47" s="221">
        <f t="shared" si="11"/>
        <v>0.90988548483045806</v>
      </c>
      <c r="W47" s="201">
        <f t="shared" si="12"/>
        <v>350</v>
      </c>
      <c r="X47" s="451">
        <f t="shared" si="52"/>
        <v>350</v>
      </c>
      <c r="Z47" s="221">
        <f t="shared" si="13"/>
        <v>2.1998658618376927</v>
      </c>
      <c r="AA47" s="177">
        <f t="shared" si="14"/>
        <v>1.2072434607645877</v>
      </c>
      <c r="AB47" s="177">
        <f t="shared" si="75"/>
        <v>0.46476039334599145</v>
      </c>
      <c r="AC47" s="177"/>
      <c r="AD47" s="177">
        <f t="shared" si="16"/>
        <v>0.45</v>
      </c>
      <c r="AE47" s="555">
        <f t="shared" si="76"/>
        <v>956.09756097560967</v>
      </c>
      <c r="AF47" s="538">
        <f t="shared" si="77"/>
        <v>6.4574999999999994E-2</v>
      </c>
      <c r="AH47" s="177">
        <f t="shared" si="78"/>
        <v>1.8118130882258983</v>
      </c>
      <c r="AI47" s="177">
        <f t="shared" si="79"/>
        <v>1.8118130882258983</v>
      </c>
      <c r="AJ47" s="177">
        <f t="shared" si="80"/>
        <v>1.9346763616488136</v>
      </c>
      <c r="AL47" s="555">
        <f t="shared" si="81"/>
        <v>176.39999999999998</v>
      </c>
      <c r="AM47" s="469">
        <f t="shared" si="82"/>
        <v>350</v>
      </c>
      <c r="AO47">
        <f t="shared" si="53"/>
        <v>176.39999999999998</v>
      </c>
      <c r="AP47" s="469">
        <f t="shared" si="24"/>
        <v>350</v>
      </c>
      <c r="AQ47" s="469"/>
      <c r="AR47" s="5">
        <f t="shared" si="54"/>
        <v>2.8571428571428572</v>
      </c>
      <c r="AS47" s="5">
        <f t="shared" si="25"/>
        <v>1.3588598161694239</v>
      </c>
      <c r="AT47" s="5">
        <f t="shared" si="55"/>
        <v>1.4982830409734333</v>
      </c>
      <c r="AU47" s="177">
        <f t="shared" si="56"/>
        <v>0.47560093565929834</v>
      </c>
      <c r="AW47" s="5">
        <f t="shared" si="83"/>
        <v>4.6051229968782526</v>
      </c>
      <c r="AX47" s="5">
        <f t="shared" si="84"/>
        <v>6.0761305900293259</v>
      </c>
      <c r="AY47" s="5">
        <f t="shared" si="85"/>
        <v>15.170308270746586</v>
      </c>
      <c r="AZ47" s="5">
        <f t="shared" si="86"/>
        <v>10.340063196217082</v>
      </c>
      <c r="BA47" s="5">
        <f t="shared" si="87"/>
        <v>1.1954356448211179</v>
      </c>
      <c r="BB47" s="469">
        <f t="shared" si="88"/>
        <v>73.162305355933739</v>
      </c>
      <c r="BC47" s="5"/>
      <c r="BD47" s="177">
        <f t="shared" si="57"/>
        <v>0.72139664034987405</v>
      </c>
      <c r="BE47" s="177">
        <f t="shared" si="89"/>
        <v>0.75750188746572555</v>
      </c>
      <c r="BF47" s="177">
        <f t="shared" si="90"/>
        <v>1.2436110311834825</v>
      </c>
      <c r="BG47" s="177"/>
      <c r="BH47" s="538">
        <f t="shared" si="34"/>
        <v>5.7245442397889409E-2</v>
      </c>
      <c r="BI47" s="538">
        <f t="shared" si="35"/>
        <v>9.004711048482715E-2</v>
      </c>
      <c r="BJ47" s="538">
        <f t="shared" si="36"/>
        <v>1.7499999999999998E-2</v>
      </c>
      <c r="BK47" s="538">
        <f t="shared" si="37"/>
        <v>6.3516599999999993E-2</v>
      </c>
      <c r="BL47">
        <f t="shared" si="38"/>
        <v>3.48E-3</v>
      </c>
      <c r="BM47">
        <f t="shared" si="91"/>
        <v>2.4500000000000003E-5</v>
      </c>
      <c r="BN47">
        <f t="shared" si="92"/>
        <v>0.23428815378543652</v>
      </c>
      <c r="BO47" s="469">
        <f t="shared" si="58"/>
        <v>234.28815378543652</v>
      </c>
      <c r="BP47" s="177">
        <f t="shared" si="93"/>
        <v>0.15875999999999998</v>
      </c>
      <c r="BQ47" s="177">
        <f t="shared" si="94"/>
        <v>0.27405000000000002</v>
      </c>
      <c r="BR47" s="538"/>
      <c r="BT47" s="469">
        <f t="shared" si="59"/>
        <v>432.81</v>
      </c>
      <c r="BU47" s="538">
        <f t="shared" si="43"/>
        <v>2.4979829409988108E-2</v>
      </c>
      <c r="BV47" s="538">
        <f t="shared" si="60"/>
        <v>0.13771418628339283</v>
      </c>
      <c r="BW47" s="538">
        <f t="shared" si="95"/>
        <v>0.37117641525149869</v>
      </c>
      <c r="BX47" s="538">
        <f t="shared" si="45"/>
        <v>0</v>
      </c>
      <c r="BY47" s="538">
        <f t="shared" si="96"/>
        <v>0.55768912983097041</v>
      </c>
      <c r="BZ47" s="538">
        <f t="shared" si="61"/>
        <v>0.53387043094487963</v>
      </c>
      <c r="CA47" s="641">
        <f t="shared" si="97"/>
        <v>5.7446666666666674E-2</v>
      </c>
      <c r="CB47" s="469">
        <f t="shared" si="62"/>
        <v>615.1357964976371</v>
      </c>
      <c r="CC47" s="177">
        <f t="shared" si="63"/>
        <v>1.2822339502830735</v>
      </c>
      <c r="CD47" s="5">
        <f t="shared" si="64"/>
        <v>5.1701999999999995</v>
      </c>
      <c r="CE47" s="177">
        <f t="shared" si="65"/>
        <v>0.80127902739293899</v>
      </c>
      <c r="CF47" s="5">
        <f t="shared" si="66"/>
        <v>80.127902739293901</v>
      </c>
      <c r="CG47">
        <f t="shared" si="102"/>
        <v>41.999999999999993</v>
      </c>
      <c r="CI47" s="571">
        <f t="shared" si="98"/>
        <v>-50</v>
      </c>
      <c r="CJ47">
        <f t="shared" si="99"/>
        <v>-50</v>
      </c>
    </row>
    <row r="48" spans="5:88" x14ac:dyDescent="0.2">
      <c r="E48" s="174">
        <v>43</v>
      </c>
      <c r="F48" s="221">
        <f t="shared" si="103"/>
        <v>0.18059999999999998</v>
      </c>
      <c r="G48" s="221">
        <f t="shared" si="100"/>
        <v>0.31174999999999997</v>
      </c>
      <c r="H48" s="221">
        <f t="shared" si="70"/>
        <v>2.7992999999999997</v>
      </c>
      <c r="I48" s="221">
        <f t="shared" si="104"/>
        <v>2.4939999999999998</v>
      </c>
      <c r="J48" s="551">
        <f t="shared" si="1"/>
        <v>12</v>
      </c>
      <c r="K48" s="451">
        <f t="shared" si="2"/>
        <v>16.399999999999999</v>
      </c>
      <c r="L48" s="451">
        <f t="shared" si="3"/>
        <v>28.4</v>
      </c>
      <c r="M48" s="451"/>
      <c r="N48" s="221">
        <f t="shared" si="4"/>
        <v>0.57746478873239437</v>
      </c>
      <c r="O48" s="176">
        <f t="shared" si="101"/>
        <v>6.7612354549719109</v>
      </c>
      <c r="P48" s="176">
        <f t="shared" si="71"/>
        <v>11.390692542350877</v>
      </c>
      <c r="Q48" s="221">
        <f t="shared" si="6"/>
        <v>0.43620873903044588</v>
      </c>
      <c r="R48" s="221">
        <f t="shared" si="72"/>
        <v>0.84515443187148886</v>
      </c>
      <c r="S48" s="451">
        <f t="shared" si="73"/>
        <v>15.5</v>
      </c>
      <c r="T48" s="221">
        <f t="shared" si="74"/>
        <v>1.6974900632339653</v>
      </c>
      <c r="U48" s="221">
        <f t="shared" si="10"/>
        <v>1.2731175474254739</v>
      </c>
      <c r="V48" s="221">
        <f t="shared" si="11"/>
        <v>0.93154942494546877</v>
      </c>
      <c r="W48" s="201">
        <f t="shared" si="12"/>
        <v>350</v>
      </c>
      <c r="X48" s="451">
        <f t="shared" si="52"/>
        <v>350</v>
      </c>
      <c r="Z48" s="221">
        <f t="shared" si="13"/>
        <v>2.1998658618376927</v>
      </c>
      <c r="AA48" s="177">
        <f t="shared" si="14"/>
        <v>1.2072434607645877</v>
      </c>
      <c r="AB48" s="177">
        <f t="shared" si="75"/>
        <v>0.46476039334599145</v>
      </c>
      <c r="AC48" s="177"/>
      <c r="AD48" s="177">
        <f t="shared" si="16"/>
        <v>0.45</v>
      </c>
      <c r="AE48" s="555">
        <f t="shared" si="76"/>
        <v>978.86178861788619</v>
      </c>
      <c r="AF48" s="538">
        <f t="shared" si="77"/>
        <v>6.4574999999999994E-2</v>
      </c>
      <c r="AH48" s="177">
        <f t="shared" si="78"/>
        <v>1.8332554095993816</v>
      </c>
      <c r="AI48" s="177">
        <f t="shared" si="79"/>
        <v>1.8332554095993816</v>
      </c>
      <c r="AJ48" s="177">
        <f t="shared" si="80"/>
        <v>1.9505595626662084</v>
      </c>
      <c r="AL48" s="555">
        <f t="shared" si="81"/>
        <v>180.6</v>
      </c>
      <c r="AM48" s="469">
        <f t="shared" si="82"/>
        <v>350</v>
      </c>
      <c r="AO48">
        <f t="shared" si="53"/>
        <v>180.6</v>
      </c>
      <c r="AP48" s="469">
        <f t="shared" si="24"/>
        <v>350</v>
      </c>
      <c r="AQ48" s="469"/>
      <c r="AR48" s="5">
        <f t="shared" si="54"/>
        <v>2.8571428571428572</v>
      </c>
      <c r="AS48" s="5">
        <f t="shared" si="25"/>
        <v>1.3749415571995363</v>
      </c>
      <c r="AT48" s="5">
        <f t="shared" si="55"/>
        <v>1.4822012999433209</v>
      </c>
      <c r="AU48" s="177">
        <f t="shared" si="56"/>
        <v>0.48122954501983767</v>
      </c>
      <c r="AW48" s="5">
        <f t="shared" si="83"/>
        <v>4.6051229968782526</v>
      </c>
      <c r="AX48" s="5">
        <f t="shared" si="84"/>
        <v>6.360314660410558</v>
      </c>
      <c r="AY48" s="5">
        <f t="shared" si="85"/>
        <v>15.170308270746586</v>
      </c>
      <c r="AZ48" s="5">
        <f t="shared" si="86"/>
        <v>10.823463633676523</v>
      </c>
      <c r="BA48" s="5">
        <f t="shared" si="87"/>
        <v>1.2107617501527745</v>
      </c>
      <c r="BB48" s="469">
        <f t="shared" si="88"/>
        <v>74.116066120277594</v>
      </c>
      <c r="BC48" s="5"/>
      <c r="BD48" s="177">
        <f t="shared" si="57"/>
        <v>0.73424075901695918</v>
      </c>
      <c r="BE48" s="177">
        <f t="shared" si="89"/>
        <v>0.76234220667186725</v>
      </c>
      <c r="BF48" s="177">
        <f t="shared" si="90"/>
        <v>1.2515575121874387</v>
      </c>
      <c r="BG48" s="177"/>
      <c r="BH48" s="538">
        <f t="shared" si="34"/>
        <v>5.9302044142198029E-2</v>
      </c>
      <c r="BI48" s="538">
        <f t="shared" si="35"/>
        <v>9.1112793857089286E-2</v>
      </c>
      <c r="BJ48" s="538">
        <f t="shared" si="36"/>
        <v>1.7499999999999998E-2</v>
      </c>
      <c r="BK48" s="538">
        <f t="shared" si="37"/>
        <v>6.3516599999999993E-2</v>
      </c>
      <c r="BL48">
        <f t="shared" si="38"/>
        <v>3.48E-3</v>
      </c>
      <c r="BM48">
        <f t="shared" si="91"/>
        <v>2.4500000000000003E-5</v>
      </c>
      <c r="BN48">
        <f t="shared" si="92"/>
        <v>0.23753486086670433</v>
      </c>
      <c r="BO48" s="469">
        <f t="shared" si="58"/>
        <v>237.53486086670432</v>
      </c>
      <c r="BP48" s="177">
        <f t="shared" si="93"/>
        <v>0.16253999999999999</v>
      </c>
      <c r="BQ48" s="177">
        <f t="shared" si="94"/>
        <v>0.28057499999999996</v>
      </c>
      <c r="BR48" s="538"/>
      <c r="BT48" s="469">
        <f t="shared" si="59"/>
        <v>443.11499999999995</v>
      </c>
      <c r="BU48" s="538">
        <f t="shared" si="43"/>
        <v>2.5877255625686414E-2</v>
      </c>
      <c r="BV48" s="538">
        <f t="shared" si="60"/>
        <v>0.13947975361759965</v>
      </c>
      <c r="BW48" s="538">
        <f t="shared" si="95"/>
        <v>0.37593508951507454</v>
      </c>
      <c r="BX48" s="538">
        <f t="shared" si="45"/>
        <v>0</v>
      </c>
      <c r="BY48" s="538">
        <f t="shared" si="96"/>
        <v>0.56579283400483393</v>
      </c>
      <c r="BZ48" s="538">
        <f t="shared" si="61"/>
        <v>0.5412920987583606</v>
      </c>
      <c r="CA48" s="641">
        <f t="shared" si="97"/>
        <v>5.881444444444444E-2</v>
      </c>
      <c r="CB48" s="469">
        <f t="shared" si="62"/>
        <v>624.60727844927828</v>
      </c>
      <c r="CC48" s="177">
        <f t="shared" si="63"/>
        <v>1.3052571393159826</v>
      </c>
      <c r="CD48" s="5">
        <f t="shared" si="64"/>
        <v>5.2932999999999995</v>
      </c>
      <c r="CE48" s="177">
        <f t="shared" si="65"/>
        <v>0.80219052260093215</v>
      </c>
      <c r="CF48" s="5">
        <f t="shared" si="66"/>
        <v>80.219052260093221</v>
      </c>
      <c r="CG48">
        <f t="shared" si="102"/>
        <v>43</v>
      </c>
      <c r="CI48" s="571">
        <f t="shared" si="98"/>
        <v>-50</v>
      </c>
      <c r="CJ48">
        <f t="shared" si="99"/>
        <v>-50</v>
      </c>
    </row>
    <row r="49" spans="5:88" x14ac:dyDescent="0.2">
      <c r="E49" s="174">
        <v>44</v>
      </c>
      <c r="F49" s="221">
        <f t="shared" si="103"/>
        <v>0.18479999999999999</v>
      </c>
      <c r="G49" s="221">
        <f t="shared" si="100"/>
        <v>0.31900000000000001</v>
      </c>
      <c r="H49" s="221">
        <f t="shared" si="70"/>
        <v>2.8643999999999998</v>
      </c>
      <c r="I49" s="221">
        <f t="shared" si="104"/>
        <v>2.552</v>
      </c>
      <c r="J49" s="551">
        <f t="shared" si="1"/>
        <v>12</v>
      </c>
      <c r="K49" s="451">
        <f t="shared" si="2"/>
        <v>16.399999999999999</v>
      </c>
      <c r="L49" s="451">
        <f t="shared" si="3"/>
        <v>28.4</v>
      </c>
      <c r="M49" s="451"/>
      <c r="N49" s="221">
        <f t="shared" si="4"/>
        <v>0.57746478873239437</v>
      </c>
      <c r="O49" s="176">
        <f t="shared" si="101"/>
        <v>6.7612354549719109</v>
      </c>
      <c r="P49" s="176">
        <f t="shared" si="71"/>
        <v>11.390692542350877</v>
      </c>
      <c r="Q49" s="221">
        <f t="shared" si="6"/>
        <v>0.43620873903044588</v>
      </c>
      <c r="R49" s="221">
        <f t="shared" si="72"/>
        <v>0.84515443187148886</v>
      </c>
      <c r="S49" s="451">
        <f t="shared" si="73"/>
        <v>15.5</v>
      </c>
      <c r="T49" s="221">
        <f t="shared" si="74"/>
        <v>1.7369665763324296</v>
      </c>
      <c r="U49" s="221">
        <f t="shared" si="10"/>
        <v>1.3027249322493222</v>
      </c>
      <c r="V49" s="221">
        <f t="shared" si="11"/>
        <v>0.95321336506047971</v>
      </c>
      <c r="W49" s="201">
        <f t="shared" si="12"/>
        <v>350</v>
      </c>
      <c r="X49" s="451">
        <f t="shared" si="52"/>
        <v>350</v>
      </c>
      <c r="Z49" s="221">
        <f t="shared" si="13"/>
        <v>2.1998658618376927</v>
      </c>
      <c r="AA49" s="177">
        <f t="shared" si="14"/>
        <v>1.2072434607645877</v>
      </c>
      <c r="AB49" s="177">
        <f t="shared" si="75"/>
        <v>0.46476039334599145</v>
      </c>
      <c r="AC49" s="177"/>
      <c r="AD49" s="177">
        <f t="shared" si="16"/>
        <v>0.45</v>
      </c>
      <c r="AE49" s="555">
        <f t="shared" si="76"/>
        <v>1001.6260162601626</v>
      </c>
      <c r="AF49" s="538">
        <f t="shared" si="77"/>
        <v>6.4574999999999994E-2</v>
      </c>
      <c r="AH49" s="177">
        <f t="shared" si="78"/>
        <v>1.854449817866239</v>
      </c>
      <c r="AI49" s="177">
        <f t="shared" si="79"/>
        <v>1.854449817866239</v>
      </c>
      <c r="AJ49" s="177">
        <f t="shared" si="80"/>
        <v>1.9662591243453622</v>
      </c>
      <c r="AL49" s="555">
        <f t="shared" si="81"/>
        <v>184.79999999999998</v>
      </c>
      <c r="AM49" s="469">
        <f t="shared" si="82"/>
        <v>350</v>
      </c>
      <c r="AO49">
        <f t="shared" si="53"/>
        <v>184.79999999999998</v>
      </c>
      <c r="AP49" s="469">
        <f t="shared" si="24"/>
        <v>350</v>
      </c>
      <c r="AQ49" s="469"/>
      <c r="AR49" s="5">
        <f t="shared" si="54"/>
        <v>2.8571428571428572</v>
      </c>
      <c r="AS49" s="5">
        <f t="shared" si="25"/>
        <v>1.3908373633996791</v>
      </c>
      <c r="AT49" s="5">
        <f t="shared" si="55"/>
        <v>1.4663054937431781</v>
      </c>
      <c r="AU49" s="177">
        <f t="shared" si="56"/>
        <v>0.48679307718988768</v>
      </c>
      <c r="AW49" s="5">
        <f t="shared" si="83"/>
        <v>4.6051229968782526</v>
      </c>
      <c r="AX49" s="5">
        <f t="shared" si="84"/>
        <v>6.6509877677419373</v>
      </c>
      <c r="AY49" s="5">
        <f t="shared" si="85"/>
        <v>15.170308270746586</v>
      </c>
      <c r="AZ49" s="5">
        <f t="shared" si="86"/>
        <v>11.317897022605598</v>
      </c>
      <c r="BA49" s="5">
        <f t="shared" si="87"/>
        <v>1.2256322648627389</v>
      </c>
      <c r="BB49" s="469">
        <f t="shared" si="88"/>
        <v>75.04249144731989</v>
      </c>
      <c r="BC49" s="5"/>
      <c r="BD49" s="177">
        <f t="shared" si="57"/>
        <v>0.74701041170383131</v>
      </c>
      <c r="BE49" s="177">
        <f t="shared" si="89"/>
        <v>0.76700944396670556</v>
      </c>
      <c r="BF49" s="177">
        <f t="shared" si="90"/>
        <v>1.259219840006093</v>
      </c>
      <c r="BG49" s="177"/>
      <c r="BH49" s="538">
        <f t="shared" si="34"/>
        <v>6.1382701071332035E-2</v>
      </c>
      <c r="BI49" s="538">
        <f t="shared" si="35"/>
        <v>9.2166155947952064E-2</v>
      </c>
      <c r="BJ49" s="538">
        <f t="shared" si="36"/>
        <v>1.7499999999999998E-2</v>
      </c>
      <c r="BK49" s="538">
        <f t="shared" si="37"/>
        <v>6.3516599999999993E-2</v>
      </c>
      <c r="BL49">
        <f t="shared" si="38"/>
        <v>3.48E-3</v>
      </c>
      <c r="BM49">
        <f t="shared" si="91"/>
        <v>2.4500000000000003E-5</v>
      </c>
      <c r="BN49">
        <f t="shared" si="92"/>
        <v>0.24079700923870515</v>
      </c>
      <c r="BO49" s="469">
        <f t="shared" si="58"/>
        <v>240.79700923870516</v>
      </c>
      <c r="BP49" s="177">
        <f t="shared" si="93"/>
        <v>0.16632</v>
      </c>
      <c r="BQ49" s="177">
        <f t="shared" si="94"/>
        <v>0.28710000000000002</v>
      </c>
      <c r="BR49" s="538"/>
      <c r="BT49" s="469">
        <f t="shared" si="59"/>
        <v>453.42000000000007</v>
      </c>
      <c r="BU49" s="538">
        <f t="shared" si="43"/>
        <v>2.6785178649308523E-2</v>
      </c>
      <c r="BV49" s="538">
        <f t="shared" si="60"/>
        <v>0.14119283691218756</v>
      </c>
      <c r="BW49" s="538">
        <f t="shared" si="95"/>
        <v>0.3805523053115929</v>
      </c>
      <c r="BX49" s="538">
        <f t="shared" si="45"/>
        <v>0</v>
      </c>
      <c r="BY49" s="538">
        <f t="shared" si="96"/>
        <v>0.57370592864312131</v>
      </c>
      <c r="BZ49" s="538">
        <f t="shared" si="61"/>
        <v>0.54853032087308895</v>
      </c>
      <c r="CA49" s="641">
        <f t="shared" si="97"/>
        <v>6.0182222222222227E-2</v>
      </c>
      <c r="CB49" s="469">
        <f t="shared" si="62"/>
        <v>633.8881508653435</v>
      </c>
      <c r="CC49" s="177">
        <f t="shared" si="63"/>
        <v>1.3281051601040486</v>
      </c>
      <c r="CD49" s="5">
        <f t="shared" si="64"/>
        <v>5.4163999999999994</v>
      </c>
      <c r="CE49" s="177">
        <f t="shared" si="65"/>
        <v>0.80308337994012902</v>
      </c>
      <c r="CF49" s="5">
        <f t="shared" si="66"/>
        <v>80.308337994012902</v>
      </c>
      <c r="CG49">
        <f t="shared" si="102"/>
        <v>44</v>
      </c>
      <c r="CI49" s="571">
        <f t="shared" si="98"/>
        <v>-50</v>
      </c>
      <c r="CJ49">
        <f t="shared" si="99"/>
        <v>-50</v>
      </c>
    </row>
    <row r="50" spans="5:88" x14ac:dyDescent="0.2">
      <c r="E50" s="174">
        <v>45</v>
      </c>
      <c r="F50" s="221">
        <f t="shared" si="103"/>
        <v>0.189</v>
      </c>
      <c r="G50" s="221">
        <f t="shared" si="100"/>
        <v>0.32624999999999998</v>
      </c>
      <c r="H50" s="221">
        <f t="shared" si="70"/>
        <v>2.9295</v>
      </c>
      <c r="I50" s="221">
        <f t="shared" si="104"/>
        <v>2.61</v>
      </c>
      <c r="J50" s="551">
        <f t="shared" si="1"/>
        <v>12</v>
      </c>
      <c r="K50" s="451">
        <f t="shared" si="2"/>
        <v>16.399999999999999</v>
      </c>
      <c r="L50" s="451">
        <f t="shared" si="3"/>
        <v>28.4</v>
      </c>
      <c r="M50" s="451"/>
      <c r="N50" s="221">
        <f t="shared" si="4"/>
        <v>0.57746478873239437</v>
      </c>
      <c r="O50" s="176">
        <f t="shared" si="101"/>
        <v>6.7612354549719109</v>
      </c>
      <c r="P50" s="176">
        <f t="shared" si="71"/>
        <v>11.390692542350877</v>
      </c>
      <c r="Q50" s="221">
        <f t="shared" si="6"/>
        <v>0.43620873903044588</v>
      </c>
      <c r="R50" s="221">
        <f t="shared" si="72"/>
        <v>0.84515443187148886</v>
      </c>
      <c r="S50" s="451">
        <f t="shared" si="73"/>
        <v>15.5</v>
      </c>
      <c r="T50" s="221">
        <f t="shared" si="74"/>
        <v>1.7764430894308942</v>
      </c>
      <c r="U50" s="221">
        <f t="shared" si="10"/>
        <v>1.3323323170731709</v>
      </c>
      <c r="V50" s="221">
        <f t="shared" si="11"/>
        <v>0.97487730517549098</v>
      </c>
      <c r="W50" s="201">
        <f t="shared" si="12"/>
        <v>350</v>
      </c>
      <c r="X50" s="451">
        <f t="shared" si="52"/>
        <v>350</v>
      </c>
      <c r="Z50" s="221">
        <f t="shared" si="13"/>
        <v>2.1998658618376927</v>
      </c>
      <c r="AA50" s="177">
        <f t="shared" si="14"/>
        <v>1.2072434607645877</v>
      </c>
      <c r="AB50" s="177">
        <f t="shared" si="75"/>
        <v>0.46476039334599145</v>
      </c>
      <c r="AC50" s="177"/>
      <c r="AD50" s="177">
        <f t="shared" si="16"/>
        <v>0.45</v>
      </c>
      <c r="AE50" s="555">
        <f t="shared" si="76"/>
        <v>1024.3902439024391</v>
      </c>
      <c r="AF50" s="538">
        <f t="shared" si="77"/>
        <v>6.4574999999999994E-2</v>
      </c>
      <c r="AH50" s="177">
        <f t="shared" si="78"/>
        <v>1.875404718225604</v>
      </c>
      <c r="AI50" s="177">
        <f t="shared" si="79"/>
        <v>1.875404718225604</v>
      </c>
      <c r="AJ50" s="177">
        <f t="shared" si="80"/>
        <v>1.9817812727597066</v>
      </c>
      <c r="AL50" s="555">
        <f t="shared" si="81"/>
        <v>189</v>
      </c>
      <c r="AM50" s="469">
        <f t="shared" si="82"/>
        <v>350</v>
      </c>
      <c r="AO50">
        <f t="shared" si="53"/>
        <v>189</v>
      </c>
      <c r="AP50" s="469">
        <f t="shared" si="24"/>
        <v>350</v>
      </c>
      <c r="AQ50" s="469"/>
      <c r="AR50" s="5">
        <f t="shared" si="54"/>
        <v>2.8571428571428572</v>
      </c>
      <c r="AS50" s="5">
        <f t="shared" si="25"/>
        <v>1.406553538669203</v>
      </c>
      <c r="AT50" s="5">
        <f t="shared" si="55"/>
        <v>1.4505893184736542</v>
      </c>
      <c r="AU50" s="177">
        <f t="shared" si="56"/>
        <v>0.49229373853422104</v>
      </c>
      <c r="AW50" s="5">
        <f t="shared" si="83"/>
        <v>4.6051229968782526</v>
      </c>
      <c r="AX50" s="5">
        <f t="shared" si="84"/>
        <v>6.9481499120234629</v>
      </c>
      <c r="AY50" s="5">
        <f t="shared" si="85"/>
        <v>15.170308270746586</v>
      </c>
      <c r="AZ50" s="5">
        <f t="shared" si="86"/>
        <v>11.823363363004304</v>
      </c>
      <c r="BA50" s="5">
        <f t="shared" si="87"/>
        <v>1.2400523965562975</v>
      </c>
      <c r="BB50" s="469">
        <f t="shared" si="88"/>
        <v>75.941893793377858</v>
      </c>
      <c r="BC50" s="5"/>
      <c r="BD50" s="177">
        <f t="shared" si="57"/>
        <v>0.75970770828913503</v>
      </c>
      <c r="BE50" s="177">
        <f t="shared" si="89"/>
        <v>0.77150836051660687</v>
      </c>
      <c r="BF50" s="177">
        <f t="shared" si="90"/>
        <v>1.2666058311731241</v>
      </c>
      <c r="BG50" s="177"/>
      <c r="BH50" s="538">
        <f t="shared" si="34"/>
        <v>6.348713822373224E-2</v>
      </c>
      <c r="BI50" s="538">
        <f t="shared" si="35"/>
        <v>9.320761449581251E-2</v>
      </c>
      <c r="BJ50" s="538">
        <f t="shared" si="36"/>
        <v>1.7499999999999998E-2</v>
      </c>
      <c r="BK50" s="538">
        <f t="shared" si="37"/>
        <v>6.3516599999999993E-2</v>
      </c>
      <c r="BL50">
        <f t="shared" si="38"/>
        <v>3.48E-3</v>
      </c>
      <c r="BM50">
        <f t="shared" si="91"/>
        <v>2.4500000000000003E-5</v>
      </c>
      <c r="BN50">
        <f t="shared" si="92"/>
        <v>0.24407479278417887</v>
      </c>
      <c r="BO50" s="469">
        <f t="shared" si="58"/>
        <v>244.07479278417887</v>
      </c>
      <c r="BP50" s="177">
        <f t="shared" si="93"/>
        <v>0.1701</v>
      </c>
      <c r="BQ50" s="177">
        <f t="shared" si="94"/>
        <v>0.29362499999999997</v>
      </c>
      <c r="BR50" s="538"/>
      <c r="BT50" s="469">
        <f t="shared" si="59"/>
        <v>463.72499999999997</v>
      </c>
      <c r="BU50" s="538">
        <f t="shared" si="43"/>
        <v>2.7703478497628616E-2</v>
      </c>
      <c r="BV50" s="538">
        <f t="shared" si="60"/>
        <v>0.14285403608328542</v>
      </c>
      <c r="BW50" s="538">
        <f t="shared" si="95"/>
        <v>0.38502967957482248</v>
      </c>
      <c r="BX50" s="538">
        <f t="shared" si="45"/>
        <v>0</v>
      </c>
      <c r="BY50" s="538">
        <f t="shared" si="96"/>
        <v>0.58142999909955195</v>
      </c>
      <c r="BZ50" s="538">
        <f t="shared" si="61"/>
        <v>0.55558719415573654</v>
      </c>
      <c r="CA50" s="641">
        <f t="shared" si="97"/>
        <v>6.1550000000000007E-2</v>
      </c>
      <c r="CB50" s="469">
        <f t="shared" si="62"/>
        <v>642.97999909955195</v>
      </c>
      <c r="CC50" s="177">
        <f t="shared" si="63"/>
        <v>1.3507797918837308</v>
      </c>
      <c r="CD50" s="5">
        <f t="shared" si="64"/>
        <v>5.5395000000000003</v>
      </c>
      <c r="CE50" s="177">
        <f t="shared" si="65"/>
        <v>0.80395864425202945</v>
      </c>
      <c r="CF50" s="5">
        <f t="shared" si="66"/>
        <v>80.395864425202944</v>
      </c>
      <c r="CG50">
        <f t="shared" si="102"/>
        <v>45</v>
      </c>
      <c r="CI50" s="571">
        <f t="shared" si="98"/>
        <v>-50</v>
      </c>
      <c r="CJ50">
        <f t="shared" si="99"/>
        <v>-50</v>
      </c>
    </row>
    <row r="51" spans="5:88" x14ac:dyDescent="0.2">
      <c r="E51" s="174">
        <v>46</v>
      </c>
      <c r="F51" s="221">
        <f t="shared" si="103"/>
        <v>0.19320000000000001</v>
      </c>
      <c r="G51" s="221">
        <f t="shared" si="100"/>
        <v>0.33350000000000002</v>
      </c>
      <c r="H51" s="221">
        <f t="shared" si="70"/>
        <v>2.9946000000000002</v>
      </c>
      <c r="I51" s="221">
        <f t="shared" si="104"/>
        <v>2.6680000000000001</v>
      </c>
      <c r="J51" s="551">
        <f t="shared" si="1"/>
        <v>12</v>
      </c>
      <c r="K51" s="451">
        <f t="shared" si="2"/>
        <v>16.399999999999999</v>
      </c>
      <c r="L51" s="451">
        <f t="shared" si="3"/>
        <v>28.4</v>
      </c>
      <c r="M51" s="451"/>
      <c r="N51" s="221">
        <f t="shared" si="4"/>
        <v>0.57746478873239437</v>
      </c>
      <c r="O51" s="176">
        <f t="shared" si="101"/>
        <v>6.7612354549719109</v>
      </c>
      <c r="P51" s="176">
        <f t="shared" si="71"/>
        <v>11.390692542350877</v>
      </c>
      <c r="Q51" s="221">
        <f t="shared" si="6"/>
        <v>0.43620873903044588</v>
      </c>
      <c r="R51" s="221">
        <f t="shared" si="72"/>
        <v>0.84515443187148886</v>
      </c>
      <c r="S51" s="451">
        <f t="shared" si="73"/>
        <v>15.5</v>
      </c>
      <c r="T51" s="221">
        <f t="shared" si="74"/>
        <v>1.8159196025293585</v>
      </c>
      <c r="U51" s="221">
        <f t="shared" si="10"/>
        <v>1.361939701897019</v>
      </c>
      <c r="V51" s="221">
        <f t="shared" si="11"/>
        <v>0.9965412452905017</v>
      </c>
      <c r="W51" s="201">
        <f t="shared" si="12"/>
        <v>350</v>
      </c>
      <c r="X51" s="451">
        <f t="shared" si="52"/>
        <v>350</v>
      </c>
      <c r="Z51" s="221">
        <f t="shared" si="13"/>
        <v>2.1998658618376927</v>
      </c>
      <c r="AA51" s="177">
        <f t="shared" si="14"/>
        <v>1.2072434607645877</v>
      </c>
      <c r="AB51" s="177">
        <f t="shared" si="75"/>
        <v>0.46476039334599145</v>
      </c>
      <c r="AC51" s="177"/>
      <c r="AD51" s="177">
        <f t="shared" si="16"/>
        <v>0.45</v>
      </c>
      <c r="AE51" s="555">
        <f t="shared" si="76"/>
        <v>1047.1544715447155</v>
      </c>
      <c r="AF51" s="538">
        <f t="shared" si="77"/>
        <v>6.4574999999999994E-2</v>
      </c>
      <c r="AH51" s="177">
        <f t="shared" si="78"/>
        <v>1.8961280513988468</v>
      </c>
      <c r="AI51" s="177">
        <f t="shared" si="79"/>
        <v>1.8961280513988468</v>
      </c>
      <c r="AJ51" s="177">
        <f t="shared" si="80"/>
        <v>1.9971318899250716</v>
      </c>
      <c r="AL51" s="555">
        <f t="shared" si="81"/>
        <v>193.20000000000002</v>
      </c>
      <c r="AM51" s="469">
        <f t="shared" si="82"/>
        <v>350</v>
      </c>
      <c r="AO51">
        <f t="shared" si="53"/>
        <v>193.20000000000002</v>
      </c>
      <c r="AP51" s="469">
        <f t="shared" si="24"/>
        <v>350</v>
      </c>
      <c r="AQ51" s="469"/>
      <c r="AR51" s="5">
        <f t="shared" si="54"/>
        <v>2.8571428571428572</v>
      </c>
      <c r="AS51" s="5">
        <f t="shared" si="25"/>
        <v>1.4220960385491352</v>
      </c>
      <c r="AT51" s="5">
        <f t="shared" si="55"/>
        <v>1.435046818593722</v>
      </c>
      <c r="AU51" s="177">
        <f t="shared" si="56"/>
        <v>0.4977336134921973</v>
      </c>
      <c r="AW51" s="5">
        <f t="shared" si="83"/>
        <v>4.6051229968782526</v>
      </c>
      <c r="AX51" s="5">
        <f t="shared" si="84"/>
        <v>7.2518010932551347</v>
      </c>
      <c r="AY51" s="5">
        <f t="shared" si="85"/>
        <v>15.170308270746586</v>
      </c>
      <c r="AZ51" s="5">
        <f t="shared" si="86"/>
        <v>12.339862654872647</v>
      </c>
      <c r="BA51" s="5">
        <f t="shared" si="87"/>
        <v>1.2540271782359274</v>
      </c>
      <c r="BB51" s="469">
        <f t="shared" si="88"/>
        <v>76.814575138600105</v>
      </c>
      <c r="BC51" s="5"/>
      <c r="BD51" s="177">
        <f t="shared" si="57"/>
        <v>0.77233465342467789</v>
      </c>
      <c r="BE51" s="177">
        <f t="shared" si="89"/>
        <v>0.77584344139345873</v>
      </c>
      <c r="BF51" s="177">
        <f t="shared" si="90"/>
        <v>1.2737228489505477</v>
      </c>
      <c r="BG51" s="177"/>
      <c r="BH51" s="538">
        <f t="shared" si="34"/>
        <v>6.5615089856867898E-2</v>
      </c>
      <c r="BI51" s="538">
        <f t="shared" si="35"/>
        <v>9.4237564154522682E-2</v>
      </c>
      <c r="BJ51" s="538">
        <f t="shared" si="36"/>
        <v>1.7499999999999998E-2</v>
      </c>
      <c r="BK51" s="538">
        <f t="shared" si="37"/>
        <v>6.3516599999999993E-2</v>
      </c>
      <c r="BL51">
        <f t="shared" si="38"/>
        <v>3.48E-3</v>
      </c>
      <c r="BM51">
        <f t="shared" si="91"/>
        <v>2.4500000000000003E-5</v>
      </c>
      <c r="BN51">
        <f t="shared" si="92"/>
        <v>0.24736839182436327</v>
      </c>
      <c r="BO51" s="469">
        <f t="shared" si="58"/>
        <v>247.36839182436327</v>
      </c>
      <c r="BP51" s="177">
        <f t="shared" si="93"/>
        <v>0.17388000000000001</v>
      </c>
      <c r="BQ51" s="177">
        <f t="shared" si="94"/>
        <v>0.30015000000000003</v>
      </c>
      <c r="BR51" s="538"/>
      <c r="BT51" s="469">
        <f t="shared" si="59"/>
        <v>474.03000000000009</v>
      </c>
      <c r="BU51" s="538">
        <f t="shared" si="43"/>
        <v>2.863203921026963E-2</v>
      </c>
      <c r="BV51" s="538">
        <f t="shared" si="60"/>
        <v>0.14446393093277884</v>
      </c>
      <c r="BW51" s="538">
        <f t="shared" si="95"/>
        <v>0.38936877502528788</v>
      </c>
      <c r="BX51" s="538">
        <f t="shared" si="45"/>
        <v>0</v>
      </c>
      <c r="BY51" s="538">
        <f t="shared" si="96"/>
        <v>0.58896658016222536</v>
      </c>
      <c r="BZ51" s="538">
        <f t="shared" si="61"/>
        <v>0.56246474516833633</v>
      </c>
      <c r="CA51" s="641">
        <f t="shared" si="97"/>
        <v>6.2917777777777795E-2</v>
      </c>
      <c r="CB51" s="469">
        <f t="shared" si="62"/>
        <v>651.88435794000316</v>
      </c>
      <c r="CC51" s="177">
        <f t="shared" si="63"/>
        <v>1.3732827497643665</v>
      </c>
      <c r="CD51" s="5">
        <f t="shared" si="64"/>
        <v>5.6626000000000003</v>
      </c>
      <c r="CE51" s="177">
        <f t="shared" si="65"/>
        <v>0.80481727757467847</v>
      </c>
      <c r="CF51" s="5">
        <f t="shared" si="66"/>
        <v>80.481727757467851</v>
      </c>
      <c r="CG51">
        <f t="shared" si="102"/>
        <v>46</v>
      </c>
      <c r="CI51" s="571">
        <f t="shared" si="98"/>
        <v>-50</v>
      </c>
      <c r="CJ51">
        <f t="shared" si="99"/>
        <v>-50</v>
      </c>
    </row>
    <row r="52" spans="5:88" x14ac:dyDescent="0.2">
      <c r="E52" s="174">
        <v>47</v>
      </c>
      <c r="F52" s="221">
        <f t="shared" si="103"/>
        <v>0.19739999999999999</v>
      </c>
      <c r="G52" s="221">
        <f t="shared" si="100"/>
        <v>0.34075</v>
      </c>
      <c r="H52" s="221">
        <f t="shared" si="70"/>
        <v>3.0596999999999999</v>
      </c>
      <c r="I52" s="221">
        <f t="shared" si="104"/>
        <v>2.726</v>
      </c>
      <c r="J52" s="551">
        <f t="shared" si="1"/>
        <v>12</v>
      </c>
      <c r="K52" s="451">
        <f t="shared" si="2"/>
        <v>16.399999999999999</v>
      </c>
      <c r="L52" s="451">
        <f t="shared" si="3"/>
        <v>28.4</v>
      </c>
      <c r="M52" s="451"/>
      <c r="N52" s="221">
        <f t="shared" si="4"/>
        <v>0.57746478873239437</v>
      </c>
      <c r="O52" s="176">
        <f t="shared" si="101"/>
        <v>6.7612354549719109</v>
      </c>
      <c r="P52" s="176">
        <f t="shared" si="71"/>
        <v>11.390692542350877</v>
      </c>
      <c r="Q52" s="221">
        <f t="shared" si="6"/>
        <v>0.43620873903044588</v>
      </c>
      <c r="R52" s="221">
        <f t="shared" si="72"/>
        <v>0.84515443187148886</v>
      </c>
      <c r="S52" s="451">
        <f t="shared" si="73"/>
        <v>15.5</v>
      </c>
      <c r="T52" s="221">
        <f t="shared" si="74"/>
        <v>1.8553961156278229</v>
      </c>
      <c r="U52" s="221">
        <f t="shared" si="10"/>
        <v>1.3915470867208672</v>
      </c>
      <c r="V52" s="221">
        <f t="shared" si="11"/>
        <v>1.0182051854055127</v>
      </c>
      <c r="W52" s="201">
        <f t="shared" si="12"/>
        <v>350</v>
      </c>
      <c r="X52" s="451">
        <f t="shared" si="52"/>
        <v>350</v>
      </c>
      <c r="Z52" s="221">
        <f t="shared" si="13"/>
        <v>2.1998658618376927</v>
      </c>
      <c r="AA52" s="177">
        <f t="shared" si="14"/>
        <v>1.2072434607645877</v>
      </c>
      <c r="AB52" s="177">
        <f t="shared" si="75"/>
        <v>0.46476039334599145</v>
      </c>
      <c r="AC52" s="177"/>
      <c r="AD52" s="177">
        <f t="shared" si="16"/>
        <v>0.45</v>
      </c>
      <c r="AE52" s="555">
        <f t="shared" si="76"/>
        <v>1069.9186991869919</v>
      </c>
      <c r="AF52" s="538">
        <f t="shared" si="77"/>
        <v>6.4574999999999994E-2</v>
      </c>
      <c r="AH52" s="177">
        <f t="shared" si="78"/>
        <v>1.9166273287888591</v>
      </c>
      <c r="AI52" s="177">
        <f t="shared" si="79"/>
        <v>1.9166273287888591</v>
      </c>
      <c r="AJ52" s="177">
        <f t="shared" si="80"/>
        <v>2.0123165398435994</v>
      </c>
      <c r="AL52" s="555">
        <f t="shared" si="81"/>
        <v>197.4</v>
      </c>
      <c r="AM52" s="469">
        <f t="shared" si="82"/>
        <v>350</v>
      </c>
      <c r="AO52">
        <f t="shared" si="53"/>
        <v>197.4</v>
      </c>
      <c r="AP52" s="469">
        <f t="shared" si="24"/>
        <v>350</v>
      </c>
      <c r="AQ52" s="469"/>
      <c r="AR52" s="5">
        <f t="shared" si="54"/>
        <v>2.8571428571428572</v>
      </c>
      <c r="AS52" s="5">
        <f t="shared" si="25"/>
        <v>1.4374704965916443</v>
      </c>
      <c r="AT52" s="5">
        <f t="shared" si="55"/>
        <v>1.4196723605512129</v>
      </c>
      <c r="AU52" s="177">
        <f t="shared" si="56"/>
        <v>0.50311467380707553</v>
      </c>
      <c r="AW52" s="5">
        <f t="shared" si="83"/>
        <v>4.6051229968782526</v>
      </c>
      <c r="AX52" s="5">
        <f t="shared" si="84"/>
        <v>7.5619413114369509</v>
      </c>
      <c r="AY52" s="5">
        <f t="shared" si="85"/>
        <v>15.170308270746586</v>
      </c>
      <c r="AZ52" s="5">
        <f t="shared" si="86"/>
        <v>12.867394898210621</v>
      </c>
      <c r="BA52" s="5">
        <f t="shared" si="87"/>
        <v>1.2675614778458568</v>
      </c>
      <c r="BB52" s="469">
        <f t="shared" si="88"/>
        <v>77.66082755964031</v>
      </c>
      <c r="BC52" s="5"/>
      <c r="BD52" s="177">
        <f t="shared" si="57"/>
        <v>0.78489315395202763</v>
      </c>
      <c r="BE52" s="177">
        <f t="shared" si="89"/>
        <v>0.78001891603089424</v>
      </c>
      <c r="BF52" s="177">
        <f t="shared" si="90"/>
        <v>1.2805778369122465</v>
      </c>
      <c r="BG52" s="177"/>
      <c r="BH52" s="538">
        <f t="shared" si="34"/>
        <v>6.7766298943283745E-2</v>
      </c>
      <c r="BI52" s="538">
        <f t="shared" si="35"/>
        <v>9.5256378240806294E-2</v>
      </c>
      <c r="BJ52" s="538">
        <f t="shared" si="36"/>
        <v>1.7499999999999998E-2</v>
      </c>
      <c r="BK52" s="538">
        <f t="shared" si="37"/>
        <v>6.3516599999999993E-2</v>
      </c>
      <c r="BL52">
        <f t="shared" si="38"/>
        <v>3.48E-3</v>
      </c>
      <c r="BM52">
        <f t="shared" si="91"/>
        <v>2.4500000000000003E-5</v>
      </c>
      <c r="BN52">
        <f t="shared" si="92"/>
        <v>0.25067797435633032</v>
      </c>
      <c r="BO52" s="469">
        <f t="shared" si="58"/>
        <v>250.67797435633031</v>
      </c>
      <c r="BP52" s="177">
        <f t="shared" si="93"/>
        <v>0.17765999999999998</v>
      </c>
      <c r="BQ52" s="177">
        <f t="shared" si="94"/>
        <v>0.30667500000000003</v>
      </c>
      <c r="BR52" s="538"/>
      <c r="BT52" s="469">
        <f t="shared" si="59"/>
        <v>484.33500000000004</v>
      </c>
      <c r="BU52" s="538">
        <f t="shared" si="43"/>
        <v>2.9570748629796546E-2</v>
      </c>
      <c r="BV52" s="538">
        <f t="shared" si="60"/>
        <v>0.14602308224784269</v>
      </c>
      <c r="BW52" s="538">
        <f t="shared" si="95"/>
        <v>0.39357110313380356</v>
      </c>
      <c r="BX52" s="538">
        <f t="shared" si="45"/>
        <v>0</v>
      </c>
      <c r="BY52" s="538">
        <f t="shared" si="96"/>
        <v>0.59631715934324181</v>
      </c>
      <c r="BZ52" s="538">
        <f t="shared" si="61"/>
        <v>0.56916493401144286</v>
      </c>
      <c r="CA52" s="641">
        <f t="shared" si="97"/>
        <v>6.4285555555555568E-2</v>
      </c>
      <c r="CB52" s="469">
        <f t="shared" si="62"/>
        <v>660.60271489879744</v>
      </c>
      <c r="CC52" s="177">
        <f t="shared" si="63"/>
        <v>1.3956156892551277</v>
      </c>
      <c r="CD52" s="5">
        <f t="shared" si="64"/>
        <v>5.7857000000000003</v>
      </c>
      <c r="CE52" s="177">
        <f t="shared" si="65"/>
        <v>0.80566016735021351</v>
      </c>
      <c r="CF52" s="5">
        <f t="shared" si="66"/>
        <v>80.56601673502135</v>
      </c>
      <c r="CG52">
        <f t="shared" si="102"/>
        <v>47</v>
      </c>
      <c r="CI52" s="571">
        <f t="shared" si="98"/>
        <v>-50</v>
      </c>
      <c r="CJ52">
        <f t="shared" si="99"/>
        <v>-50</v>
      </c>
    </row>
    <row r="53" spans="5:88" x14ac:dyDescent="0.2">
      <c r="E53" s="174">
        <v>48</v>
      </c>
      <c r="F53" s="221">
        <f t="shared" si="103"/>
        <v>0.20159999999999997</v>
      </c>
      <c r="G53" s="221">
        <f t="shared" si="100"/>
        <v>0.34799999999999998</v>
      </c>
      <c r="H53" s="221">
        <f t="shared" si="70"/>
        <v>3.1247999999999996</v>
      </c>
      <c r="I53" s="221">
        <f t="shared" si="104"/>
        <v>2.7839999999999998</v>
      </c>
      <c r="J53" s="551">
        <f t="shared" si="1"/>
        <v>12</v>
      </c>
      <c r="K53" s="451">
        <f t="shared" si="2"/>
        <v>16.399999999999999</v>
      </c>
      <c r="L53" s="451">
        <f t="shared" si="3"/>
        <v>28.4</v>
      </c>
      <c r="M53" s="451"/>
      <c r="N53" s="221">
        <f t="shared" si="4"/>
        <v>0.57746478873239437</v>
      </c>
      <c r="O53" s="176">
        <f t="shared" si="101"/>
        <v>6.7612354549719109</v>
      </c>
      <c r="P53" s="176">
        <f t="shared" si="71"/>
        <v>11.390692542350877</v>
      </c>
      <c r="Q53" s="221">
        <f t="shared" si="6"/>
        <v>0.43620873903044588</v>
      </c>
      <c r="R53" s="221">
        <f t="shared" si="72"/>
        <v>0.84515443187148886</v>
      </c>
      <c r="S53" s="451">
        <f t="shared" si="73"/>
        <v>15.5</v>
      </c>
      <c r="T53" s="221">
        <f t="shared" si="74"/>
        <v>1.8948726287262869</v>
      </c>
      <c r="U53" s="221">
        <f t="shared" si="10"/>
        <v>1.4211544715447153</v>
      </c>
      <c r="V53" s="221">
        <f t="shared" si="11"/>
        <v>1.0398691255205235</v>
      </c>
      <c r="W53" s="201">
        <f t="shared" si="12"/>
        <v>350</v>
      </c>
      <c r="X53" s="451">
        <f t="shared" si="52"/>
        <v>350</v>
      </c>
      <c r="Z53" s="221">
        <f t="shared" si="13"/>
        <v>2.1998658618376927</v>
      </c>
      <c r="AA53" s="177">
        <f t="shared" si="14"/>
        <v>1.2072434607645877</v>
      </c>
      <c r="AB53" s="177">
        <f t="shared" si="75"/>
        <v>0.46476039334599145</v>
      </c>
      <c r="AC53" s="177"/>
      <c r="AD53" s="177">
        <f t="shared" si="16"/>
        <v>0.45</v>
      </c>
      <c r="AE53" s="555">
        <f t="shared" si="76"/>
        <v>1092.6829268292681</v>
      </c>
      <c r="AF53" s="538">
        <f t="shared" si="77"/>
        <v>6.4574999999999994E-2</v>
      </c>
      <c r="AH53" s="177">
        <f t="shared" si="78"/>
        <v>1.9369096642897539</v>
      </c>
      <c r="AI53" s="177">
        <f t="shared" si="79"/>
        <v>1.9369096642897539</v>
      </c>
      <c r="AJ53" s="177">
        <f t="shared" si="80"/>
        <v>2.0273404920664841</v>
      </c>
      <c r="AL53" s="555">
        <f t="shared" si="81"/>
        <v>201.59999999999997</v>
      </c>
      <c r="AM53" s="469">
        <f t="shared" si="82"/>
        <v>350</v>
      </c>
      <c r="AO53">
        <f t="shared" si="53"/>
        <v>201.59999999999997</v>
      </c>
      <c r="AP53" s="469">
        <f t="shared" si="24"/>
        <v>350</v>
      </c>
      <c r="AQ53" s="469"/>
      <c r="AR53" s="5">
        <f t="shared" si="54"/>
        <v>2.8571428571428572</v>
      </c>
      <c r="AS53" s="5">
        <f t="shared" si="25"/>
        <v>1.4526822482173154</v>
      </c>
      <c r="AT53" s="5">
        <f t="shared" si="55"/>
        <v>1.4044606089255418</v>
      </c>
      <c r="AU53" s="177">
        <f t="shared" si="56"/>
        <v>0.50843878687606037</v>
      </c>
      <c r="AW53" s="5">
        <f t="shared" si="83"/>
        <v>4.6051229968782526</v>
      </c>
      <c r="AX53" s="5">
        <f t="shared" si="84"/>
        <v>7.8785705665689143</v>
      </c>
      <c r="AY53" s="5">
        <f t="shared" si="85"/>
        <v>15.170308270746586</v>
      </c>
      <c r="AZ53" s="5">
        <f t="shared" si="86"/>
        <v>13.40596009301823</v>
      </c>
      <c r="BA53" s="5">
        <f t="shared" si="87"/>
        <v>1.2806600071017342</v>
      </c>
      <c r="BB53" s="469">
        <f t="shared" si="88"/>
        <v>78.480933759437406</v>
      </c>
      <c r="BC53" s="5"/>
      <c r="BD53" s="177">
        <f t="shared" si="57"/>
        <v>0.79738502564999914</v>
      </c>
      <c r="BE53" s="177">
        <f t="shared" si="89"/>
        <v>0.78403877672525391</v>
      </c>
      <c r="BF53" s="177">
        <f t="shared" si="90"/>
        <v>1.2871773493174916</v>
      </c>
      <c r="BG53" s="177"/>
      <c r="BH53" s="538">
        <f t="shared" si="34"/>
        <v>6.9940516704393482E-2</v>
      </c>
      <c r="BI53" s="538">
        <f t="shared" si="35"/>
        <v>9.6264410315200763E-2</v>
      </c>
      <c r="BJ53" s="538">
        <f t="shared" si="36"/>
        <v>1.7499999999999998E-2</v>
      </c>
      <c r="BK53" s="538">
        <f t="shared" si="37"/>
        <v>6.3516599999999993E-2</v>
      </c>
      <c r="BL53">
        <f t="shared" si="38"/>
        <v>3.48E-3</v>
      </c>
      <c r="BM53">
        <f t="shared" si="91"/>
        <v>2.4500000000000003E-5</v>
      </c>
      <c r="BN53">
        <f t="shared" si="92"/>
        <v>0.25400369716218679</v>
      </c>
      <c r="BO53" s="469">
        <f t="shared" si="58"/>
        <v>254.0036971621868</v>
      </c>
      <c r="BP53" s="177">
        <f t="shared" si="93"/>
        <v>0.18143999999999999</v>
      </c>
      <c r="BQ53" s="177">
        <f t="shared" si="94"/>
        <v>0.31319999999999998</v>
      </c>
      <c r="BR53" s="538"/>
      <c r="BT53" s="469">
        <f t="shared" si="59"/>
        <v>494.64</v>
      </c>
      <c r="BU53" s="538">
        <f t="shared" si="43"/>
        <v>3.051949819828079E-2</v>
      </c>
      <c r="BV53" s="538">
        <f t="shared" si="60"/>
        <v>0.1475320328181198</v>
      </c>
      <c r="BW53" s="538">
        <f t="shared" si="95"/>
        <v>0.3976381268630409</v>
      </c>
      <c r="BX53" s="538">
        <f t="shared" si="45"/>
        <v>0</v>
      </c>
      <c r="BY53" s="538">
        <f t="shared" si="96"/>
        <v>0.60348317990969846</v>
      </c>
      <c r="BZ53" s="538">
        <f t="shared" si="61"/>
        <v>0.57568965787944149</v>
      </c>
      <c r="CA53" s="641">
        <f t="shared" si="97"/>
        <v>6.5653333333333341E-2</v>
      </c>
      <c r="CB53" s="469">
        <f t="shared" si="62"/>
        <v>669.1365132430318</v>
      </c>
      <c r="CC53" s="177">
        <f t="shared" si="63"/>
        <v>1.4177802104052186</v>
      </c>
      <c r="CD53" s="5">
        <f t="shared" si="64"/>
        <v>5.9087999999999994</v>
      </c>
      <c r="CE53" s="177">
        <f t="shared" si="65"/>
        <v>0.80648813366000061</v>
      </c>
      <c r="CF53" s="5">
        <f t="shared" si="66"/>
        <v>80.648813366000056</v>
      </c>
      <c r="CG53">
        <f t="shared" si="102"/>
        <v>48</v>
      </c>
      <c r="CI53" s="571">
        <f t="shared" si="98"/>
        <v>-50</v>
      </c>
      <c r="CJ53">
        <f t="shared" si="99"/>
        <v>-50</v>
      </c>
    </row>
    <row r="54" spans="5:88" x14ac:dyDescent="0.2">
      <c r="E54" s="174">
        <v>49</v>
      </c>
      <c r="F54" s="221">
        <f t="shared" si="103"/>
        <v>0.20579999999999998</v>
      </c>
      <c r="G54" s="221">
        <f t="shared" si="100"/>
        <v>0.35525000000000001</v>
      </c>
      <c r="H54" s="221">
        <f t="shared" si="70"/>
        <v>3.1898999999999997</v>
      </c>
      <c r="I54" s="221">
        <f t="shared" si="104"/>
        <v>2.8420000000000001</v>
      </c>
      <c r="J54" s="551">
        <f t="shared" si="1"/>
        <v>12</v>
      </c>
      <c r="K54" s="451">
        <f t="shared" si="2"/>
        <v>16.399999999999999</v>
      </c>
      <c r="L54" s="451">
        <f t="shared" si="3"/>
        <v>28.4</v>
      </c>
      <c r="M54" s="451"/>
      <c r="N54" s="221">
        <f t="shared" si="4"/>
        <v>0.57746478873239437</v>
      </c>
      <c r="O54" s="176">
        <f t="shared" si="101"/>
        <v>6.7612354549719109</v>
      </c>
      <c r="P54" s="176">
        <f t="shared" si="71"/>
        <v>11.390692542350877</v>
      </c>
      <c r="Q54" s="221">
        <f t="shared" si="6"/>
        <v>0.43620873903044588</v>
      </c>
      <c r="R54" s="221">
        <f t="shared" si="72"/>
        <v>0.84515443187148886</v>
      </c>
      <c r="S54" s="451">
        <f t="shared" si="73"/>
        <v>15.5</v>
      </c>
      <c r="T54" s="221">
        <f t="shared" si="74"/>
        <v>1.9343491418247516</v>
      </c>
      <c r="U54" s="221">
        <f t="shared" si="10"/>
        <v>1.4507618563685638</v>
      </c>
      <c r="V54" s="221">
        <f t="shared" si="11"/>
        <v>1.0615330656355346</v>
      </c>
      <c r="W54" s="201">
        <f t="shared" si="12"/>
        <v>350</v>
      </c>
      <c r="X54" s="451">
        <f t="shared" si="52"/>
        <v>350</v>
      </c>
      <c r="Z54" s="221">
        <f t="shared" si="13"/>
        <v>2.1998658618376927</v>
      </c>
      <c r="AA54" s="177">
        <f t="shared" si="14"/>
        <v>1.2072434607645877</v>
      </c>
      <c r="AB54" s="177">
        <f t="shared" si="75"/>
        <v>0.46476039334599145</v>
      </c>
      <c r="AC54" s="177"/>
      <c r="AD54" s="177">
        <f t="shared" si="16"/>
        <v>0.45</v>
      </c>
      <c r="AE54" s="555">
        <f t="shared" si="76"/>
        <v>1115.4471544715448</v>
      </c>
      <c r="AF54" s="538">
        <f t="shared" si="77"/>
        <v>6.4574999999999994E-2</v>
      </c>
      <c r="AH54" s="177">
        <f t="shared" si="78"/>
        <v>1.9569818031289352</v>
      </c>
      <c r="AI54" s="177">
        <f t="shared" si="79"/>
        <v>1.9569818031289352</v>
      </c>
      <c r="AJ54" s="177">
        <f t="shared" si="80"/>
        <v>2.0422087430584703</v>
      </c>
      <c r="AL54" s="555">
        <f t="shared" si="81"/>
        <v>205.79999999999998</v>
      </c>
      <c r="AM54" s="469">
        <f t="shared" si="82"/>
        <v>350</v>
      </c>
      <c r="AO54">
        <f t="shared" si="53"/>
        <v>205.79999999999998</v>
      </c>
      <c r="AP54" s="469">
        <f t="shared" si="24"/>
        <v>350</v>
      </c>
      <c r="AQ54" s="469"/>
      <c r="AR54" s="5">
        <f t="shared" si="54"/>
        <v>2.8571428571428572</v>
      </c>
      <c r="AS54" s="5">
        <f t="shared" si="25"/>
        <v>1.4677363523467015</v>
      </c>
      <c r="AT54" s="5">
        <f t="shared" si="55"/>
        <v>1.3894065047961557</v>
      </c>
      <c r="AU54" s="177">
        <f t="shared" si="56"/>
        <v>0.51370772332134551</v>
      </c>
      <c r="AW54" s="5">
        <f t="shared" si="83"/>
        <v>4.6051229968782526</v>
      </c>
      <c r="AX54" s="5">
        <f t="shared" si="84"/>
        <v>8.2016888586510266</v>
      </c>
      <c r="AY54" s="5">
        <f t="shared" si="85"/>
        <v>15.170308270746586</v>
      </c>
      <c r="AZ54" s="5">
        <f t="shared" si="86"/>
        <v>13.955558239295476</v>
      </c>
      <c r="BA54" s="5">
        <f t="shared" si="87"/>
        <v>1.2933273296728287</v>
      </c>
      <c r="BB54" s="469">
        <f t="shared" si="88"/>
        <v>79.275167558147515</v>
      </c>
      <c r="BC54" s="5"/>
      <c r="BD54" s="177">
        <f t="shared" si="57"/>
        <v>0.80981199938605186</v>
      </c>
      <c r="BE54" s="177">
        <f t="shared" si="89"/>
        <v>0.7879067954034652</v>
      </c>
      <c r="BF54" s="177">
        <f t="shared" si="90"/>
        <v>1.2935275786392171</v>
      </c>
      <c r="BG54" s="177"/>
      <c r="BH54" s="538">
        <f t="shared" si="34"/>
        <v>7.2137502178459836E-2</v>
      </c>
      <c r="BI54" s="538">
        <f t="shared" si="35"/>
        <v>9.7261995615508079E-2</v>
      </c>
      <c r="BJ54" s="538">
        <f t="shared" si="36"/>
        <v>1.7499999999999998E-2</v>
      </c>
      <c r="BK54" s="538">
        <f t="shared" si="37"/>
        <v>6.3516599999999993E-2</v>
      </c>
      <c r="BL54">
        <f t="shared" si="38"/>
        <v>3.48E-3</v>
      </c>
      <c r="BM54">
        <f t="shared" si="91"/>
        <v>2.4500000000000003E-5</v>
      </c>
      <c r="BN54">
        <f t="shared" si="92"/>
        <v>0.25734570680550567</v>
      </c>
      <c r="BO54" s="469">
        <f t="shared" si="58"/>
        <v>257.34570680550564</v>
      </c>
      <c r="BP54" s="177">
        <f t="shared" si="93"/>
        <v>0.18522</v>
      </c>
      <c r="BQ54" s="177">
        <f t="shared" si="94"/>
        <v>0.31972500000000004</v>
      </c>
      <c r="BR54" s="538"/>
      <c r="BT54" s="469">
        <f t="shared" si="59"/>
        <v>504.94499999999999</v>
      </c>
      <c r="BU54" s="538">
        <f t="shared" si="43"/>
        <v>3.1478182768782469E-2</v>
      </c>
      <c r="BV54" s="538">
        <f t="shared" si="60"/>
        <v>0.14899130837830993</v>
      </c>
      <c r="BW54" s="538">
        <f t="shared" si="95"/>
        <v>0.40157126320805664</v>
      </c>
      <c r="BX54" s="538">
        <f t="shared" si="45"/>
        <v>0</v>
      </c>
      <c r="BY54" s="538">
        <f t="shared" si="96"/>
        <v>0.61046604368092916</v>
      </c>
      <c r="BZ54" s="538">
        <f t="shared" si="61"/>
        <v>0.58204075435514901</v>
      </c>
      <c r="CA54" s="641">
        <f t="shared" si="97"/>
        <v>6.7021111111111129E-2</v>
      </c>
      <c r="CB54" s="469">
        <f t="shared" si="62"/>
        <v>677.4871547920402</v>
      </c>
      <c r="CC54" s="177">
        <f t="shared" si="63"/>
        <v>1.4397778615975461</v>
      </c>
      <c r="CD54" s="5">
        <f t="shared" si="64"/>
        <v>6.0319000000000003</v>
      </c>
      <c r="CE54" s="177">
        <f t="shared" si="65"/>
        <v>0.80730193562042807</v>
      </c>
      <c r="CF54" s="5">
        <f t="shared" si="66"/>
        <v>80.730193562042814</v>
      </c>
      <c r="CG54">
        <f t="shared" si="102"/>
        <v>49</v>
      </c>
      <c r="CI54" s="571">
        <f t="shared" si="98"/>
        <v>-50</v>
      </c>
      <c r="CJ54">
        <f t="shared" si="99"/>
        <v>-50</v>
      </c>
    </row>
    <row r="55" spans="5:88" x14ac:dyDescent="0.2">
      <c r="E55" s="174">
        <v>50</v>
      </c>
      <c r="F55" s="221">
        <f t="shared" si="103"/>
        <v>0.21</v>
      </c>
      <c r="G55" s="221">
        <f t="shared" si="100"/>
        <v>0.36249999999999999</v>
      </c>
      <c r="H55" s="221">
        <f t="shared" si="70"/>
        <v>3.2549999999999999</v>
      </c>
      <c r="I55" s="221">
        <f t="shared" si="104"/>
        <v>2.9</v>
      </c>
      <c r="J55" s="551">
        <f t="shared" si="1"/>
        <v>12</v>
      </c>
      <c r="K55" s="451">
        <f t="shared" si="2"/>
        <v>16.399999999999999</v>
      </c>
      <c r="L55" s="451">
        <f t="shared" si="3"/>
        <v>28.4</v>
      </c>
      <c r="M55" s="451"/>
      <c r="N55" s="221">
        <f t="shared" si="4"/>
        <v>0.57746478873239437</v>
      </c>
      <c r="O55" s="176">
        <f t="shared" si="101"/>
        <v>6.7612354549719109</v>
      </c>
      <c r="P55" s="176">
        <f t="shared" si="71"/>
        <v>11.390692542350877</v>
      </c>
      <c r="Q55" s="221">
        <f t="shared" si="6"/>
        <v>0.43620873903044588</v>
      </c>
      <c r="R55" s="221">
        <f t="shared" si="72"/>
        <v>0.84515443187148886</v>
      </c>
      <c r="S55" s="451">
        <f t="shared" si="73"/>
        <v>15.5</v>
      </c>
      <c r="T55" s="221">
        <f t="shared" si="74"/>
        <v>1.9738256549232156</v>
      </c>
      <c r="U55" s="221">
        <f t="shared" si="10"/>
        <v>1.4803692411924116</v>
      </c>
      <c r="V55" s="221">
        <f t="shared" si="11"/>
        <v>1.0831970057505451</v>
      </c>
      <c r="W55" s="201">
        <f t="shared" si="12"/>
        <v>350</v>
      </c>
      <c r="X55" s="451">
        <f t="shared" si="52"/>
        <v>350</v>
      </c>
      <c r="Z55" s="221">
        <f t="shared" si="13"/>
        <v>2.1998658618376927</v>
      </c>
      <c r="AA55" s="177">
        <f t="shared" si="14"/>
        <v>1.2072434607645877</v>
      </c>
      <c r="AB55" s="177">
        <f t="shared" si="75"/>
        <v>0.46476039334599145</v>
      </c>
      <c r="AC55" s="177"/>
      <c r="AD55" s="177">
        <f t="shared" si="16"/>
        <v>0.45</v>
      </c>
      <c r="AE55" s="555">
        <f t="shared" si="76"/>
        <v>1138.2113821138212</v>
      </c>
      <c r="AF55" s="538">
        <f t="shared" si="77"/>
        <v>6.4574999999999994E-2</v>
      </c>
      <c r="AH55" s="177">
        <f t="shared" si="78"/>
        <v>1.9768501480730671</v>
      </c>
      <c r="AI55" s="177">
        <f t="shared" si="79"/>
        <v>1.9768501480730671</v>
      </c>
      <c r="AJ55" s="177">
        <f t="shared" si="80"/>
        <v>2.0569260356096795</v>
      </c>
      <c r="AL55" s="555">
        <f t="shared" si="81"/>
        <v>210</v>
      </c>
      <c r="AM55" s="469">
        <f t="shared" si="82"/>
        <v>350</v>
      </c>
      <c r="AO55">
        <f t="shared" si="53"/>
        <v>210</v>
      </c>
      <c r="AP55" s="469">
        <f t="shared" si="24"/>
        <v>350</v>
      </c>
      <c r="AQ55" s="469"/>
      <c r="AR55" s="5">
        <f t="shared" si="54"/>
        <v>2.8571428571428572</v>
      </c>
      <c r="AS55" s="5">
        <f t="shared" si="25"/>
        <v>1.4826376110548005</v>
      </c>
      <c r="AT55" s="5">
        <f t="shared" si="55"/>
        <v>1.3745052460880567</v>
      </c>
      <c r="AU55" s="177">
        <f t="shared" si="56"/>
        <v>0.51892316386918014</v>
      </c>
      <c r="AW55" s="5">
        <f t="shared" si="83"/>
        <v>4.6051229968782526</v>
      </c>
      <c r="AX55" s="5">
        <f t="shared" si="84"/>
        <v>8.5312961876832869</v>
      </c>
      <c r="AY55" s="5">
        <f t="shared" si="85"/>
        <v>15.170308270746586</v>
      </c>
      <c r="AZ55" s="5">
        <f t="shared" si="86"/>
        <v>14.516189337042352</v>
      </c>
      <c r="BA55" s="5">
        <f t="shared" si="87"/>
        <v>1.3055678687765411</v>
      </c>
      <c r="BB55" s="469">
        <f t="shared" si="88"/>
        <v>80.0437943488147</v>
      </c>
      <c r="BC55" s="5"/>
      <c r="BD55" s="177">
        <f t="shared" si="57"/>
        <v>0.8221757267353268</v>
      </c>
      <c r="BE55" s="177">
        <f t="shared" si="89"/>
        <v>0.79162653885070067</v>
      </c>
      <c r="BF55" s="177">
        <f t="shared" si="90"/>
        <v>1.2996343805636725</v>
      </c>
      <c r="BG55" s="177"/>
      <c r="BH55" s="538">
        <f t="shared" si="34"/>
        <v>7.4357021819603908E-2</v>
      </c>
      <c r="BI55" s="538">
        <f t="shared" si="35"/>
        <v>9.824945235923141E-2</v>
      </c>
      <c r="BJ55" s="538">
        <f t="shared" si="36"/>
        <v>1.7499999999999998E-2</v>
      </c>
      <c r="BK55" s="538">
        <f t="shared" si="37"/>
        <v>6.3516599999999993E-2</v>
      </c>
      <c r="BL55">
        <f t="shared" si="38"/>
        <v>3.48E-3</v>
      </c>
      <c r="BM55">
        <f t="shared" si="91"/>
        <v>2.4500000000000003E-5</v>
      </c>
      <c r="BN55">
        <f t="shared" si="92"/>
        <v>0.26070414052826091</v>
      </c>
      <c r="BO55" s="469">
        <f t="shared" si="58"/>
        <v>260.70414052826089</v>
      </c>
      <c r="BP55" s="177">
        <f t="shared" si="93"/>
        <v>0.189</v>
      </c>
      <c r="BQ55" s="177">
        <f t="shared" si="94"/>
        <v>0.32624999999999998</v>
      </c>
      <c r="BR55" s="538"/>
      <c r="BT55" s="469">
        <f t="shared" si="59"/>
        <v>515.25</v>
      </c>
      <c r="BU55" s="538">
        <f t="shared" si="43"/>
        <v>3.2446700430372614E-2</v>
      </c>
      <c r="BV55" s="538">
        <f t="shared" si="60"/>
        <v>0.15040141848305758</v>
      </c>
      <c r="BW55" s="538">
        <f t="shared" si="95"/>
        <v>0.405371885554349</v>
      </c>
      <c r="BX55" s="538">
        <f t="shared" si="45"/>
        <v>0</v>
      </c>
      <c r="BY55" s="538">
        <f t="shared" si="96"/>
        <v>0.61726711361400677</v>
      </c>
      <c r="BZ55" s="538">
        <f t="shared" si="61"/>
        <v>0.58822000446777922</v>
      </c>
      <c r="CA55" s="641">
        <f t="shared" si="97"/>
        <v>6.8388888888888888E-2</v>
      </c>
      <c r="CB55" s="469">
        <f t="shared" si="62"/>
        <v>685.65600250289572</v>
      </c>
      <c r="CC55" s="177">
        <f t="shared" si="63"/>
        <v>1.4616101430311566</v>
      </c>
      <c r="CD55" s="5">
        <f t="shared" si="64"/>
        <v>6.1549999999999994</v>
      </c>
      <c r="CE55" s="177">
        <f t="shared" si="65"/>
        <v>0.80810227705189008</v>
      </c>
      <c r="CF55" s="5">
        <f t="shared" si="66"/>
        <v>80.810227705189007</v>
      </c>
      <c r="CG55">
        <f t="shared" si="102"/>
        <v>50</v>
      </c>
      <c r="CI55" s="571">
        <f t="shared" si="98"/>
        <v>-50</v>
      </c>
      <c r="CJ55">
        <f t="shared" si="99"/>
        <v>-50</v>
      </c>
    </row>
    <row r="56" spans="5:88" x14ac:dyDescent="0.2">
      <c r="E56" s="174">
        <v>51</v>
      </c>
      <c r="F56" s="221">
        <f t="shared" si="103"/>
        <v>0.2142</v>
      </c>
      <c r="G56" s="221">
        <f t="shared" si="100"/>
        <v>0.36974999999999997</v>
      </c>
      <c r="H56" s="221">
        <f t="shared" si="70"/>
        <v>3.3201000000000001</v>
      </c>
      <c r="I56" s="221">
        <f t="shared" si="104"/>
        <v>2.9579999999999997</v>
      </c>
      <c r="J56" s="551">
        <f t="shared" si="1"/>
        <v>12</v>
      </c>
      <c r="K56" s="451">
        <f t="shared" si="2"/>
        <v>16.399999999999999</v>
      </c>
      <c r="L56" s="451">
        <f t="shared" si="3"/>
        <v>28.4</v>
      </c>
      <c r="M56" s="451"/>
      <c r="N56" s="221">
        <f t="shared" si="4"/>
        <v>0.57746478873239437</v>
      </c>
      <c r="O56" s="176">
        <f t="shared" si="101"/>
        <v>6.7612354549719109</v>
      </c>
      <c r="P56" s="176">
        <f t="shared" si="71"/>
        <v>11.390692542350877</v>
      </c>
      <c r="Q56" s="221">
        <f t="shared" si="6"/>
        <v>0.43620873903044588</v>
      </c>
      <c r="R56" s="221">
        <f t="shared" si="72"/>
        <v>0.84515443187148886</v>
      </c>
      <c r="S56" s="451">
        <f t="shared" si="73"/>
        <v>15.5</v>
      </c>
      <c r="T56" s="221">
        <f t="shared" si="74"/>
        <v>2.01330216802168</v>
      </c>
      <c r="U56" s="221">
        <f t="shared" si="10"/>
        <v>1.5099766260162601</v>
      </c>
      <c r="V56" s="221">
        <f t="shared" si="11"/>
        <v>1.1048609458655565</v>
      </c>
      <c r="W56" s="201">
        <f t="shared" si="12"/>
        <v>350</v>
      </c>
      <c r="X56" s="451">
        <f t="shared" si="52"/>
        <v>350</v>
      </c>
      <c r="Z56" s="221">
        <f t="shared" si="13"/>
        <v>2.1998658618376927</v>
      </c>
      <c r="AA56" s="177">
        <f t="shared" si="14"/>
        <v>1.2072434607645877</v>
      </c>
      <c r="AB56" s="177">
        <f t="shared" si="75"/>
        <v>0.46476039334599145</v>
      </c>
      <c r="AC56" s="177"/>
      <c r="AD56" s="177">
        <f t="shared" si="16"/>
        <v>0.45</v>
      </c>
      <c r="AE56" s="555">
        <f t="shared" si="76"/>
        <v>1160.9756097560976</v>
      </c>
      <c r="AF56" s="538">
        <f t="shared" si="77"/>
        <v>6.4574999999999994E-2</v>
      </c>
      <c r="AH56" s="177">
        <f t="shared" si="78"/>
        <v>1.9965207832865748</v>
      </c>
      <c r="AI56" s="177">
        <f t="shared" si="79"/>
        <v>1.9965207832865748</v>
      </c>
      <c r="AJ56" s="177">
        <f t="shared" si="80"/>
        <v>2.0714968765085739</v>
      </c>
      <c r="AL56" s="555">
        <f t="shared" si="81"/>
        <v>214.2</v>
      </c>
      <c r="AM56" s="469">
        <f t="shared" si="82"/>
        <v>350</v>
      </c>
      <c r="AO56">
        <f t="shared" si="53"/>
        <v>214.2</v>
      </c>
      <c r="AP56" s="469">
        <f t="shared" si="24"/>
        <v>350</v>
      </c>
      <c r="AQ56" s="469"/>
      <c r="AR56" s="5">
        <f t="shared" si="54"/>
        <v>2.8571428571428572</v>
      </c>
      <c r="AS56" s="5">
        <f t="shared" si="25"/>
        <v>1.4973905874649311</v>
      </c>
      <c r="AT56" s="5">
        <f t="shared" si="55"/>
        <v>1.3597522696779261</v>
      </c>
      <c r="AU56" s="177">
        <f t="shared" si="56"/>
        <v>0.52408670561272586</v>
      </c>
      <c r="AW56" s="5">
        <f t="shared" si="83"/>
        <v>4.6051229968782526</v>
      </c>
      <c r="AX56" s="5">
        <f t="shared" si="84"/>
        <v>8.8673925536656917</v>
      </c>
      <c r="AY56" s="5">
        <f t="shared" si="85"/>
        <v>15.170308270746586</v>
      </c>
      <c r="AZ56" s="5">
        <f t="shared" si="86"/>
        <v>15.087853386258862</v>
      </c>
      <c r="BA56" s="5">
        <f t="shared" si="87"/>
        <v>1.3173859142384241</v>
      </c>
      <c r="BB56" s="469">
        <f t="shared" si="88"/>
        <v>80.78707152097212</v>
      </c>
      <c r="BC56" s="5"/>
      <c r="BD56" s="177">
        <f t="shared" si="57"/>
        <v>0.83447778512310866</v>
      </c>
      <c r="BE56" s="177">
        <f t="shared" si="89"/>
        <v>0.79520138256572692</v>
      </c>
      <c r="BF56" s="177">
        <f t="shared" si="90"/>
        <v>1.305503296737119</v>
      </c>
      <c r="BG56" s="177"/>
      <c r="BH56" s="538">
        <f t="shared" si="34"/>
        <v>7.6598849125036603E-2</v>
      </c>
      <c r="BI56" s="538">
        <f t="shared" si="35"/>
        <v>9.9227082929342764E-2</v>
      </c>
      <c r="BJ56" s="538">
        <f t="shared" si="36"/>
        <v>1.7499999999999998E-2</v>
      </c>
      <c r="BK56" s="538">
        <f t="shared" si="37"/>
        <v>6.3516599999999993E-2</v>
      </c>
      <c r="BL56">
        <f t="shared" si="38"/>
        <v>3.48E-3</v>
      </c>
      <c r="BM56">
        <f t="shared" si="91"/>
        <v>2.4500000000000003E-5</v>
      </c>
      <c r="BN56">
        <f t="shared" si="92"/>
        <v>0.2640791270597575</v>
      </c>
      <c r="BO56" s="469">
        <f t="shared" si="58"/>
        <v>264.07912705975752</v>
      </c>
      <c r="BP56" s="177">
        <f t="shared" si="93"/>
        <v>0.19278000000000001</v>
      </c>
      <c r="BQ56" s="177">
        <f t="shared" si="94"/>
        <v>0.33277499999999999</v>
      </c>
      <c r="BR56" s="538"/>
      <c r="BT56" s="469">
        <f t="shared" si="59"/>
        <v>525.55499999999995</v>
      </c>
      <c r="BU56" s="538">
        <f t="shared" si="43"/>
        <v>3.3424952345470521E-2</v>
      </c>
      <c r="BV56" s="538">
        <f t="shared" si="60"/>
        <v>0.15176285732026645</v>
      </c>
      <c r="BW56" s="538">
        <f t="shared" si="95"/>
        <v>0.40904132586995662</v>
      </c>
      <c r="BX56" s="538">
        <f t="shared" si="45"/>
        <v>0</v>
      </c>
      <c r="BY56" s="538">
        <f t="shared" si="96"/>
        <v>0.62388771619706307</v>
      </c>
      <c r="BZ56" s="538">
        <f t="shared" si="61"/>
        <v>0.59422913553569356</v>
      </c>
      <c r="CA56" s="641">
        <f t="shared" si="97"/>
        <v>6.9756666666666675E-2</v>
      </c>
      <c r="CB56" s="469">
        <f t="shared" si="62"/>
        <v>693.64438286372979</v>
      </c>
      <c r="CC56" s="177">
        <f t="shared" si="63"/>
        <v>1.4832785099234873</v>
      </c>
      <c r="CD56" s="5">
        <f t="shared" si="64"/>
        <v>6.2781000000000002</v>
      </c>
      <c r="CE56" s="177">
        <f t="shared" si="65"/>
        <v>0.80888981151647132</v>
      </c>
      <c r="CF56" s="5">
        <f t="shared" si="66"/>
        <v>80.88898115164713</v>
      </c>
      <c r="CG56">
        <f t="shared" si="102"/>
        <v>51</v>
      </c>
      <c r="CI56" s="571">
        <f t="shared" si="98"/>
        <v>-50</v>
      </c>
      <c r="CJ56">
        <f t="shared" si="99"/>
        <v>-50</v>
      </c>
    </row>
    <row r="57" spans="5:88" x14ac:dyDescent="0.2">
      <c r="E57" s="174">
        <v>52</v>
      </c>
      <c r="F57" s="221">
        <f t="shared" si="103"/>
        <v>0.21840000000000001</v>
      </c>
      <c r="G57" s="221">
        <f t="shared" si="100"/>
        <v>0.377</v>
      </c>
      <c r="H57" s="221">
        <f t="shared" si="70"/>
        <v>3.3852000000000002</v>
      </c>
      <c r="I57" s="221">
        <f t="shared" si="104"/>
        <v>3.016</v>
      </c>
      <c r="J57" s="551">
        <f t="shared" si="1"/>
        <v>12</v>
      </c>
      <c r="K57" s="451">
        <f t="shared" si="2"/>
        <v>16.399999999999999</v>
      </c>
      <c r="L57" s="451">
        <f t="shared" si="3"/>
        <v>28.4</v>
      </c>
      <c r="M57" s="451"/>
      <c r="N57" s="221">
        <f t="shared" si="4"/>
        <v>0.57746478873239437</v>
      </c>
      <c r="O57" s="176">
        <f t="shared" si="101"/>
        <v>6.7612354549719109</v>
      </c>
      <c r="P57" s="176">
        <f t="shared" si="71"/>
        <v>11.390692542350877</v>
      </c>
      <c r="Q57" s="221">
        <f t="shared" si="6"/>
        <v>0.43620873903044588</v>
      </c>
      <c r="R57" s="221">
        <f t="shared" si="72"/>
        <v>0.84515443187148886</v>
      </c>
      <c r="S57" s="451">
        <f t="shared" si="73"/>
        <v>15.5</v>
      </c>
      <c r="T57" s="221">
        <f t="shared" si="74"/>
        <v>2.0527786811201443</v>
      </c>
      <c r="U57" s="221">
        <f t="shared" si="10"/>
        <v>1.5395840108401082</v>
      </c>
      <c r="V57" s="221">
        <f t="shared" si="11"/>
        <v>1.1265248859805672</v>
      </c>
      <c r="W57" s="201">
        <f t="shared" si="12"/>
        <v>350</v>
      </c>
      <c r="X57" s="451">
        <f t="shared" si="52"/>
        <v>350</v>
      </c>
      <c r="Z57" s="221">
        <f t="shared" si="13"/>
        <v>2.1998658618376927</v>
      </c>
      <c r="AA57" s="177">
        <f t="shared" si="14"/>
        <v>1.2072434607645877</v>
      </c>
      <c r="AB57" s="177">
        <f t="shared" si="75"/>
        <v>0.46476039334599145</v>
      </c>
      <c r="AC57" s="177"/>
      <c r="AD57" s="177">
        <f t="shared" si="16"/>
        <v>0.45</v>
      </c>
      <c r="AE57" s="555">
        <f t="shared" si="76"/>
        <v>1183.739837398374</v>
      </c>
      <c r="AF57" s="538">
        <f t="shared" si="77"/>
        <v>6.4574999999999994E-2</v>
      </c>
      <c r="AH57" s="177">
        <f t="shared" si="78"/>
        <v>2.0159994960946714</v>
      </c>
      <c r="AI57" s="177">
        <f t="shared" si="79"/>
        <v>2.0159994960946714</v>
      </c>
      <c r="AJ57" s="177">
        <f t="shared" si="80"/>
        <v>2.0859255526627196</v>
      </c>
      <c r="AL57" s="555">
        <f t="shared" si="81"/>
        <v>218.4</v>
      </c>
      <c r="AM57" s="469">
        <f t="shared" si="82"/>
        <v>350</v>
      </c>
      <c r="AO57">
        <f t="shared" si="53"/>
        <v>218.4</v>
      </c>
      <c r="AP57" s="469">
        <f t="shared" si="24"/>
        <v>350</v>
      </c>
      <c r="AQ57" s="469"/>
      <c r="AR57" s="5">
        <f t="shared" si="54"/>
        <v>2.8571428571428572</v>
      </c>
      <c r="AS57" s="5">
        <f t="shared" si="25"/>
        <v>1.5119996220710037</v>
      </c>
      <c r="AT57" s="5">
        <f t="shared" si="55"/>
        <v>1.3451432350718535</v>
      </c>
      <c r="AU57" s="177">
        <f t="shared" si="56"/>
        <v>0.52919986772485128</v>
      </c>
      <c r="AW57" s="5">
        <f t="shared" si="83"/>
        <v>4.6051229968782526</v>
      </c>
      <c r="AX57" s="5">
        <f t="shared" si="84"/>
        <v>9.2099779565982445</v>
      </c>
      <c r="AY57" s="5">
        <f t="shared" si="85"/>
        <v>15.170308270746586</v>
      </c>
      <c r="AZ57" s="5">
        <f t="shared" si="86"/>
        <v>15.67055038694501</v>
      </c>
      <c r="BA57" s="5">
        <f t="shared" si="87"/>
        <v>1.3287856290651154</v>
      </c>
      <c r="BB57" s="469">
        <f t="shared" si="88"/>
        <v>81.50524885501801</v>
      </c>
      <c r="BC57" s="5"/>
      <c r="BD57" s="177">
        <f t="shared" si="57"/>
        <v>0.84671968253966279</v>
      </c>
      <c r="BE57" s="177">
        <f t="shared" si="89"/>
        <v>0.79863452339055285</v>
      </c>
      <c r="BF57" s="177">
        <f t="shared" si="90"/>
        <v>1.3111395755002568</v>
      </c>
      <c r="BG57" s="177"/>
      <c r="BH57" s="538">
        <f t="shared" si="34"/>
        <v>7.8862764288007398E-2</v>
      </c>
      <c r="BI57" s="538">
        <f t="shared" si="35"/>
        <v>0.10019517495590517</v>
      </c>
      <c r="BJ57" s="538">
        <f t="shared" si="36"/>
        <v>1.7499999999999998E-2</v>
      </c>
      <c r="BK57" s="538">
        <f t="shared" si="37"/>
        <v>6.3516599999999993E-2</v>
      </c>
      <c r="BL57">
        <f t="shared" si="38"/>
        <v>3.48E-3</v>
      </c>
      <c r="BM57">
        <f t="shared" si="91"/>
        <v>2.4500000000000003E-5</v>
      </c>
      <c r="BN57">
        <f t="shared" si="92"/>
        <v>0.26747078734753993</v>
      </c>
      <c r="BO57" s="469">
        <f t="shared" si="58"/>
        <v>267.47078734753995</v>
      </c>
      <c r="BP57" s="177">
        <f t="shared" si="93"/>
        <v>0.19656000000000001</v>
      </c>
      <c r="BQ57" s="177">
        <f t="shared" si="94"/>
        <v>0.33929999999999999</v>
      </c>
      <c r="BR57" s="538"/>
      <c r="BT57" s="469">
        <f t="shared" si="59"/>
        <v>535.86</v>
      </c>
      <c r="BU57" s="538">
        <f t="shared" si="43"/>
        <v>3.4412842598403229E-2</v>
      </c>
      <c r="BV57" s="538">
        <f t="shared" si="60"/>
        <v>0.15307610446830131</v>
      </c>
      <c r="BW57" s="538">
        <f t="shared" si="95"/>
        <v>0.41258087674631844</v>
      </c>
      <c r="BX57" s="538">
        <f t="shared" si="45"/>
        <v>0</v>
      </c>
      <c r="BY57" s="538">
        <f t="shared" si="96"/>
        <v>0.63032914366782</v>
      </c>
      <c r="BZ57" s="538">
        <f t="shared" si="61"/>
        <v>0.60006982381302298</v>
      </c>
      <c r="CA57" s="641">
        <f t="shared" si="97"/>
        <v>7.1124444444444462E-2</v>
      </c>
      <c r="CB57" s="469">
        <f t="shared" si="62"/>
        <v>701.45358811226447</v>
      </c>
      <c r="CC57" s="177">
        <f t="shared" si="63"/>
        <v>1.5047843754598045</v>
      </c>
      <c r="CD57" s="5">
        <f t="shared" si="64"/>
        <v>6.4012000000000002</v>
      </c>
      <c r="CE57" s="177">
        <f t="shared" si="65"/>
        <v>0.80966514680567048</v>
      </c>
      <c r="CF57" s="5">
        <f t="shared" si="66"/>
        <v>80.966514680567045</v>
      </c>
      <c r="CG57">
        <f t="shared" si="102"/>
        <v>52</v>
      </c>
      <c r="CI57" s="571">
        <f t="shared" si="98"/>
        <v>-50</v>
      </c>
      <c r="CJ57">
        <f t="shared" si="99"/>
        <v>-50</v>
      </c>
    </row>
    <row r="58" spans="5:88" x14ac:dyDescent="0.2">
      <c r="E58" s="174">
        <v>53</v>
      </c>
      <c r="F58" s="221">
        <f t="shared" si="103"/>
        <v>0.22259999999999999</v>
      </c>
      <c r="G58" s="221">
        <f t="shared" si="100"/>
        <v>0.38424999999999998</v>
      </c>
      <c r="H58" s="221">
        <f t="shared" si="70"/>
        <v>3.4502999999999999</v>
      </c>
      <c r="I58" s="221">
        <f t="shared" si="104"/>
        <v>3.0739999999999998</v>
      </c>
      <c r="J58" s="551">
        <f t="shared" si="1"/>
        <v>12</v>
      </c>
      <c r="K58" s="451">
        <f t="shared" si="2"/>
        <v>16.399999999999999</v>
      </c>
      <c r="L58" s="451">
        <f t="shared" si="3"/>
        <v>28.4</v>
      </c>
      <c r="M58" s="451"/>
      <c r="N58" s="221">
        <f t="shared" si="4"/>
        <v>0.57746478873239437</v>
      </c>
      <c r="O58" s="176">
        <f t="shared" si="101"/>
        <v>6.7612354549719109</v>
      </c>
      <c r="P58" s="176">
        <f t="shared" si="71"/>
        <v>11.390692542350877</v>
      </c>
      <c r="Q58" s="221">
        <f t="shared" si="6"/>
        <v>0.43620873903044588</v>
      </c>
      <c r="R58" s="221">
        <f t="shared" si="72"/>
        <v>0.84515443187148886</v>
      </c>
      <c r="S58" s="451">
        <f t="shared" si="73"/>
        <v>15.5</v>
      </c>
      <c r="T58" s="221">
        <f t="shared" si="74"/>
        <v>2.0922551942186089</v>
      </c>
      <c r="U58" s="221">
        <f t="shared" si="10"/>
        <v>1.5691913956639567</v>
      </c>
      <c r="V58" s="221">
        <f t="shared" si="11"/>
        <v>1.1481888260955782</v>
      </c>
      <c r="W58" s="201">
        <f t="shared" si="12"/>
        <v>350</v>
      </c>
      <c r="X58" s="451">
        <f t="shared" si="52"/>
        <v>350</v>
      </c>
      <c r="Z58" s="221">
        <f t="shared" si="13"/>
        <v>2.1998658618376927</v>
      </c>
      <c r="AA58" s="177">
        <f t="shared" si="14"/>
        <v>1.2072434607645877</v>
      </c>
      <c r="AB58" s="177">
        <f t="shared" si="75"/>
        <v>0.46476039334599145</v>
      </c>
      <c r="AC58" s="177"/>
      <c r="AD58" s="177">
        <f t="shared" si="16"/>
        <v>0.45</v>
      </c>
      <c r="AE58" s="555">
        <f t="shared" si="76"/>
        <v>1206.5040650406504</v>
      </c>
      <c r="AF58" s="538">
        <f t="shared" si="77"/>
        <v>6.4574999999999994E-2</v>
      </c>
      <c r="AH58" s="177">
        <f t="shared" si="78"/>
        <v>2.0352917968715687</v>
      </c>
      <c r="AI58" s="177">
        <f t="shared" si="79"/>
        <v>2.0352917968715687</v>
      </c>
      <c r="AJ58" s="177">
        <f t="shared" si="80"/>
        <v>2.1002161458307915</v>
      </c>
      <c r="AL58" s="555">
        <f t="shared" si="81"/>
        <v>222.6</v>
      </c>
      <c r="AM58" s="469">
        <f t="shared" si="82"/>
        <v>350</v>
      </c>
      <c r="AO58">
        <f t="shared" si="53"/>
        <v>222.6</v>
      </c>
      <c r="AP58" s="469">
        <f t="shared" si="24"/>
        <v>350</v>
      </c>
      <c r="AQ58" s="469"/>
      <c r="AR58" s="5">
        <f t="shared" si="54"/>
        <v>2.8571428571428572</v>
      </c>
      <c r="AS58" s="5">
        <f t="shared" si="25"/>
        <v>1.5264688476536765</v>
      </c>
      <c r="AT58" s="5">
        <f t="shared" si="55"/>
        <v>1.3306740094891807</v>
      </c>
      <c r="AU58" s="177">
        <f t="shared" si="56"/>
        <v>0.53426409667878672</v>
      </c>
      <c r="AW58" s="5">
        <f t="shared" si="83"/>
        <v>4.6051229968782526</v>
      </c>
      <c r="AX58" s="5">
        <f t="shared" si="84"/>
        <v>9.5590523964809417</v>
      </c>
      <c r="AY58" s="5">
        <f t="shared" si="85"/>
        <v>15.170308270746586</v>
      </c>
      <c r="AZ58" s="5">
        <f t="shared" si="86"/>
        <v>16.264280339100786</v>
      </c>
      <c r="BA58" s="5">
        <f t="shared" si="87"/>
        <v>1.339771055572571</v>
      </c>
      <c r="BB58" s="469">
        <f t="shared" si="88"/>
        <v>82.198568889909822</v>
      </c>
      <c r="BC58" s="5"/>
      <c r="BD58" s="177">
        <f t="shared" si="57"/>
        <v>0.85890286187053688</v>
      </c>
      <c r="BE58" s="177">
        <f t="shared" si="89"/>
        <v>0.80192899104274462</v>
      </c>
      <c r="BF58" s="177">
        <f t="shared" si="90"/>
        <v>1.3165481908211372</v>
      </c>
      <c r="BG58" s="177"/>
      <c r="BH58" s="538">
        <f t="shared" si="34"/>
        <v>8.114855387423385E-2</v>
      </c>
      <c r="BI58" s="538">
        <f t="shared" si="35"/>
        <v>0.10115400230451696</v>
      </c>
      <c r="BJ58" s="538">
        <f t="shared" si="36"/>
        <v>1.7499999999999998E-2</v>
      </c>
      <c r="BK58" s="538">
        <f t="shared" si="37"/>
        <v>6.3516599999999993E-2</v>
      </c>
      <c r="BL58">
        <f t="shared" si="38"/>
        <v>3.48E-3</v>
      </c>
      <c r="BM58">
        <f t="shared" si="91"/>
        <v>2.4500000000000003E-5</v>
      </c>
      <c r="BN58">
        <f t="shared" si="92"/>
        <v>0.27087923521897145</v>
      </c>
      <c r="BO58" s="469">
        <f t="shared" si="58"/>
        <v>270.87923521897147</v>
      </c>
      <c r="BP58" s="177">
        <f t="shared" si="93"/>
        <v>0.20033999999999999</v>
      </c>
      <c r="BQ58" s="177">
        <f t="shared" si="94"/>
        <v>0.34582499999999999</v>
      </c>
      <c r="BR58" s="538"/>
      <c r="BT58" s="469">
        <f t="shared" si="59"/>
        <v>546.16499999999996</v>
      </c>
      <c r="BU58" s="538">
        <f t="shared" si="43"/>
        <v>3.5410278054211132E-2</v>
      </c>
      <c r="BV58" s="538">
        <f t="shared" si="60"/>
        <v>0.15434162560196024</v>
      </c>
      <c r="BW58" s="538">
        <f t="shared" si="95"/>
        <v>0.41599179330105823</v>
      </c>
      <c r="BX58" s="538">
        <f t="shared" si="45"/>
        <v>0</v>
      </c>
      <c r="BY58" s="538">
        <f t="shared" si="96"/>
        <v>0.63659265607286142</v>
      </c>
      <c r="BZ58" s="538">
        <f t="shared" si="61"/>
        <v>0.60574369695722963</v>
      </c>
      <c r="CA58" s="641">
        <f t="shared" si="97"/>
        <v>7.2492222222222222E-2</v>
      </c>
      <c r="CB58" s="469">
        <f t="shared" si="62"/>
        <v>709.08487829508363</v>
      </c>
      <c r="CC58" s="177">
        <f t="shared" si="63"/>
        <v>1.5261291135140551</v>
      </c>
      <c r="CD58" s="5">
        <f t="shared" si="64"/>
        <v>6.5243000000000002</v>
      </c>
      <c r="CE58" s="177">
        <f t="shared" si="65"/>
        <v>0.81042884894766909</v>
      </c>
      <c r="CF58" s="5">
        <f t="shared" si="66"/>
        <v>81.042884894766914</v>
      </c>
      <c r="CG58">
        <f t="shared" si="102"/>
        <v>53</v>
      </c>
      <c r="CI58" s="571">
        <f t="shared" si="98"/>
        <v>-50</v>
      </c>
      <c r="CJ58">
        <f t="shared" si="99"/>
        <v>-50</v>
      </c>
    </row>
    <row r="59" spans="5:88" x14ac:dyDescent="0.2">
      <c r="E59" s="174">
        <v>54</v>
      </c>
      <c r="F59" s="221">
        <f t="shared" si="103"/>
        <v>0.2268</v>
      </c>
      <c r="G59" s="221">
        <f t="shared" si="100"/>
        <v>0.39150000000000001</v>
      </c>
      <c r="H59" s="221">
        <f t="shared" si="70"/>
        <v>3.5154000000000001</v>
      </c>
      <c r="I59" s="221">
        <f t="shared" si="104"/>
        <v>3.1320000000000001</v>
      </c>
      <c r="J59" s="551">
        <f t="shared" si="1"/>
        <v>12</v>
      </c>
      <c r="K59" s="451">
        <f t="shared" si="2"/>
        <v>16.399999999999999</v>
      </c>
      <c r="L59" s="451">
        <f t="shared" si="3"/>
        <v>28.4</v>
      </c>
      <c r="M59" s="451"/>
      <c r="N59" s="221">
        <f t="shared" si="4"/>
        <v>0.57746478873239437</v>
      </c>
      <c r="O59" s="176">
        <f t="shared" si="101"/>
        <v>6.7612354549719109</v>
      </c>
      <c r="P59" s="176">
        <f t="shared" si="71"/>
        <v>11.390692542350877</v>
      </c>
      <c r="Q59" s="221">
        <f t="shared" si="6"/>
        <v>0.43620873903044588</v>
      </c>
      <c r="R59" s="221">
        <f t="shared" si="72"/>
        <v>0.84515443187148886</v>
      </c>
      <c r="S59" s="451">
        <f t="shared" si="73"/>
        <v>15.5</v>
      </c>
      <c r="T59" s="221">
        <f t="shared" si="74"/>
        <v>2.1317317073170732</v>
      </c>
      <c r="U59" s="221">
        <f t="shared" si="10"/>
        <v>1.5987987804878048</v>
      </c>
      <c r="V59" s="221">
        <f t="shared" si="11"/>
        <v>1.1698527662105891</v>
      </c>
      <c r="W59" s="201">
        <f t="shared" si="12"/>
        <v>350</v>
      </c>
      <c r="X59" s="451">
        <f t="shared" si="52"/>
        <v>350</v>
      </c>
      <c r="Z59" s="221">
        <f t="shared" si="13"/>
        <v>2.1998658618376927</v>
      </c>
      <c r="AA59" s="177">
        <f t="shared" si="14"/>
        <v>1.2072434607645877</v>
      </c>
      <c r="AB59" s="177">
        <f t="shared" si="75"/>
        <v>0.46476039334599145</v>
      </c>
      <c r="AC59" s="177"/>
      <c r="AD59" s="177">
        <f t="shared" si="16"/>
        <v>0.45</v>
      </c>
      <c r="AE59" s="555">
        <f t="shared" si="76"/>
        <v>1229.2682926829268</v>
      </c>
      <c r="AF59" s="538">
        <f t="shared" si="77"/>
        <v>6.4574999999999994E-2</v>
      </c>
      <c r="AH59" s="177">
        <f t="shared" si="78"/>
        <v>2.0544029372475663</v>
      </c>
      <c r="AI59" s="177">
        <f t="shared" si="79"/>
        <v>2.0544029372475663</v>
      </c>
      <c r="AJ59" s="177">
        <f t="shared" si="80"/>
        <v>2.1143725461093084</v>
      </c>
      <c r="AL59" s="555">
        <f t="shared" si="81"/>
        <v>226.8</v>
      </c>
      <c r="AM59" s="469">
        <f t="shared" si="82"/>
        <v>350</v>
      </c>
      <c r="AO59">
        <f t="shared" si="53"/>
        <v>226.8</v>
      </c>
      <c r="AP59" s="469">
        <f t="shared" si="24"/>
        <v>350</v>
      </c>
      <c r="AQ59" s="469"/>
      <c r="AR59" s="5">
        <f t="shared" si="54"/>
        <v>2.8571428571428572</v>
      </c>
      <c r="AS59" s="5">
        <f t="shared" si="25"/>
        <v>1.5408022029356747</v>
      </c>
      <c r="AT59" s="5">
        <f t="shared" si="55"/>
        <v>1.3163406542071825</v>
      </c>
      <c r="AU59" s="177">
        <f t="shared" si="56"/>
        <v>0.53928077102748617</v>
      </c>
      <c r="AW59" s="5">
        <f t="shared" si="83"/>
        <v>4.6051229968782526</v>
      </c>
      <c r="AX59" s="5">
        <f t="shared" si="84"/>
        <v>9.9146158733137852</v>
      </c>
      <c r="AY59" s="5">
        <f t="shared" si="85"/>
        <v>15.170308270746586</v>
      </c>
      <c r="AZ59" s="5">
        <f t="shared" si="86"/>
        <v>16.869043242726203</v>
      </c>
      <c r="BA59" s="5">
        <f t="shared" si="87"/>
        <v>1.3503461211075345</v>
      </c>
      <c r="BB59" s="469">
        <f t="shared" si="88"/>
        <v>82.867267266452089</v>
      </c>
      <c r="BC59" s="5"/>
      <c r="BD59" s="177">
        <f t="shared" si="57"/>
        <v>0.87102870488034212</v>
      </c>
      <c r="BE59" s="177">
        <f t="shared" si="89"/>
        <v>0.80508765866309029</v>
      </c>
      <c r="BF59" s="177">
        <f t="shared" si="90"/>
        <v>1.321733859611542</v>
      </c>
      <c r="BG59" s="177"/>
      <c r="BH59" s="538">
        <f t="shared" si="34"/>
        <v>8.3456010519807874E-2</v>
      </c>
      <c r="BI59" s="538">
        <f t="shared" si="35"/>
        <v>0.10210382598120404</v>
      </c>
      <c r="BJ59" s="538">
        <f t="shared" si="36"/>
        <v>1.7499999999999998E-2</v>
      </c>
      <c r="BK59" s="538">
        <f t="shared" si="37"/>
        <v>6.3516599999999993E-2</v>
      </c>
      <c r="BL59">
        <f t="shared" si="38"/>
        <v>3.48E-3</v>
      </c>
      <c r="BM59">
        <f t="shared" si="91"/>
        <v>2.4500000000000003E-5</v>
      </c>
      <c r="BN59">
        <f t="shared" si="92"/>
        <v>0.27430457798107888</v>
      </c>
      <c r="BO59" s="469">
        <f t="shared" si="58"/>
        <v>274.30457798107886</v>
      </c>
      <c r="BP59" s="177">
        <f t="shared" si="93"/>
        <v>0.20412</v>
      </c>
      <c r="BQ59" s="177">
        <f t="shared" si="94"/>
        <v>0.35235</v>
      </c>
      <c r="BR59" s="538"/>
      <c r="BT59" s="469">
        <f t="shared" si="59"/>
        <v>556.47</v>
      </c>
      <c r="BU59" s="538">
        <f t="shared" si="43"/>
        <v>3.6417168226825253E-2</v>
      </c>
      <c r="BV59" s="538">
        <f t="shared" si="60"/>
        <v>0.15555987315158798</v>
      </c>
      <c r="BW59" s="538">
        <f t="shared" si="95"/>
        <v>0.41927529495446958</v>
      </c>
      <c r="BX59" s="538">
        <f t="shared" si="45"/>
        <v>0</v>
      </c>
      <c r="BY59" s="538">
        <f t="shared" si="96"/>
        <v>0.64267948318151569</v>
      </c>
      <c r="BZ59" s="538">
        <f t="shared" si="61"/>
        <v>0.61125233633288278</v>
      </c>
      <c r="CA59" s="641">
        <f t="shared" si="97"/>
        <v>7.3859999999999995E-2</v>
      </c>
      <c r="CB59" s="469">
        <f t="shared" si="62"/>
        <v>716.53948318151572</v>
      </c>
      <c r="CC59" s="177">
        <f t="shared" si="63"/>
        <v>1.5473140611625946</v>
      </c>
      <c r="CD59" s="5">
        <f t="shared" si="64"/>
        <v>6.6474000000000002</v>
      </c>
      <c r="CE59" s="177">
        <f t="shared" si="65"/>
        <v>0.81118144579371998</v>
      </c>
      <c r="CF59" s="5">
        <f t="shared" si="66"/>
        <v>81.118144579372</v>
      </c>
      <c r="CG59">
        <f t="shared" si="102"/>
        <v>54</v>
      </c>
      <c r="CI59" s="571">
        <f t="shared" si="98"/>
        <v>-50</v>
      </c>
      <c r="CJ59">
        <f t="shared" si="99"/>
        <v>-50</v>
      </c>
    </row>
    <row r="60" spans="5:88" x14ac:dyDescent="0.2">
      <c r="E60" s="174">
        <v>55</v>
      </c>
      <c r="F60" s="221">
        <f t="shared" si="103"/>
        <v>0.23100000000000001</v>
      </c>
      <c r="G60" s="221">
        <f t="shared" si="100"/>
        <v>0.39874999999999999</v>
      </c>
      <c r="H60" s="221">
        <f t="shared" si="70"/>
        <v>3.5805000000000002</v>
      </c>
      <c r="I60" s="221">
        <f t="shared" si="104"/>
        <v>3.19</v>
      </c>
      <c r="J60" s="551">
        <f t="shared" si="1"/>
        <v>12</v>
      </c>
      <c r="K60" s="451">
        <f t="shared" si="2"/>
        <v>16.399999999999999</v>
      </c>
      <c r="L60" s="451">
        <f t="shared" si="3"/>
        <v>28.4</v>
      </c>
      <c r="M60" s="451"/>
      <c r="N60" s="221">
        <f t="shared" si="4"/>
        <v>0.57746478873239437</v>
      </c>
      <c r="O60" s="176">
        <f t="shared" si="101"/>
        <v>6.7612354549719109</v>
      </c>
      <c r="P60" s="176">
        <f t="shared" si="71"/>
        <v>11.390692542350877</v>
      </c>
      <c r="Q60" s="221">
        <f t="shared" si="6"/>
        <v>0.43620873903044588</v>
      </c>
      <c r="R60" s="221">
        <f t="shared" si="72"/>
        <v>0.84515443187148886</v>
      </c>
      <c r="S60" s="451">
        <f t="shared" si="73"/>
        <v>15.5</v>
      </c>
      <c r="T60" s="221">
        <f t="shared" si="74"/>
        <v>2.1712082204155374</v>
      </c>
      <c r="U60" s="221">
        <f t="shared" si="10"/>
        <v>1.6284061653116531</v>
      </c>
      <c r="V60" s="221">
        <f t="shared" si="11"/>
        <v>1.1915167063255998</v>
      </c>
      <c r="W60" s="201">
        <f t="shared" si="12"/>
        <v>350</v>
      </c>
      <c r="X60" s="451">
        <f t="shared" si="52"/>
        <v>350</v>
      </c>
      <c r="Z60" s="221">
        <f t="shared" si="13"/>
        <v>2.1998658618376927</v>
      </c>
      <c r="AA60" s="177">
        <f t="shared" si="14"/>
        <v>1.2072434607645877</v>
      </c>
      <c r="AB60" s="177">
        <f t="shared" si="75"/>
        <v>0.46476039334599145</v>
      </c>
      <c r="AC60" s="177"/>
      <c r="AD60" s="177">
        <f t="shared" si="16"/>
        <v>0.45</v>
      </c>
      <c r="AE60" s="555">
        <f t="shared" si="76"/>
        <v>1252.0325203252034</v>
      </c>
      <c r="AF60" s="538">
        <f t="shared" si="77"/>
        <v>6.4574999999999994E-2</v>
      </c>
      <c r="AH60" s="177">
        <f t="shared" si="78"/>
        <v>2.073337926805507</v>
      </c>
      <c r="AI60" s="177">
        <f t="shared" si="79"/>
        <v>2.073337926805507</v>
      </c>
      <c r="AJ60" s="177">
        <f t="shared" si="80"/>
        <v>2.1283984643003757</v>
      </c>
      <c r="AL60" s="555">
        <f t="shared" si="81"/>
        <v>231</v>
      </c>
      <c r="AM60" s="469">
        <f t="shared" si="82"/>
        <v>350</v>
      </c>
      <c r="AO60">
        <f t="shared" si="53"/>
        <v>231</v>
      </c>
      <c r="AP60">
        <f t="shared" si="24"/>
        <v>350</v>
      </c>
      <c r="AR60" s="5">
        <f t="shared" si="54"/>
        <v>2.8571428571428572</v>
      </c>
      <c r="AS60" s="5">
        <f t="shared" si="25"/>
        <v>1.5550034451041304</v>
      </c>
      <c r="AT60" s="5">
        <f t="shared" si="55"/>
        <v>1.3021394120387269</v>
      </c>
      <c r="AU60" s="177">
        <f t="shared" si="56"/>
        <v>0.54425120578644559</v>
      </c>
      <c r="AW60" s="5">
        <f t="shared" si="83"/>
        <v>4.6051229968782526</v>
      </c>
      <c r="AX60" s="5">
        <f t="shared" si="84"/>
        <v>10.276668387096779</v>
      </c>
      <c r="AY60" s="5">
        <f t="shared" si="85"/>
        <v>15.170308270746586</v>
      </c>
      <c r="AZ60" s="5">
        <f t="shared" si="86"/>
        <v>17.484839097821244</v>
      </c>
      <c r="BA60" s="5">
        <f t="shared" si="87"/>
        <v>1.3605146433963271</v>
      </c>
      <c r="BB60" s="469">
        <f t="shared" si="88"/>
        <v>83.511573048224065</v>
      </c>
      <c r="BC60" s="5"/>
      <c r="BD60" s="177">
        <f t="shared" si="57"/>
        <v>0.88309853588363274</v>
      </c>
      <c r="BE60" s="177">
        <f t="shared" si="89"/>
        <v>0.80811325247779286</v>
      </c>
      <c r="BF60" s="177">
        <f t="shared" si="90"/>
        <v>1.3267010575896658</v>
      </c>
      <c r="BG60" s="177"/>
      <c r="BH60" s="538">
        <f t="shared" si="34"/>
        <v>8.5784932648779733E-2</v>
      </c>
      <c r="BI60" s="538">
        <f t="shared" si="35"/>
        <v>0.10304489496223369</v>
      </c>
      <c r="BJ60" s="538">
        <f t="shared" si="36"/>
        <v>1.7499999999999998E-2</v>
      </c>
      <c r="BK60" s="538">
        <f t="shared" si="37"/>
        <v>6.3516599999999993E-2</v>
      </c>
      <c r="BL60">
        <f t="shared" si="38"/>
        <v>3.48E-3</v>
      </c>
      <c r="BM60">
        <f t="shared" si="91"/>
        <v>2.4500000000000003E-5</v>
      </c>
      <c r="BN60">
        <f t="shared" si="92"/>
        <v>0.27774691696530668</v>
      </c>
      <c r="BO60" s="469">
        <f t="shared" si="58"/>
        <v>277.7469169653067</v>
      </c>
      <c r="BP60" s="177">
        <f t="shared" si="93"/>
        <v>0.2079</v>
      </c>
      <c r="BQ60" s="177">
        <f t="shared" si="94"/>
        <v>0.358875</v>
      </c>
      <c r="BR60" s="538"/>
      <c r="BT60" s="469">
        <f t="shared" si="59"/>
        <v>566.77499999999998</v>
      </c>
      <c r="BU60" s="538">
        <f t="shared" si="43"/>
        <v>3.743342515583116E-2</v>
      </c>
      <c r="BV60" s="538">
        <f t="shared" si="60"/>
        <v>0.15673128691925689</v>
      </c>
      <c r="BW60" s="538">
        <f t="shared" si="95"/>
        <v>0.42243256709028904</v>
      </c>
      <c r="BX60" s="538">
        <f t="shared" si="45"/>
        <v>0</v>
      </c>
      <c r="BY60" s="538">
        <f t="shared" si="96"/>
        <v>0.64859082626679554</v>
      </c>
      <c r="BZ60" s="538">
        <f t="shared" si="61"/>
        <v>0.6165972791653771</v>
      </c>
      <c r="CA60" s="641">
        <f t="shared" si="97"/>
        <v>7.5227777777777768E-2</v>
      </c>
      <c r="CB60" s="469">
        <f t="shared" si="62"/>
        <v>723.81860404457336</v>
      </c>
      <c r="CC60" s="177">
        <f t="shared" si="63"/>
        <v>1.5683405210098798</v>
      </c>
      <c r="CD60" s="5">
        <f t="shared" si="64"/>
        <v>6.7705000000000002</v>
      </c>
      <c r="CE60" s="177">
        <f t="shared" si="65"/>
        <v>0.81192343023488533</v>
      </c>
      <c r="CF60" s="5">
        <f t="shared" si="66"/>
        <v>81.192343023488533</v>
      </c>
      <c r="CG60">
        <f t="shared" si="102"/>
        <v>55.000000000000007</v>
      </c>
      <c r="CI60" s="571">
        <f t="shared" si="98"/>
        <v>-50</v>
      </c>
      <c r="CJ60">
        <f t="shared" si="99"/>
        <v>-50</v>
      </c>
    </row>
    <row r="61" spans="5:88" x14ac:dyDescent="0.2">
      <c r="E61" s="174">
        <v>56</v>
      </c>
      <c r="F61" s="221">
        <f t="shared" si="103"/>
        <v>0.23520000000000002</v>
      </c>
      <c r="G61" s="221">
        <f t="shared" si="100"/>
        <v>0.40600000000000003</v>
      </c>
      <c r="H61" s="221">
        <f t="shared" si="70"/>
        <v>3.6456000000000004</v>
      </c>
      <c r="I61" s="221">
        <f t="shared" si="104"/>
        <v>3.2480000000000002</v>
      </c>
      <c r="J61" s="551">
        <f t="shared" si="1"/>
        <v>12</v>
      </c>
      <c r="K61" s="451">
        <f t="shared" si="2"/>
        <v>16.399999999999999</v>
      </c>
      <c r="L61" s="451">
        <f t="shared" si="3"/>
        <v>28.4</v>
      </c>
      <c r="M61" s="451"/>
      <c r="N61" s="221">
        <f t="shared" si="4"/>
        <v>0.57746478873239437</v>
      </c>
      <c r="O61" s="176">
        <f t="shared" si="101"/>
        <v>6.7612354549719109</v>
      </c>
      <c r="P61" s="176">
        <f t="shared" si="71"/>
        <v>11.390692542350877</v>
      </c>
      <c r="Q61" s="221">
        <f t="shared" si="6"/>
        <v>0.43620873903044588</v>
      </c>
      <c r="R61" s="221">
        <f t="shared" si="72"/>
        <v>0.84515443187148886</v>
      </c>
      <c r="S61" s="451">
        <f t="shared" si="73"/>
        <v>15.5</v>
      </c>
      <c r="T61" s="221">
        <f t="shared" si="74"/>
        <v>2.2106847335140021</v>
      </c>
      <c r="U61" s="221">
        <f t="shared" si="10"/>
        <v>1.6580135501355016</v>
      </c>
      <c r="V61" s="221">
        <f t="shared" si="11"/>
        <v>1.213180646440611</v>
      </c>
      <c r="W61" s="201">
        <f t="shared" si="12"/>
        <v>350</v>
      </c>
      <c r="X61" s="451">
        <f t="shared" si="52"/>
        <v>348.28713473734928</v>
      </c>
      <c r="Z61" s="221">
        <f t="shared" si="13"/>
        <v>2.1998658618376927</v>
      </c>
      <c r="AA61" s="177">
        <f t="shared" si="14"/>
        <v>1.2072434607645877</v>
      </c>
      <c r="AB61" s="177">
        <f t="shared" si="75"/>
        <v>0.46476039334599145</v>
      </c>
      <c r="AC61" s="177"/>
      <c r="AD61" s="177">
        <f t="shared" si="16"/>
        <v>0.45</v>
      </c>
      <c r="AE61" s="555">
        <f t="shared" si="76"/>
        <v>1274.7967479674799</v>
      </c>
      <c r="AF61" s="538">
        <f t="shared" si="77"/>
        <v>6.4574999999999994E-2</v>
      </c>
      <c r="AH61" s="177">
        <f t="shared" si="78"/>
        <v>2.0921015484170193</v>
      </c>
      <c r="AI61" s="177">
        <f t="shared" si="79"/>
        <v>2.0921015484170193</v>
      </c>
      <c r="AJ61" s="177">
        <f t="shared" si="80"/>
        <v>2.1422974432718664</v>
      </c>
      <c r="AL61" s="555">
        <f t="shared" si="81"/>
        <v>235.20000000000002</v>
      </c>
      <c r="AM61" s="469">
        <f t="shared" si="82"/>
        <v>348.28713473734928</v>
      </c>
      <c r="AO61">
        <f t="shared" si="53"/>
        <v>235.20000000000002</v>
      </c>
      <c r="AP61">
        <f t="shared" si="24"/>
        <v>348.28713473734928</v>
      </c>
      <c r="AR61" s="5">
        <f t="shared" si="54"/>
        <v>2.8711941965761132</v>
      </c>
      <c r="AS61" s="5">
        <f t="shared" si="25"/>
        <v>1.5690761613127646</v>
      </c>
      <c r="AT61" s="5">
        <f t="shared" si="55"/>
        <v>1.3021180352633486</v>
      </c>
      <c r="AU61" s="177">
        <f t="shared" si="56"/>
        <v>0.5464890404083016</v>
      </c>
      <c r="AW61" s="5">
        <f t="shared" si="83"/>
        <v>4.6051229968782526</v>
      </c>
      <c r="AX61" s="5">
        <f t="shared" si="84"/>
        <v>10.645209937829916</v>
      </c>
      <c r="AY61" s="5">
        <f t="shared" si="85"/>
        <v>15.170308270746586</v>
      </c>
      <c r="AZ61" s="5">
        <f t="shared" si="86"/>
        <v>18.111667904385929</v>
      </c>
      <c r="BA61" s="5">
        <f t="shared" si="87"/>
        <v>1.3852285320820092</v>
      </c>
      <c r="BB61" s="469">
        <f t="shared" si="88"/>
        <v>85.028600813809462</v>
      </c>
      <c r="BC61" s="5"/>
      <c r="BD61" s="177">
        <f t="shared" si="57"/>
        <v>0.89292064015839745</v>
      </c>
      <c r="BE61" s="177">
        <f t="shared" si="89"/>
        <v>0.81342221099628276</v>
      </c>
      <c r="BF61" s="177">
        <f t="shared" si="90"/>
        <v>1.3354169162389133</v>
      </c>
      <c r="BG61" s="177"/>
      <c r="BH61" s="538">
        <f t="shared" si="34"/>
        <v>8.7703799658297055E-2</v>
      </c>
      <c r="BI61" s="538">
        <f t="shared" si="35"/>
        <v>0.10346859165063843</v>
      </c>
      <c r="BJ61" s="538">
        <f t="shared" si="36"/>
        <v>1.7414356736867462E-2</v>
      </c>
      <c r="BK61" s="538">
        <f t="shared" si="37"/>
        <v>6.3205756063595187E-2</v>
      </c>
      <c r="BL61">
        <f t="shared" si="38"/>
        <v>3.48E-3</v>
      </c>
      <c r="BM61">
        <f t="shared" si="91"/>
        <v>2.4380099431614452E-5</v>
      </c>
      <c r="BN61">
        <f t="shared" si="92"/>
        <v>0.27982482797921732</v>
      </c>
      <c r="BO61" s="469">
        <f t="shared" si="58"/>
        <v>279.82482797921733</v>
      </c>
      <c r="BP61" s="177">
        <f t="shared" si="93"/>
        <v>0.21168000000000003</v>
      </c>
      <c r="BQ61" s="177">
        <f t="shared" si="94"/>
        <v>0.36540000000000006</v>
      </c>
      <c r="BR61" s="538"/>
      <c r="BT61" s="469">
        <f t="shared" si="59"/>
        <v>577.08000000000004</v>
      </c>
      <c r="BU61" s="538">
        <f t="shared" si="43"/>
        <v>3.8270748941802352E-2</v>
      </c>
      <c r="BV61" s="538">
        <f t="shared" si="60"/>
        <v>0.15879736640209949</v>
      </c>
      <c r="BW61" s="538">
        <f t="shared" si="95"/>
        <v>0.42800120164249172</v>
      </c>
      <c r="BX61" s="538">
        <f t="shared" si="45"/>
        <v>0</v>
      </c>
      <c r="BY61" s="538">
        <f t="shared" si="96"/>
        <v>0.65797154281552839</v>
      </c>
      <c r="BZ61" s="538">
        <f t="shared" si="61"/>
        <v>0.62506931698639356</v>
      </c>
      <c r="CA61" s="641">
        <f t="shared" si="97"/>
        <v>7.622070450874259E-2</v>
      </c>
      <c r="CB61" s="469">
        <f t="shared" si="62"/>
        <v>734.19224732427097</v>
      </c>
      <c r="CC61" s="177">
        <f t="shared" si="63"/>
        <v>1.5910970753034883</v>
      </c>
      <c r="CD61" s="5">
        <f t="shared" si="64"/>
        <v>6.8936000000000011</v>
      </c>
      <c r="CE61" s="177">
        <f t="shared" si="65"/>
        <v>0.81247449836073526</v>
      </c>
      <c r="CF61" s="5">
        <f t="shared" si="66"/>
        <v>81.247449836073528</v>
      </c>
      <c r="CG61">
        <f t="shared" si="102"/>
        <v>56.000000000000007</v>
      </c>
      <c r="CI61" s="571">
        <f t="shared" si="98"/>
        <v>-50</v>
      </c>
      <c r="CJ61">
        <f t="shared" si="99"/>
        <v>-50</v>
      </c>
    </row>
    <row r="62" spans="5:88" x14ac:dyDescent="0.2">
      <c r="E62" s="174">
        <v>57</v>
      </c>
      <c r="F62" s="221">
        <f t="shared" si="103"/>
        <v>0.23939999999999997</v>
      </c>
      <c r="G62" s="221">
        <f t="shared" si="100"/>
        <v>0.41324999999999995</v>
      </c>
      <c r="H62" s="221">
        <f t="shared" si="70"/>
        <v>3.7106999999999997</v>
      </c>
      <c r="I62" s="221">
        <f t="shared" si="104"/>
        <v>3.3059999999999996</v>
      </c>
      <c r="J62" s="551">
        <f t="shared" si="1"/>
        <v>12</v>
      </c>
      <c r="K62" s="451">
        <f t="shared" si="2"/>
        <v>16.399999999999999</v>
      </c>
      <c r="L62" s="451">
        <f t="shared" si="3"/>
        <v>28.4</v>
      </c>
      <c r="M62" s="451"/>
      <c r="N62" s="221">
        <f t="shared" si="4"/>
        <v>0.57746478873239437</v>
      </c>
      <c r="O62" s="176">
        <f t="shared" si="101"/>
        <v>6.7612354549719109</v>
      </c>
      <c r="P62" s="176">
        <f t="shared" si="71"/>
        <v>11.390692542350877</v>
      </c>
      <c r="Q62" s="221">
        <f t="shared" si="6"/>
        <v>0.43620873903044588</v>
      </c>
      <c r="R62" s="221">
        <f t="shared" si="72"/>
        <v>0.84515443187148886</v>
      </c>
      <c r="S62" s="451">
        <f t="shared" si="73"/>
        <v>15.5</v>
      </c>
      <c r="T62" s="221">
        <f t="shared" si="74"/>
        <v>2.2501612466124659</v>
      </c>
      <c r="U62" s="221">
        <f t="shared" si="10"/>
        <v>1.6876209349593494</v>
      </c>
      <c r="V62" s="221">
        <f t="shared" si="11"/>
        <v>1.2348445865556217</v>
      </c>
      <c r="W62" s="201">
        <f t="shared" si="12"/>
        <v>350</v>
      </c>
      <c r="X62" s="451">
        <f t="shared" si="52"/>
        <v>342.17683412792223</v>
      </c>
      <c r="Z62" s="221">
        <f t="shared" si="13"/>
        <v>2.1998658618376927</v>
      </c>
      <c r="AA62" s="177">
        <f t="shared" si="14"/>
        <v>1.2072434607645877</v>
      </c>
      <c r="AB62" s="177">
        <f t="shared" si="75"/>
        <v>0.46476039334599145</v>
      </c>
      <c r="AC62" s="177"/>
      <c r="AD62" s="177">
        <f t="shared" si="16"/>
        <v>0.45</v>
      </c>
      <c r="AE62" s="555">
        <f t="shared" si="76"/>
        <v>1297.560975609756</v>
      </c>
      <c r="AF62" s="538">
        <f t="shared" si="77"/>
        <v>6.4574999999999994E-2</v>
      </c>
      <c r="AH62" s="177">
        <f t="shared" si="78"/>
        <v>2.1106983723515822</v>
      </c>
      <c r="AI62" s="177">
        <f t="shared" si="79"/>
        <v>2.1106983723515822</v>
      </c>
      <c r="AJ62" s="177">
        <f t="shared" si="80"/>
        <v>2.1560728684085797</v>
      </c>
      <c r="AL62" s="555">
        <f t="shared" si="81"/>
        <v>239.39999999999998</v>
      </c>
      <c r="AM62" s="469">
        <f t="shared" si="82"/>
        <v>342.17683412792223</v>
      </c>
      <c r="AO62">
        <f t="shared" si="53"/>
        <v>239.39999999999998</v>
      </c>
      <c r="AP62">
        <f t="shared" si="24"/>
        <v>342.17683412792223</v>
      </c>
      <c r="AR62" s="5">
        <f t="shared" si="54"/>
        <v>2.9224655215149711</v>
      </c>
      <c r="AS62" s="5">
        <f t="shared" si="25"/>
        <v>1.5830237792636865</v>
      </c>
      <c r="AT62" s="5">
        <f t="shared" si="55"/>
        <v>1.3394417422512845</v>
      </c>
      <c r="AU62" s="177">
        <f t="shared" si="56"/>
        <v>0.54167406513766703</v>
      </c>
      <c r="AW62" s="5">
        <f t="shared" si="83"/>
        <v>4.6051229968782526</v>
      </c>
      <c r="AX62" s="5">
        <f t="shared" si="84"/>
        <v>11.020240525513197</v>
      </c>
      <c r="AY62" s="5">
        <f t="shared" si="85"/>
        <v>15.170308270746586</v>
      </c>
      <c r="AZ62" s="5">
        <f t="shared" si="86"/>
        <v>18.749529662420237</v>
      </c>
      <c r="BA62" s="5">
        <f t="shared" si="87"/>
        <v>1.4503797643294114</v>
      </c>
      <c r="BB62" s="469">
        <f t="shared" si="88"/>
        <v>88.97186919309803</v>
      </c>
      <c r="BC62" s="5"/>
      <c r="BD62" s="177">
        <f t="shared" si="57"/>
        <v>0.89688047404906146</v>
      </c>
      <c r="BE62" s="177">
        <f t="shared" si="89"/>
        <v>0.82499775047293522</v>
      </c>
      <c r="BF62" s="177">
        <f t="shared" si="90"/>
        <v>1.3544207878110699</v>
      </c>
      <c r="BG62" s="177"/>
      <c r="BH62" s="538">
        <f t="shared" si="34"/>
        <v>8.8483404320351608E-2</v>
      </c>
      <c r="BI62" s="538">
        <f t="shared" si="35"/>
        <v>0.10255695633273164</v>
      </c>
      <c r="BJ62" s="538">
        <f t="shared" si="36"/>
        <v>1.7108841706396111E-2</v>
      </c>
      <c r="BK62" s="538">
        <f t="shared" si="37"/>
        <v>6.2096883150198803E-2</v>
      </c>
      <c r="BL62">
        <f t="shared" si="38"/>
        <v>3.48E-3</v>
      </c>
      <c r="BM62">
        <f t="shared" si="91"/>
        <v>2.3952378388954559E-5</v>
      </c>
      <c r="BN62">
        <f t="shared" si="92"/>
        <v>0.27829322716773069</v>
      </c>
      <c r="BO62" s="469">
        <f t="shared" si="58"/>
        <v>278.29322716773072</v>
      </c>
      <c r="BP62" s="177">
        <f t="shared" si="93"/>
        <v>0.21545999999999998</v>
      </c>
      <c r="BQ62" s="177">
        <f t="shared" si="94"/>
        <v>0.37192499999999995</v>
      </c>
      <c r="BR62" s="538"/>
      <c r="BT62" s="469">
        <f t="shared" si="59"/>
        <v>587.38499999999999</v>
      </c>
      <c r="BU62" s="538">
        <f t="shared" si="43"/>
        <v>3.8610940067062526E-2</v>
      </c>
      <c r="BV62" s="538">
        <f t="shared" si="60"/>
        <v>0.16334910918849682</v>
      </c>
      <c r="BW62" s="538">
        <f t="shared" si="95"/>
        <v>0.4402693609091422</v>
      </c>
      <c r="BX62" s="538">
        <f t="shared" si="45"/>
        <v>0</v>
      </c>
      <c r="BY62" s="538">
        <f t="shared" si="96"/>
        <v>0.67701323501235622</v>
      </c>
      <c r="BZ62" s="538">
        <f t="shared" si="61"/>
        <v>0.64222941016470159</v>
      </c>
      <c r="CA62" s="641">
        <f t="shared" si="97"/>
        <v>7.622070450874259E-2</v>
      </c>
      <c r="CB62" s="469">
        <f t="shared" si="62"/>
        <v>753.23393952109882</v>
      </c>
      <c r="CC62" s="177">
        <f t="shared" si="63"/>
        <v>1.6189121666888293</v>
      </c>
      <c r="CD62" s="5">
        <f t="shared" si="64"/>
        <v>7.0166999999999993</v>
      </c>
      <c r="CE62" s="177">
        <f t="shared" si="65"/>
        <v>0.81253070014727491</v>
      </c>
      <c r="CF62" s="5">
        <f t="shared" si="66"/>
        <v>81.253070014727484</v>
      </c>
      <c r="CG62">
        <f t="shared" si="102"/>
        <v>56.999999999999993</v>
      </c>
      <c r="CI62" s="571">
        <f t="shared" si="98"/>
        <v>-50</v>
      </c>
      <c r="CJ62">
        <f t="shared" si="99"/>
        <v>-50</v>
      </c>
    </row>
    <row r="63" spans="5:88" x14ac:dyDescent="0.2">
      <c r="E63" s="174">
        <v>58</v>
      </c>
      <c r="F63" s="221">
        <f t="shared" si="103"/>
        <v>0.24359999999999998</v>
      </c>
      <c r="G63" s="221">
        <f t="shared" si="100"/>
        <v>0.42049999999999998</v>
      </c>
      <c r="H63" s="221">
        <f t="shared" si="70"/>
        <v>3.7757999999999998</v>
      </c>
      <c r="I63" s="221">
        <f t="shared" si="104"/>
        <v>3.3639999999999999</v>
      </c>
      <c r="J63" s="551">
        <f t="shared" si="1"/>
        <v>12</v>
      </c>
      <c r="K63" s="451">
        <f t="shared" si="2"/>
        <v>16.399999999999999</v>
      </c>
      <c r="L63" s="451">
        <f t="shared" si="3"/>
        <v>28.4</v>
      </c>
      <c r="M63" s="451"/>
      <c r="N63" s="221">
        <f t="shared" si="4"/>
        <v>0.57746478873239437</v>
      </c>
      <c r="O63" s="176">
        <f t="shared" si="101"/>
        <v>6.7612354549719109</v>
      </c>
      <c r="P63" s="176">
        <f t="shared" si="71"/>
        <v>11.390692542350877</v>
      </c>
      <c r="Q63" s="221">
        <f t="shared" si="6"/>
        <v>0.43620873903044588</v>
      </c>
      <c r="R63" s="221">
        <f t="shared" si="72"/>
        <v>0.84515443187148886</v>
      </c>
      <c r="S63" s="451">
        <f t="shared" si="73"/>
        <v>15.5</v>
      </c>
      <c r="T63" s="221">
        <f t="shared" si="74"/>
        <v>2.2896377597109301</v>
      </c>
      <c r="U63" s="221">
        <f t="shared" si="10"/>
        <v>1.7172283197831975</v>
      </c>
      <c r="V63" s="221">
        <f t="shared" si="11"/>
        <v>1.2565085266706326</v>
      </c>
      <c r="W63" s="201">
        <f t="shared" si="12"/>
        <v>350</v>
      </c>
      <c r="X63" s="451">
        <f t="shared" si="52"/>
        <v>336.27723353950978</v>
      </c>
      <c r="Z63" s="221">
        <f t="shared" si="13"/>
        <v>2.1998658618376927</v>
      </c>
      <c r="AA63" s="177">
        <f t="shared" si="14"/>
        <v>1.2072434607645877</v>
      </c>
      <c r="AB63" s="177">
        <f t="shared" si="75"/>
        <v>0.46476039334599145</v>
      </c>
      <c r="AC63" s="177"/>
      <c r="AD63" s="177">
        <f t="shared" si="16"/>
        <v>0.45</v>
      </c>
      <c r="AE63" s="555">
        <f t="shared" si="76"/>
        <v>1320.3252032520325</v>
      </c>
      <c r="AF63" s="538">
        <f t="shared" si="77"/>
        <v>6.4574999999999994E-2</v>
      </c>
      <c r="AH63" s="177">
        <f t="shared" si="78"/>
        <v>2.1291327692763429</v>
      </c>
      <c r="AI63" s="177">
        <f t="shared" si="79"/>
        <v>2.1291327692763429</v>
      </c>
      <c r="AJ63" s="177">
        <f t="shared" si="80"/>
        <v>2.1697279772417355</v>
      </c>
      <c r="AL63" s="555">
        <f t="shared" si="81"/>
        <v>243.6</v>
      </c>
      <c r="AM63" s="469">
        <f t="shared" si="82"/>
        <v>336.27723353950978</v>
      </c>
      <c r="AO63">
        <f t="shared" si="53"/>
        <v>243.6</v>
      </c>
      <c r="AP63">
        <f t="shared" si="24"/>
        <v>336.27723353950978</v>
      </c>
      <c r="AR63" s="5">
        <f t="shared" si="54"/>
        <v>2.9737368464538299</v>
      </c>
      <c r="AS63" s="5">
        <f t="shared" si="25"/>
        <v>1.5968495769572573</v>
      </c>
      <c r="AT63" s="5">
        <f t="shared" si="55"/>
        <v>1.3768872694965726</v>
      </c>
      <c r="AU63" s="177">
        <f t="shared" si="56"/>
        <v>0.5369841581179231</v>
      </c>
      <c r="AW63" s="5">
        <f t="shared" si="83"/>
        <v>4.6051229968782526</v>
      </c>
      <c r="AX63" s="5">
        <f t="shared" si="84"/>
        <v>11.401760150146629</v>
      </c>
      <c r="AY63" s="5">
        <f t="shared" si="85"/>
        <v>15.170308270746586</v>
      </c>
      <c r="AZ63" s="5">
        <f t="shared" si="86"/>
        <v>19.39842437192419</v>
      </c>
      <c r="BA63" s="5">
        <f t="shared" si="87"/>
        <v>1.5170832911653744</v>
      </c>
      <c r="BB63" s="469">
        <f t="shared" si="88"/>
        <v>93.008275247700269</v>
      </c>
      <c r="BC63" s="5"/>
      <c r="BD63" s="177">
        <f t="shared" si="57"/>
        <v>0.90078854251953322</v>
      </c>
      <c r="BE63" s="177">
        <f t="shared" si="89"/>
        <v>0.83645010893317351</v>
      </c>
      <c r="BF63" s="177">
        <f t="shared" si="90"/>
        <v>1.3732224298266014</v>
      </c>
      <c r="BG63" s="177"/>
      <c r="BH63" s="538">
        <f t="shared" si="34"/>
        <v>8.9256199816791143E-2</v>
      </c>
      <c r="BI63" s="538">
        <f t="shared" si="35"/>
        <v>0.10166900060366009</v>
      </c>
      <c r="BJ63" s="538">
        <f t="shared" si="36"/>
        <v>1.6813861676975489E-2</v>
      </c>
      <c r="BK63" s="538">
        <f t="shared" si="37"/>
        <v>6.1026247233816069E-2</v>
      </c>
      <c r="BL63">
        <f t="shared" si="38"/>
        <v>3.48E-3</v>
      </c>
      <c r="BM63">
        <f t="shared" si="91"/>
        <v>2.3539406347765687E-5</v>
      </c>
      <c r="BN63">
        <f t="shared" si="92"/>
        <v>0.27682758136326951</v>
      </c>
      <c r="BO63" s="469">
        <f t="shared" si="58"/>
        <v>276.82758136326953</v>
      </c>
      <c r="BP63" s="177">
        <f t="shared" si="93"/>
        <v>0.21923999999999999</v>
      </c>
      <c r="BQ63" s="177">
        <f t="shared" si="94"/>
        <v>0.37845000000000001</v>
      </c>
      <c r="BR63" s="538"/>
      <c r="BT63" s="469">
        <f t="shared" si="59"/>
        <v>597.69000000000005</v>
      </c>
      <c r="BU63" s="538">
        <f t="shared" si="43"/>
        <v>3.8948159920054314E-2</v>
      </c>
      <c r="BV63" s="538">
        <f t="shared" si="60"/>
        <v>0.16791570833623626</v>
      </c>
      <c r="BW63" s="538">
        <f t="shared" si="95"/>
        <v>0.45257756202693</v>
      </c>
      <c r="BX63" s="538">
        <f t="shared" si="45"/>
        <v>0</v>
      </c>
      <c r="BY63" s="538">
        <f t="shared" si="96"/>
        <v>0.69616799156945741</v>
      </c>
      <c r="BZ63" s="538">
        <f t="shared" si="61"/>
        <v>0.65944143028322055</v>
      </c>
      <c r="CA63" s="641">
        <f t="shared" si="97"/>
        <v>7.6220704508742604E-2</v>
      </c>
      <c r="CB63" s="469">
        <f t="shared" si="62"/>
        <v>772.38869607820004</v>
      </c>
      <c r="CC63" s="177">
        <f t="shared" si="63"/>
        <v>1.6469062774414696</v>
      </c>
      <c r="CD63" s="5">
        <f t="shared" si="64"/>
        <v>7.1397999999999993</v>
      </c>
      <c r="CE63" s="177">
        <f t="shared" si="65"/>
        <v>0.81256841580449191</v>
      </c>
      <c r="CF63" s="5">
        <f t="shared" si="66"/>
        <v>81.256841580449191</v>
      </c>
      <c r="CG63">
        <f t="shared" si="102"/>
        <v>57.999999999999993</v>
      </c>
      <c r="CI63" s="571">
        <f t="shared" si="98"/>
        <v>-50</v>
      </c>
      <c r="CJ63">
        <f t="shared" si="99"/>
        <v>-50</v>
      </c>
    </row>
    <row r="64" spans="5:88" x14ac:dyDescent="0.2">
      <c r="E64" s="174">
        <v>59</v>
      </c>
      <c r="F64" s="221">
        <f t="shared" si="103"/>
        <v>0.24779999999999996</v>
      </c>
      <c r="G64" s="221">
        <f t="shared" si="100"/>
        <v>0.42774999999999996</v>
      </c>
      <c r="H64" s="221">
        <f t="shared" si="70"/>
        <v>3.8408999999999995</v>
      </c>
      <c r="I64" s="221">
        <f t="shared" si="104"/>
        <v>3.4219999999999997</v>
      </c>
      <c r="J64" s="551">
        <f t="shared" si="1"/>
        <v>12</v>
      </c>
      <c r="K64" s="451">
        <f t="shared" si="2"/>
        <v>16.399999999999999</v>
      </c>
      <c r="L64" s="451">
        <f t="shared" si="3"/>
        <v>28.4</v>
      </c>
      <c r="M64" s="451"/>
      <c r="N64" s="221">
        <f t="shared" si="4"/>
        <v>0.57746478873239437</v>
      </c>
      <c r="O64" s="176">
        <f t="shared" si="101"/>
        <v>6.7612354549719109</v>
      </c>
      <c r="P64" s="176">
        <f t="shared" si="71"/>
        <v>11.390692542350877</v>
      </c>
      <c r="Q64" s="221">
        <f t="shared" si="6"/>
        <v>0.43620873903044588</v>
      </c>
      <c r="R64" s="221">
        <f t="shared" si="72"/>
        <v>0.84515443187148886</v>
      </c>
      <c r="S64" s="451">
        <f t="shared" si="73"/>
        <v>15.5</v>
      </c>
      <c r="T64" s="221">
        <f t="shared" si="74"/>
        <v>2.3291142728093943</v>
      </c>
      <c r="U64" s="221">
        <f t="shared" si="10"/>
        <v>1.7468357046070457</v>
      </c>
      <c r="V64" s="221">
        <f t="shared" si="11"/>
        <v>1.2781724667856433</v>
      </c>
      <c r="W64" s="201">
        <f t="shared" si="12"/>
        <v>350</v>
      </c>
      <c r="X64" s="451">
        <f t="shared" si="52"/>
        <v>330.57761941172151</v>
      </c>
      <c r="Z64" s="221">
        <f t="shared" si="13"/>
        <v>2.1998658618376927</v>
      </c>
      <c r="AA64" s="177">
        <f t="shared" si="14"/>
        <v>1.2072434607645877</v>
      </c>
      <c r="AB64" s="177">
        <f t="shared" si="75"/>
        <v>0.46476039334599145</v>
      </c>
      <c r="AC64" s="177"/>
      <c r="AD64" s="177">
        <f t="shared" si="16"/>
        <v>0.45</v>
      </c>
      <c r="AE64" s="555">
        <f t="shared" si="76"/>
        <v>1343.0894308943084</v>
      </c>
      <c r="AF64" s="538">
        <f t="shared" si="77"/>
        <v>6.4574999999999994E-2</v>
      </c>
      <c r="AH64" s="177">
        <f t="shared" si="78"/>
        <v>2.1474089222514374</v>
      </c>
      <c r="AI64" s="177">
        <f t="shared" si="79"/>
        <v>2.1474089222514374</v>
      </c>
      <c r="AJ64" s="177">
        <f t="shared" si="80"/>
        <v>2.1832658683343982</v>
      </c>
      <c r="AL64" s="555">
        <f t="shared" si="81"/>
        <v>247.79999999999995</v>
      </c>
      <c r="AM64" s="469">
        <f t="shared" si="82"/>
        <v>330.57761941172151</v>
      </c>
      <c r="AO64">
        <f t="shared" si="53"/>
        <v>247.79999999999995</v>
      </c>
      <c r="AP64">
        <f t="shared" si="24"/>
        <v>330.57761941172151</v>
      </c>
      <c r="AR64" s="5">
        <f t="shared" si="54"/>
        <v>3.0250081713926891</v>
      </c>
      <c r="AS64" s="5">
        <f t="shared" si="25"/>
        <v>1.6105566916885783</v>
      </c>
      <c r="AT64" s="5">
        <f t="shared" si="55"/>
        <v>1.4144514797041108</v>
      </c>
      <c r="AU64" s="177">
        <f t="shared" si="56"/>
        <v>0.5324139970660281</v>
      </c>
      <c r="AW64" s="5">
        <f t="shared" si="83"/>
        <v>4.6051229968782526</v>
      </c>
      <c r="AX64" s="5">
        <f t="shared" si="84"/>
        <v>11.789768811730205</v>
      </c>
      <c r="AY64" s="5">
        <f t="shared" si="85"/>
        <v>15.170308270746586</v>
      </c>
      <c r="AZ64" s="5">
        <f t="shared" si="86"/>
        <v>20.058352032897773</v>
      </c>
      <c r="BA64" s="5">
        <f t="shared" si="87"/>
        <v>1.5853425388800901</v>
      </c>
      <c r="BB64" s="469">
        <f t="shared" si="88"/>
        <v>97.138024555027641</v>
      </c>
      <c r="BC64" s="5"/>
      <c r="BD64" s="177">
        <f t="shared" si="57"/>
        <v>0.90464639755642728</v>
      </c>
      <c r="BE64" s="177">
        <f t="shared" si="89"/>
        <v>0.8477833381884029</v>
      </c>
      <c r="BF64" s="177">
        <f t="shared" si="90"/>
        <v>1.3918284942522459</v>
      </c>
      <c r="BG64" s="177"/>
      <c r="BH64" s="538">
        <f t="shared" si="34"/>
        <v>9.0022361507300364E-2</v>
      </c>
      <c r="BI64" s="538">
        <f t="shared" si="35"/>
        <v>0.10080371677783465</v>
      </c>
      <c r="BJ64" s="538">
        <f t="shared" si="36"/>
        <v>1.6528880970586076E-2</v>
      </c>
      <c r="BK64" s="538">
        <f t="shared" si="37"/>
        <v>5.9991904060361569E-2</v>
      </c>
      <c r="BL64">
        <f t="shared" si="38"/>
        <v>3.48E-3</v>
      </c>
      <c r="BM64">
        <f t="shared" si="91"/>
        <v>2.3140433358820507E-5</v>
      </c>
      <c r="BN64">
        <f t="shared" si="92"/>
        <v>0.27542456496936124</v>
      </c>
      <c r="BO64" s="469">
        <f t="shared" si="58"/>
        <v>275.42456496936126</v>
      </c>
      <c r="BP64" s="177">
        <f t="shared" si="93"/>
        <v>0.22301999999999997</v>
      </c>
      <c r="BQ64" s="177">
        <f t="shared" si="94"/>
        <v>0.38497499999999996</v>
      </c>
      <c r="BR64" s="538"/>
      <c r="BT64" s="469">
        <f t="shared" si="59"/>
        <v>607.995</v>
      </c>
      <c r="BU64" s="538">
        <f t="shared" si="43"/>
        <v>3.9282485021367428E-2</v>
      </c>
      <c r="BV64" s="538">
        <f t="shared" si="60"/>
        <v>0.17249678124236925</v>
      </c>
      <c r="BW64" s="538">
        <f t="shared" si="95"/>
        <v>0.46492477377899377</v>
      </c>
      <c r="BX64" s="538">
        <f t="shared" si="45"/>
        <v>0</v>
      </c>
      <c r="BY64" s="538">
        <f t="shared" si="96"/>
        <v>0.71543506389268308</v>
      </c>
      <c r="BZ64" s="538">
        <f t="shared" si="61"/>
        <v>0.67670404004273044</v>
      </c>
      <c r="CA64" s="641">
        <f t="shared" si="97"/>
        <v>7.6220704508742632E-2</v>
      </c>
      <c r="CB64" s="469">
        <f t="shared" si="62"/>
        <v>791.65576840142569</v>
      </c>
      <c r="CC64" s="177">
        <f t="shared" si="63"/>
        <v>1.6750753333707868</v>
      </c>
      <c r="CD64" s="5">
        <f t="shared" si="64"/>
        <v>7.2628999999999992</v>
      </c>
      <c r="CE64" s="177">
        <f t="shared" si="65"/>
        <v>0.81258895097676842</v>
      </c>
      <c r="CF64" s="5">
        <f t="shared" si="66"/>
        <v>81.258895097676842</v>
      </c>
      <c r="CG64">
        <f t="shared" si="102"/>
        <v>59</v>
      </c>
      <c r="CI64" s="571">
        <f t="shared" si="98"/>
        <v>-50</v>
      </c>
      <c r="CJ64">
        <f t="shared" si="99"/>
        <v>-50</v>
      </c>
    </row>
    <row r="65" spans="5:88" x14ac:dyDescent="0.2">
      <c r="E65" s="174">
        <v>60</v>
      </c>
      <c r="F65" s="221">
        <f t="shared" si="103"/>
        <v>0.252</v>
      </c>
      <c r="G65" s="221">
        <f t="shared" si="100"/>
        <v>0.435</v>
      </c>
      <c r="H65" s="221">
        <f t="shared" si="70"/>
        <v>3.9060000000000001</v>
      </c>
      <c r="I65" s="221">
        <f t="shared" si="104"/>
        <v>3.48</v>
      </c>
      <c r="J65" s="551">
        <f t="shared" si="1"/>
        <v>12</v>
      </c>
      <c r="K65" s="451">
        <f t="shared" si="2"/>
        <v>16.399999999999999</v>
      </c>
      <c r="L65" s="451">
        <f t="shared" si="3"/>
        <v>28.4</v>
      </c>
      <c r="M65" s="451"/>
      <c r="N65" s="221">
        <f t="shared" si="4"/>
        <v>0.57746478873239437</v>
      </c>
      <c r="O65" s="176">
        <f t="shared" si="101"/>
        <v>6.7612354549719109</v>
      </c>
      <c r="P65" s="176">
        <f t="shared" si="71"/>
        <v>11.390692542350877</v>
      </c>
      <c r="Q65" s="221">
        <f t="shared" si="6"/>
        <v>0.43620873903044588</v>
      </c>
      <c r="R65" s="221">
        <f t="shared" si="72"/>
        <v>0.84515443187148886</v>
      </c>
      <c r="S65" s="451">
        <f t="shared" si="73"/>
        <v>15.5</v>
      </c>
      <c r="T65" s="221">
        <f t="shared" si="74"/>
        <v>2.368590785907859</v>
      </c>
      <c r="U65" s="221">
        <f t="shared" si="10"/>
        <v>1.7764430894308942</v>
      </c>
      <c r="V65" s="221">
        <f t="shared" si="11"/>
        <v>1.2998364069006545</v>
      </c>
      <c r="W65" s="201">
        <f t="shared" si="12"/>
        <v>350</v>
      </c>
      <c r="X65" s="451">
        <f t="shared" si="52"/>
        <v>325.06799242152613</v>
      </c>
      <c r="Z65" s="221">
        <f t="shared" si="13"/>
        <v>2.1998658618376927</v>
      </c>
      <c r="AA65" s="177">
        <f t="shared" si="14"/>
        <v>1.2072434607645877</v>
      </c>
      <c r="AB65" s="177">
        <f t="shared" si="75"/>
        <v>0.46476039334599145</v>
      </c>
      <c r="AC65" s="177"/>
      <c r="AD65" s="177">
        <f t="shared" si="16"/>
        <v>0.45</v>
      </c>
      <c r="AE65" s="555">
        <f t="shared" si="76"/>
        <v>1365.8536585365855</v>
      </c>
      <c r="AF65" s="538">
        <f t="shared" si="77"/>
        <v>6.4574999999999994E-2</v>
      </c>
      <c r="AH65" s="177">
        <f t="shared" si="78"/>
        <v>2.1655308378140936</v>
      </c>
      <c r="AI65" s="177">
        <f t="shared" si="79"/>
        <v>2.1655308378140936</v>
      </c>
      <c r="AJ65" s="177">
        <f t="shared" si="80"/>
        <v>2.1966895094919212</v>
      </c>
      <c r="AL65" s="555">
        <f t="shared" si="81"/>
        <v>252</v>
      </c>
      <c r="AM65" s="469">
        <f t="shared" si="82"/>
        <v>325.06799242152613</v>
      </c>
      <c r="AO65">
        <f t="shared" si="53"/>
        <v>252</v>
      </c>
      <c r="AP65">
        <f t="shared" si="24"/>
        <v>325.06799242152613</v>
      </c>
      <c r="AR65" s="5">
        <f t="shared" si="54"/>
        <v>3.0762794963315483</v>
      </c>
      <c r="AS65" s="5">
        <f t="shared" si="25"/>
        <v>1.6241481283605701</v>
      </c>
      <c r="AT65" s="5">
        <f t="shared" si="55"/>
        <v>1.4521313679709782</v>
      </c>
      <c r="AU65" s="177">
        <f t="shared" si="56"/>
        <v>0.52795857148134961</v>
      </c>
      <c r="AW65" s="5">
        <f t="shared" si="83"/>
        <v>4.6051229968782526</v>
      </c>
      <c r="AX65" s="5">
        <f t="shared" si="84"/>
        <v>12.184266510263935</v>
      </c>
      <c r="AY65" s="5">
        <f t="shared" si="85"/>
        <v>15.170308270746586</v>
      </c>
      <c r="AZ65" s="5">
        <f t="shared" si="86"/>
        <v>20.72931264534099</v>
      </c>
      <c r="BA65" s="5">
        <f t="shared" si="87"/>
        <v>1.655160846270624</v>
      </c>
      <c r="BB65" s="469">
        <f t="shared" si="88"/>
        <v>101.36131744290412</v>
      </c>
      <c r="BC65" s="5"/>
      <c r="BD65" s="177">
        <f t="shared" si="57"/>
        <v>0.90845551925671586</v>
      </c>
      <c r="BE65" s="177">
        <f t="shared" si="89"/>
        <v>0.85900126467113791</v>
      </c>
      <c r="BF65" s="177">
        <f t="shared" si="90"/>
        <v>1.4102452630442124</v>
      </c>
      <c r="BG65" s="177"/>
      <c r="BH65" s="538">
        <f t="shared" si="34"/>
        <v>9.0782057351478818E-2</v>
      </c>
      <c r="BI65" s="538">
        <f t="shared" si="35"/>
        <v>9.9960156200468858E-2</v>
      </c>
      <c r="BJ65" s="538">
        <f t="shared" si="36"/>
        <v>1.6253399621076307E-2</v>
      </c>
      <c r="BK65" s="538">
        <f t="shared" si="37"/>
        <v>5.8992038992688865E-2</v>
      </c>
      <c r="BL65">
        <f t="shared" si="38"/>
        <v>3.48E-3</v>
      </c>
      <c r="BM65">
        <f t="shared" si="91"/>
        <v>2.2754759469506831E-5</v>
      </c>
      <c r="BN65">
        <f t="shared" si="92"/>
        <v>0.27408107013768412</v>
      </c>
      <c r="BO65" s="469">
        <f t="shared" si="58"/>
        <v>274.08107013768415</v>
      </c>
      <c r="BP65" s="177">
        <f t="shared" si="93"/>
        <v>0.2268</v>
      </c>
      <c r="BQ65" s="177">
        <f t="shared" si="94"/>
        <v>0.39150000000000001</v>
      </c>
      <c r="BR65" s="538"/>
      <c r="BT65" s="469">
        <f t="shared" si="59"/>
        <v>618.30000000000007</v>
      </c>
      <c r="BU65" s="538">
        <f t="shared" si="43"/>
        <v>3.9613988662463483E-2</v>
      </c>
      <c r="BV65" s="538">
        <f t="shared" si="60"/>
        <v>0.17709196144958742</v>
      </c>
      <c r="BW65" s="538">
        <f t="shared" si="95"/>
        <v>0.47731000846527355</v>
      </c>
      <c r="BX65" s="538">
        <f t="shared" si="45"/>
        <v>0</v>
      </c>
      <c r="BY65" s="538">
        <f t="shared" si="96"/>
        <v>0.73481375646270608</v>
      </c>
      <c r="BZ65" s="538">
        <f t="shared" si="61"/>
        <v>0.69401595857732445</v>
      </c>
      <c r="CA65" s="641">
        <f t="shared" si="97"/>
        <v>7.6220704508742618E-2</v>
      </c>
      <c r="CB65" s="469">
        <f t="shared" si="62"/>
        <v>811.03446097144877</v>
      </c>
      <c r="CC65" s="177">
        <f t="shared" si="63"/>
        <v>1.7034155311091328</v>
      </c>
      <c r="CD65" s="5">
        <f t="shared" si="64"/>
        <v>7.3860000000000001</v>
      </c>
      <c r="CE65" s="177">
        <f t="shared" si="65"/>
        <v>0.8125935022687566</v>
      </c>
      <c r="CF65" s="5">
        <f t="shared" si="66"/>
        <v>81.259350226875654</v>
      </c>
      <c r="CG65">
        <f t="shared" si="102"/>
        <v>60</v>
      </c>
      <c r="CI65" s="571">
        <f t="shared" si="98"/>
        <v>-50</v>
      </c>
      <c r="CJ65">
        <f t="shared" si="99"/>
        <v>-50</v>
      </c>
    </row>
    <row r="66" spans="5:88" x14ac:dyDescent="0.2">
      <c r="E66" s="174">
        <v>61</v>
      </c>
      <c r="F66" s="221">
        <f t="shared" si="103"/>
        <v>0.25619999999999998</v>
      </c>
      <c r="G66" s="221">
        <f t="shared" si="100"/>
        <v>0.44224999999999998</v>
      </c>
      <c r="H66" s="221">
        <f t="shared" si="70"/>
        <v>3.9710999999999999</v>
      </c>
      <c r="I66" s="221">
        <f t="shared" si="104"/>
        <v>3.5379999999999998</v>
      </c>
      <c r="J66" s="551">
        <f t="shared" si="1"/>
        <v>12</v>
      </c>
      <c r="K66" s="451">
        <f t="shared" si="2"/>
        <v>16.399999999999999</v>
      </c>
      <c r="L66" s="451">
        <f t="shared" si="3"/>
        <v>28.4</v>
      </c>
      <c r="M66" s="451"/>
      <c r="N66" s="221">
        <f t="shared" si="4"/>
        <v>0.57746478873239437</v>
      </c>
      <c r="O66" s="176">
        <f t="shared" si="101"/>
        <v>6.7612354549719109</v>
      </c>
      <c r="P66" s="176">
        <f t="shared" si="71"/>
        <v>11.390692542350877</v>
      </c>
      <c r="Q66" s="221">
        <f t="shared" si="6"/>
        <v>0.43620873903044588</v>
      </c>
      <c r="R66" s="221">
        <f t="shared" si="72"/>
        <v>0.84515443187148886</v>
      </c>
      <c r="S66" s="451">
        <f t="shared" si="73"/>
        <v>15.5</v>
      </c>
      <c r="T66" s="221">
        <f t="shared" si="74"/>
        <v>2.4080672990063232</v>
      </c>
      <c r="U66" s="221">
        <f t="shared" si="10"/>
        <v>1.8060504742547425</v>
      </c>
      <c r="V66" s="221">
        <f t="shared" si="11"/>
        <v>1.3215003470156652</v>
      </c>
      <c r="W66" s="201">
        <f t="shared" si="12"/>
        <v>350</v>
      </c>
      <c r="X66" s="451">
        <f t="shared" si="52"/>
        <v>319.73900893920603</v>
      </c>
      <c r="Z66" s="221">
        <f t="shared" si="13"/>
        <v>2.1998658618376927</v>
      </c>
      <c r="AA66" s="177">
        <f t="shared" si="14"/>
        <v>1.2072434607645877</v>
      </c>
      <c r="AB66" s="177">
        <f t="shared" si="75"/>
        <v>0.46476039334599145</v>
      </c>
      <c r="AC66" s="177"/>
      <c r="AD66" s="177">
        <f t="shared" si="16"/>
        <v>0.45</v>
      </c>
      <c r="AE66" s="555">
        <f t="shared" si="76"/>
        <v>1388.6178861788619</v>
      </c>
      <c r="AF66" s="538">
        <f t="shared" si="77"/>
        <v>6.4574999999999994E-2</v>
      </c>
      <c r="AH66" s="177">
        <f t="shared" si="78"/>
        <v>2.1835023562347122</v>
      </c>
      <c r="AI66" s="177">
        <f t="shared" si="79"/>
        <v>2.1835023562347122</v>
      </c>
      <c r="AJ66" s="177">
        <f t="shared" si="80"/>
        <v>2.2100017453590461</v>
      </c>
      <c r="AL66" s="555">
        <f t="shared" si="81"/>
        <v>256.2</v>
      </c>
      <c r="AM66" s="469">
        <f t="shared" si="82"/>
        <v>319.73900893920603</v>
      </c>
      <c r="AO66">
        <f t="shared" si="53"/>
        <v>256.2</v>
      </c>
      <c r="AP66">
        <f t="shared" si="24"/>
        <v>319.73900893920603</v>
      </c>
      <c r="AR66" s="5">
        <f t="shared" si="54"/>
        <v>3.1275508212704075</v>
      </c>
      <c r="AS66" s="5">
        <f t="shared" si="25"/>
        <v>1.6376267671760343</v>
      </c>
      <c r="AT66" s="5">
        <f t="shared" si="55"/>
        <v>1.4899240540943732</v>
      </c>
      <c r="AU66" s="177">
        <f t="shared" si="56"/>
        <v>0.52361315954918108</v>
      </c>
      <c r="AW66" s="5">
        <f t="shared" si="83"/>
        <v>4.6051229968782526</v>
      </c>
      <c r="AX66" s="5">
        <f t="shared" si="84"/>
        <v>12.585253245747804</v>
      </c>
      <c r="AY66" s="5">
        <f t="shared" si="85"/>
        <v>15.170308270746586</v>
      </c>
      <c r="AZ66" s="5">
        <f t="shared" si="86"/>
        <v>21.411306209253837</v>
      </c>
      <c r="BA66" s="5">
        <f t="shared" si="87"/>
        <v>1.7265414683024776</v>
      </c>
      <c r="BB66" s="469">
        <f t="shared" si="88"/>
        <v>105.67834920925978</v>
      </c>
      <c r="BC66" s="5"/>
      <c r="BD66" s="177">
        <f t="shared" si="57"/>
        <v>0.91221732029355063</v>
      </c>
      <c r="BE66" s="177">
        <f t="shared" si="89"/>
        <v>0.87010750702655537</v>
      </c>
      <c r="BF66" s="177">
        <f t="shared" si="90"/>
        <v>1.4284786770287015</v>
      </c>
      <c r="BG66" s="177"/>
      <c r="BH66" s="538">
        <f t="shared" si="34"/>
        <v>9.1535448338790099E-2</v>
      </c>
      <c r="BI66" s="538">
        <f t="shared" si="35"/>
        <v>9.9137424874644955E-2</v>
      </c>
      <c r="BJ66" s="538">
        <f t="shared" si="36"/>
        <v>1.5986950446960302E-2</v>
      </c>
      <c r="BK66" s="538">
        <f t="shared" si="37"/>
        <v>5.8024956386251346E-2</v>
      </c>
      <c r="BL66">
        <f t="shared" si="38"/>
        <v>3.48E-3</v>
      </c>
      <c r="BM66">
        <f t="shared" si="91"/>
        <v>2.2381730625744422E-5</v>
      </c>
      <c r="BN66">
        <f t="shared" si="92"/>
        <v>0.27279418921465171</v>
      </c>
      <c r="BO66" s="469">
        <f t="shared" si="58"/>
        <v>272.79418921465168</v>
      </c>
      <c r="BP66" s="177">
        <f t="shared" si="93"/>
        <v>0.23057999999999998</v>
      </c>
      <c r="BQ66" s="177">
        <f t="shared" si="94"/>
        <v>0.39802499999999996</v>
      </c>
      <c r="BR66" s="538"/>
      <c r="BT66" s="469">
        <f t="shared" si="59"/>
        <v>628.60500000000002</v>
      </c>
      <c r="BU66" s="538">
        <f t="shared" si="43"/>
        <v>3.9942741093290227E-2</v>
      </c>
      <c r="BV66" s="538">
        <f t="shared" si="60"/>
        <v>0.18170089770815209</v>
      </c>
      <c r="BW66" s="538">
        <f t="shared" si="95"/>
        <v>0.48973231937416062</v>
      </c>
      <c r="BX66" s="538">
        <f t="shared" si="45"/>
        <v>0</v>
      </c>
      <c r="BY66" s="538">
        <f t="shared" si="96"/>
        <v>0.75430342384715565</v>
      </c>
      <c r="BZ66" s="538">
        <f t="shared" si="61"/>
        <v>0.71137595817560295</v>
      </c>
      <c r="CA66" s="641">
        <f t="shared" si="97"/>
        <v>7.6220704508742618E-2</v>
      </c>
      <c r="CB66" s="469">
        <f t="shared" si="62"/>
        <v>830.52412835589826</v>
      </c>
      <c r="CC66" s="177">
        <f t="shared" si="63"/>
        <v>1.73192331757055</v>
      </c>
      <c r="CD66" s="5">
        <f t="shared" si="64"/>
        <v>7.5091000000000001</v>
      </c>
      <c r="CE66" s="177">
        <f t="shared" si="65"/>
        <v>0.81258316768040906</v>
      </c>
      <c r="CF66" s="5">
        <f t="shared" si="66"/>
        <v>81.258316768040899</v>
      </c>
      <c r="CG66">
        <f t="shared" si="102"/>
        <v>61</v>
      </c>
      <c r="CI66" s="571">
        <f t="shared" si="98"/>
        <v>-50</v>
      </c>
      <c r="CJ66">
        <f t="shared" si="99"/>
        <v>-50</v>
      </c>
    </row>
    <row r="67" spans="5:88" x14ac:dyDescent="0.2">
      <c r="E67" s="174">
        <v>62</v>
      </c>
      <c r="F67" s="221">
        <f t="shared" si="103"/>
        <v>0.26039999999999996</v>
      </c>
      <c r="G67" s="221">
        <f t="shared" si="100"/>
        <v>0.44950000000000001</v>
      </c>
      <c r="H67" s="221">
        <f t="shared" si="70"/>
        <v>4.0361999999999991</v>
      </c>
      <c r="I67" s="221">
        <f t="shared" si="104"/>
        <v>3.5960000000000001</v>
      </c>
      <c r="J67" s="551">
        <f t="shared" si="1"/>
        <v>12</v>
      </c>
      <c r="K67" s="451">
        <f t="shared" si="2"/>
        <v>16.399999999999999</v>
      </c>
      <c r="L67" s="451">
        <f t="shared" si="3"/>
        <v>28.4</v>
      </c>
      <c r="M67" s="451"/>
      <c r="N67" s="221">
        <f t="shared" si="4"/>
        <v>0.57746478873239437</v>
      </c>
      <c r="O67" s="176">
        <f t="shared" si="101"/>
        <v>6.7612354549719109</v>
      </c>
      <c r="P67" s="176">
        <f t="shared" si="71"/>
        <v>11.390692542350877</v>
      </c>
      <c r="Q67" s="221">
        <f t="shared" si="6"/>
        <v>0.43620873903044588</v>
      </c>
      <c r="R67" s="221">
        <f t="shared" si="72"/>
        <v>0.84515443187148886</v>
      </c>
      <c r="S67" s="451">
        <f t="shared" si="73"/>
        <v>15.5</v>
      </c>
      <c r="T67" s="221">
        <f t="shared" si="74"/>
        <v>2.4475438121047874</v>
      </c>
      <c r="U67" s="221">
        <f t="shared" si="10"/>
        <v>1.8356578590785906</v>
      </c>
      <c r="V67" s="221">
        <f t="shared" si="11"/>
        <v>1.3431642871306761</v>
      </c>
      <c r="W67" s="201">
        <f t="shared" si="12"/>
        <v>350</v>
      </c>
      <c r="X67" s="451">
        <f t="shared" si="52"/>
        <v>314.58192814986404</v>
      </c>
      <c r="Z67" s="221">
        <f t="shared" si="13"/>
        <v>2.1998658618376927</v>
      </c>
      <c r="AA67" s="177">
        <f t="shared" si="14"/>
        <v>1.2072434607645877</v>
      </c>
      <c r="AB67" s="177">
        <f t="shared" si="75"/>
        <v>0.46476039334599145</v>
      </c>
      <c r="AC67" s="177"/>
      <c r="AD67" s="177">
        <f t="shared" si="16"/>
        <v>0.45</v>
      </c>
      <c r="AE67" s="555">
        <f t="shared" si="76"/>
        <v>1411.3821138211379</v>
      </c>
      <c r="AF67" s="538">
        <f t="shared" si="77"/>
        <v>6.4574999999999994E-2</v>
      </c>
      <c r="AH67" s="177">
        <f t="shared" si="78"/>
        <v>2.2013271610192953</v>
      </c>
      <c r="AI67" s="177">
        <f t="shared" si="79"/>
        <v>2.2013271610192953</v>
      </c>
      <c r="AJ67" s="177">
        <f t="shared" si="80"/>
        <v>2.2232053044587374</v>
      </c>
      <c r="AL67" s="555">
        <f t="shared" si="81"/>
        <v>260.39999999999998</v>
      </c>
      <c r="AM67" s="469">
        <f t="shared" si="82"/>
        <v>314.58192814986404</v>
      </c>
      <c r="AO67">
        <f t="shared" si="53"/>
        <v>260.39999999999998</v>
      </c>
      <c r="AP67">
        <f t="shared" si="24"/>
        <v>314.58192814986404</v>
      </c>
      <c r="AR67" s="5">
        <f t="shared" si="54"/>
        <v>3.1788221462092663</v>
      </c>
      <c r="AS67" s="5">
        <f t="shared" si="25"/>
        <v>1.6509953707644716</v>
      </c>
      <c r="AT67" s="5">
        <f t="shared" si="55"/>
        <v>1.5278267754447947</v>
      </c>
      <c r="AU67" s="177">
        <f t="shared" si="56"/>
        <v>0.51937330710158713</v>
      </c>
      <c r="AW67" s="5">
        <f t="shared" si="83"/>
        <v>4.6051229968782526</v>
      </c>
      <c r="AX67" s="5">
        <f t="shared" si="84"/>
        <v>12.992729018181818</v>
      </c>
      <c r="AY67" s="5">
        <f t="shared" si="85"/>
        <v>15.170308270746586</v>
      </c>
      <c r="AZ67" s="5">
        <f t="shared" si="86"/>
        <v>22.104332724636325</v>
      </c>
      <c r="BA67" s="5">
        <f t="shared" si="87"/>
        <v>1.7994875795601482</v>
      </c>
      <c r="BB67" s="469">
        <f t="shared" si="88"/>
        <v>110.08931032916446</v>
      </c>
      <c r="BC67" s="5"/>
      <c r="BD67" s="177">
        <f t="shared" si="57"/>
        <v>0.91593315003640141</v>
      </c>
      <c r="BE67" s="177">
        <f t="shared" si="89"/>
        <v>0.88110549195020826</v>
      </c>
      <c r="BF67" s="177">
        <f t="shared" si="90"/>
        <v>1.4465343619031015</v>
      </c>
      <c r="BG67" s="177"/>
      <c r="BH67" s="538">
        <f t="shared" si="34"/>
        <v>9.2282688886916556E-2</v>
      </c>
      <c r="BI67" s="538">
        <f t="shared" si="35"/>
        <v>9.8334679477900491E-2</v>
      </c>
      <c r="BJ67" s="538">
        <f t="shared" si="36"/>
        <v>1.5729096407493204E-2</v>
      </c>
      <c r="BK67" s="538">
        <f t="shared" si="37"/>
        <v>5.7089069992924721E-2</v>
      </c>
      <c r="BL67">
        <f t="shared" si="38"/>
        <v>3.48E-3</v>
      </c>
      <c r="BM67">
        <f t="shared" si="91"/>
        <v>2.2020734970490483E-5</v>
      </c>
      <c r="BN67">
        <f t="shared" si="92"/>
        <v>0.27156119886264518</v>
      </c>
      <c r="BO67" s="469">
        <f t="shared" si="58"/>
        <v>271.5611988626452</v>
      </c>
      <c r="BP67" s="177">
        <f t="shared" si="93"/>
        <v>0.23435999999999998</v>
      </c>
      <c r="BQ67" s="177">
        <f t="shared" si="94"/>
        <v>0.40455000000000002</v>
      </c>
      <c r="BR67" s="538"/>
      <c r="BT67" s="469">
        <f t="shared" si="59"/>
        <v>638.91</v>
      </c>
      <c r="BU67" s="538">
        <f t="shared" si="43"/>
        <v>4.0268809696109041E-2</v>
      </c>
      <c r="BV67" s="538">
        <f t="shared" si="60"/>
        <v>0.18632325310675643</v>
      </c>
      <c r="BW67" s="538">
        <f t="shared" si="95"/>
        <v>0.50219079843993908</v>
      </c>
      <c r="BX67" s="538">
        <f t="shared" si="45"/>
        <v>0</v>
      </c>
      <c r="BY67" s="538">
        <f t="shared" si="96"/>
        <v>0.7739034679379696</v>
      </c>
      <c r="BZ67" s="538">
        <f t="shared" si="61"/>
        <v>0.72878286124280456</v>
      </c>
      <c r="CA67" s="641">
        <f t="shared" si="97"/>
        <v>7.6220704508742618E-2</v>
      </c>
      <c r="CB67" s="469">
        <f t="shared" si="62"/>
        <v>850.12417244671224</v>
      </c>
      <c r="CC67" s="177">
        <f t="shared" si="63"/>
        <v>1.7605953713093574</v>
      </c>
      <c r="CD67" s="5">
        <f t="shared" si="64"/>
        <v>7.6321999999999992</v>
      </c>
      <c r="CE67" s="177">
        <f t="shared" si="65"/>
        <v>0.8125589559113402</v>
      </c>
      <c r="CF67" s="5">
        <f t="shared" si="66"/>
        <v>81.255895591134021</v>
      </c>
      <c r="CG67">
        <f t="shared" si="102"/>
        <v>61.999999999999986</v>
      </c>
      <c r="CI67" s="571">
        <f t="shared" si="98"/>
        <v>-50</v>
      </c>
      <c r="CJ67">
        <f t="shared" si="99"/>
        <v>-50</v>
      </c>
    </row>
    <row r="68" spans="5:88" x14ac:dyDescent="0.2">
      <c r="E68" s="174">
        <v>63</v>
      </c>
      <c r="F68" s="221">
        <f t="shared" si="103"/>
        <v>0.2646</v>
      </c>
      <c r="G68" s="221">
        <f t="shared" si="100"/>
        <v>0.45674999999999999</v>
      </c>
      <c r="H68" s="221">
        <f t="shared" si="70"/>
        <v>4.1013000000000002</v>
      </c>
      <c r="I68" s="221">
        <f t="shared" si="104"/>
        <v>3.6539999999999999</v>
      </c>
      <c r="J68" s="551">
        <f t="shared" si="1"/>
        <v>12</v>
      </c>
      <c r="K68" s="451">
        <f t="shared" si="2"/>
        <v>16.399999999999999</v>
      </c>
      <c r="L68" s="451">
        <f t="shared" si="3"/>
        <v>28.4</v>
      </c>
      <c r="M68" s="451"/>
      <c r="N68" s="221">
        <f t="shared" si="4"/>
        <v>0.57746478873239437</v>
      </c>
      <c r="O68" s="176">
        <f t="shared" si="101"/>
        <v>6.7612354549719109</v>
      </c>
      <c r="P68" s="176">
        <f t="shared" si="71"/>
        <v>11.390692542350877</v>
      </c>
      <c r="Q68" s="221">
        <f t="shared" si="6"/>
        <v>0.43620873903044588</v>
      </c>
      <c r="R68" s="221">
        <f t="shared" si="72"/>
        <v>0.84515443187148886</v>
      </c>
      <c r="S68" s="451">
        <f t="shared" si="73"/>
        <v>15.5</v>
      </c>
      <c r="T68" s="221">
        <f t="shared" si="74"/>
        <v>2.4870203252032517</v>
      </c>
      <c r="U68" s="221">
        <f t="shared" si="10"/>
        <v>1.8652652439024389</v>
      </c>
      <c r="V68" s="221">
        <f t="shared" si="11"/>
        <v>1.3648282272456871</v>
      </c>
      <c r="W68" s="201">
        <f t="shared" si="12"/>
        <v>350</v>
      </c>
      <c r="X68" s="451">
        <f t="shared" si="52"/>
        <v>309.58856421097727</v>
      </c>
      <c r="Z68" s="221">
        <f t="shared" si="13"/>
        <v>2.1998658618376927</v>
      </c>
      <c r="AA68" s="177">
        <f t="shared" si="14"/>
        <v>1.2072434607645877</v>
      </c>
      <c r="AB68" s="177">
        <f t="shared" si="75"/>
        <v>0.46476039334599145</v>
      </c>
      <c r="AC68" s="177"/>
      <c r="AD68" s="177">
        <f t="shared" si="16"/>
        <v>0.45</v>
      </c>
      <c r="AE68" s="555">
        <f t="shared" si="76"/>
        <v>1434.1463414634147</v>
      </c>
      <c r="AF68" s="538">
        <f t="shared" si="77"/>
        <v>6.4574999999999994E-2</v>
      </c>
      <c r="AH68" s="177">
        <f t="shared" si="78"/>
        <v>2.2190087877248255</v>
      </c>
      <c r="AI68" s="177">
        <f t="shared" si="79"/>
        <v>2.2190087877248255</v>
      </c>
      <c r="AJ68" s="177">
        <f t="shared" si="80"/>
        <v>2.2363028057220928</v>
      </c>
      <c r="AL68" s="555">
        <f t="shared" si="81"/>
        <v>264.60000000000002</v>
      </c>
      <c r="AM68" s="469">
        <f t="shared" si="82"/>
        <v>309.58856421097727</v>
      </c>
      <c r="AO68">
        <f t="shared" si="53"/>
        <v>264.60000000000002</v>
      </c>
      <c r="AP68">
        <f t="shared" si="24"/>
        <v>309.58856421097727</v>
      </c>
      <c r="AR68" s="5">
        <f t="shared" si="54"/>
        <v>3.2300934711481259</v>
      </c>
      <c r="AS68" s="5">
        <f t="shared" si="25"/>
        <v>1.6642565907936191</v>
      </c>
      <c r="AT68" s="5">
        <f t="shared" si="55"/>
        <v>1.5658368803545069</v>
      </c>
      <c r="AU68" s="177">
        <f t="shared" si="56"/>
        <v>0.51523480842245239</v>
      </c>
      <c r="AW68" s="5">
        <f t="shared" si="83"/>
        <v>4.6051229968782526</v>
      </c>
      <c r="AX68" s="5">
        <f t="shared" si="84"/>
        <v>13.406693827565986</v>
      </c>
      <c r="AY68" s="5">
        <f t="shared" si="85"/>
        <v>15.170308270746586</v>
      </c>
      <c r="AZ68" s="5">
        <f t="shared" si="86"/>
        <v>22.808392191488437</v>
      </c>
      <c r="BA68" s="5">
        <f t="shared" si="87"/>
        <v>1.8740022775020531</v>
      </c>
      <c r="BB68" s="469">
        <f t="shared" si="88"/>
        <v>114.59438665012323</v>
      </c>
      <c r="BC68" s="5"/>
      <c r="BD68" s="177">
        <f t="shared" si="57"/>
        <v>0.91960429835738866</v>
      </c>
      <c r="BE68" s="177">
        <f t="shared" si="89"/>
        <v>0.89199846848296105</v>
      </c>
      <c r="BF68" s="177">
        <f t="shared" si="90"/>
        <v>1.4644176517043657</v>
      </c>
      <c r="BG68" s="177"/>
      <c r="BH68" s="538">
        <f t="shared" si="34"/>
        <v>9.3023927211312363E-2</v>
      </c>
      <c r="BI68" s="538">
        <f t="shared" si="35"/>
        <v>9.7551123727984315E-2</v>
      </c>
      <c r="BJ68" s="538">
        <f t="shared" si="36"/>
        <v>1.5479428210548863E-2</v>
      </c>
      <c r="BK68" s="538">
        <f t="shared" si="37"/>
        <v>5.6182894278751304E-2</v>
      </c>
      <c r="BL68">
        <f t="shared" si="38"/>
        <v>3.48E-3</v>
      </c>
      <c r="BM68">
        <f t="shared" si="91"/>
        <v>2.1671199494768412E-5</v>
      </c>
      <c r="BN68">
        <f t="shared" si="92"/>
        <v>0.27037954567206846</v>
      </c>
      <c r="BO68" s="469">
        <f t="shared" si="58"/>
        <v>270.37954567206845</v>
      </c>
      <c r="BP68" s="177">
        <f t="shared" si="93"/>
        <v>0.23814000000000002</v>
      </c>
      <c r="BQ68" s="177">
        <f t="shared" si="94"/>
        <v>0.41107500000000002</v>
      </c>
      <c r="BR68" s="538"/>
      <c r="BT68" s="469">
        <f t="shared" si="59"/>
        <v>649.21500000000015</v>
      </c>
      <c r="BU68" s="538">
        <f t="shared" si="43"/>
        <v>4.0592259146754482E-2</v>
      </c>
      <c r="BV68" s="538">
        <f t="shared" si="60"/>
        <v>0.19095870426622752</v>
      </c>
      <c r="BW68" s="538">
        <f t="shared" si="95"/>
        <v>0.51468457406959889</v>
      </c>
      <c r="BX68" s="538">
        <f t="shared" si="45"/>
        <v>0</v>
      </c>
      <c r="BY68" s="538">
        <f t="shared" si="96"/>
        <v>0.79361333539385936</v>
      </c>
      <c r="BZ68" s="538">
        <f t="shared" si="61"/>
        <v>0.74623553748258087</v>
      </c>
      <c r="CA68" s="641">
        <f t="shared" si="97"/>
        <v>7.6220704508742618E-2</v>
      </c>
      <c r="CB68" s="469">
        <f t="shared" si="62"/>
        <v>869.83403990260194</v>
      </c>
      <c r="CC68" s="177">
        <f t="shared" si="63"/>
        <v>1.7894285855746705</v>
      </c>
      <c r="CD68" s="5">
        <f t="shared" si="64"/>
        <v>7.7553000000000001</v>
      </c>
      <c r="CE68" s="177">
        <f t="shared" si="65"/>
        <v>0.81252179467113339</v>
      </c>
      <c r="CF68" s="5">
        <f t="shared" si="66"/>
        <v>81.252179467113336</v>
      </c>
      <c r="CG68">
        <f t="shared" si="102"/>
        <v>63</v>
      </c>
      <c r="CI68" s="571">
        <f t="shared" si="98"/>
        <v>-50</v>
      </c>
      <c r="CJ68">
        <f t="shared" si="99"/>
        <v>-50</v>
      </c>
    </row>
    <row r="69" spans="5:88" x14ac:dyDescent="0.2">
      <c r="E69" s="174">
        <v>64</v>
      </c>
      <c r="F69" s="221">
        <f t="shared" si="103"/>
        <v>0.26879999999999998</v>
      </c>
      <c r="G69" s="221">
        <f t="shared" si="100"/>
        <v>0.46399999999999997</v>
      </c>
      <c r="H69" s="221">
        <f t="shared" ref="H69:H105" si="105">F69*Vout</f>
        <v>4.1663999999999994</v>
      </c>
      <c r="I69" s="221">
        <f t="shared" si="104"/>
        <v>3.7119999999999997</v>
      </c>
      <c r="J69" s="551">
        <f t="shared" ref="J69:J105" si="106">Vin</f>
        <v>12</v>
      </c>
      <c r="K69" s="451">
        <f t="shared" ref="K69:K105" si="107">(S69+Vfwd1)*Nps</f>
        <v>16.399999999999999</v>
      </c>
      <c r="L69" s="451">
        <f t="shared" ref="L69:L105" si="108">(Vout+Vfwd1)*Nps+J69</f>
        <v>28.4</v>
      </c>
      <c r="M69" s="451"/>
      <c r="N69" s="221">
        <f t="shared" ref="N69:N105" si="109">(Vout+Vfwd1)*Nps/((Vout+Vfwd1)*Nps+J69)</f>
        <v>0.57746478873239437</v>
      </c>
      <c r="O69" s="176">
        <f t="shared" si="101"/>
        <v>6.7612354549719109</v>
      </c>
      <c r="P69" s="176">
        <f t="shared" ref="P69:P105" si="110">N69*J69*Isw_max*0.5*Efficiency*(Pout2/Pout_total)</f>
        <v>11.390692542350877</v>
      </c>
      <c r="Q69" s="221">
        <f t="shared" ref="Q69:Q105" si="111">O69/Vout</f>
        <v>0.43620873903044588</v>
      </c>
      <c r="R69" s="221">
        <f t="shared" ref="R69:R105" si="112">O69/Vout2</f>
        <v>0.84515443187148886</v>
      </c>
      <c r="S69" s="451">
        <f t="shared" ref="S69:S105" si="113">MIN(Vout,O69/F69)</f>
        <v>15.5</v>
      </c>
      <c r="T69" s="221">
        <f t="shared" ref="T69:T105" si="114">MIN(2*(Vout*F69+Vout2*G69)/(Efficiency*J69*N69), Isw_max)</f>
        <v>2.5264968383017159</v>
      </c>
      <c r="U69" s="221">
        <f t="shared" ref="U69:U105" si="115">L*T69/J69*1000000</f>
        <v>1.8948726287262869</v>
      </c>
      <c r="V69" s="221">
        <f t="shared" ref="V69:V105" si="116">L*T69/K69*1000000</f>
        <v>1.3864921673606978</v>
      </c>
      <c r="W69" s="201">
        <f t="shared" ref="W69:W105" si="117">IF(1/((350000*L)*(1/J69+1/K69))&gt;Isw_min, 350, 0.001/((Isw_min*L)*(1/J69+1/K69)))</f>
        <v>350</v>
      </c>
      <c r="X69" s="451">
        <f t="shared" si="52"/>
        <v>304.75124289518078</v>
      </c>
      <c r="Z69" s="221">
        <f t="shared" ref="Z69:Z105" si="118">1/((W69*1000*L)*(1/J69+1/K69))</f>
        <v>2.1998658618376927</v>
      </c>
      <c r="AA69" s="177">
        <f t="shared" ref="AA69:AA105" si="119">L*Z69/K69*1000000</f>
        <v>1.2072434607645877</v>
      </c>
      <c r="AB69" s="177">
        <f t="shared" ref="AB69:AB100" si="120">0.5*AA69*Z69*Nps*W69/1000*(Pout/Pout_total)</f>
        <v>0.46476039334599145</v>
      </c>
      <c r="AC69" s="177"/>
      <c r="AD69" s="177">
        <f t="shared" ref="AD69:AD105" si="121">L*Isw_min/K69*1000000</f>
        <v>0.45</v>
      </c>
      <c r="AE69" s="555">
        <f t="shared" ref="AE69:AE100" si="122">MAX(10, F69/(0.5*AD69/1000000*Isw_min*Nps)/1000*Pout_total/Pout)</f>
        <v>1456.9105691056911</v>
      </c>
      <c r="AF69" s="538">
        <f t="shared" ref="AF69:AF105" si="123">0.5*AD69/1000000*Isw_min*Nps*W69*1000*(Pout/Pout_total)</f>
        <v>6.4574999999999994E-2</v>
      </c>
      <c r="AH69" s="177">
        <f t="shared" ref="AH69:AH105" si="124">SQRT((H69+I69)/(0.5*L*Fsw_DCM))</f>
        <v>2.2365506321473543</v>
      </c>
      <c r="AI69" s="177">
        <f t="shared" ref="AI69:AI100" si="125">MAX(IF(F69&gt;AB69,T69,AH69),Isw_min)</f>
        <v>2.2365506321473543</v>
      </c>
      <c r="AJ69" s="177">
        <f t="shared" ref="AJ69:AJ100" si="126">IF(F69&gt;AF69, (AI69-Isw_min)/1.08*0.8+1.2, AE69*0.2/350+1)</f>
        <v>2.2492967645535957</v>
      </c>
      <c r="AL69" s="555">
        <f t="shared" ref="AL69:AL105" si="127">F69*1000</f>
        <v>268.8</v>
      </c>
      <c r="AM69" s="469">
        <f t="shared" ref="AM69:AM105" si="128">IF(F69&gt;AF69, X69, AE69)</f>
        <v>304.75124289518078</v>
      </c>
      <c r="AO69">
        <f t="shared" si="53"/>
        <v>268.8</v>
      </c>
      <c r="AP69">
        <f t="shared" ref="AP69:AP105" si="129">IF(H69&gt;O69, "",AM69)</f>
        <v>304.75124289518078</v>
      </c>
      <c r="AR69" s="5">
        <f t="shared" si="54"/>
        <v>3.2813647960869847</v>
      </c>
      <c r="AS69" s="5">
        <f t="shared" ref="AS69:AS105" si="130">L*AI69/J69*1000000</f>
        <v>1.6774129741105159</v>
      </c>
      <c r="AT69" s="5">
        <f t="shared" si="55"/>
        <v>1.6039518219764688</v>
      </c>
      <c r="AU69" s="177">
        <f t="shared" si="56"/>
        <v>0.51119368870868143</v>
      </c>
      <c r="AW69" s="5">
        <f t="shared" ref="AW69:AW105" si="131">L*Iout^2/(2*Vripple1_spec*Vout*Npri_sec1^2)*1000000000*((1+N69)/(1-N69))^2</f>
        <v>4.6051229968782526</v>
      </c>
      <c r="AX69" s="5">
        <f t="shared" ref="AX69:AX105" si="132">L*F69^2/(2*Cout*Vout*Nps^2)*1000000000*((1+N69)/(1-N69))^2+F69*RCoutEsr</f>
        <v>13.827147673900294</v>
      </c>
      <c r="AY69" s="5">
        <f t="shared" ref="AY69:AY105" si="133">L*Iout2^2/(2*Vripple2_spec*Vout2*Npri_sec2^2)*1000000000*((1+N69)/(1-N69))^2</f>
        <v>15.170308270746586</v>
      </c>
      <c r="AZ69" s="5">
        <f t="shared" ref="AZ69:AZ105" si="134">L*G69^2/(2*Cout2*Vout2*Npri_sec2^2)*1000000000*((1+N69)/(1-N69))^2+G69*CoutEsr2</f>
        <v>23.523484609810183</v>
      </c>
      <c r="BA69" s="5">
        <f t="shared" ref="BA69:BA105" si="135">(H69+I69)/Efficiency/J69*AT69/Vinripple1</f>
        <v>1.950088585533859</v>
      </c>
      <c r="BB69" s="469">
        <f t="shared" ref="BB69:BB105" si="136">((CD69/J69/Efficiency)*AT69/Cin+(CD69/J69/Efficiency)*RCinEsr)*1000</f>
        <v>119.19375957647601</v>
      </c>
      <c r="BC69" s="5"/>
      <c r="BD69" s="177">
        <f t="shared" si="57"/>
        <v>0.92323199915228515</v>
      </c>
      <c r="BE69" s="177">
        <f t="shared" ref="BE69:BE105" si="137">AI69*Npri_sec1*SQRT((1-AU69)/3)*(Pout/Pout_total)</f>
        <v>0.90278952094467646</v>
      </c>
      <c r="BF69" s="177">
        <f t="shared" ref="BF69:BF105" si="138">AI69*Npri_sec2*SQRT((1-AU69)/3)*(Pout2/Pout_total)</f>
        <v>1.4821336100425901</v>
      </c>
      <c r="BG69" s="177"/>
      <c r="BH69" s="538">
        <f t="shared" ref="BH69:BH105" si="139">Rdson*BD69^2</f>
        <v>9.3759305668459747E-2</v>
      </c>
      <c r="BI69" s="538">
        <f t="shared" ref="BI69:BI105" si="140">0.5*L69*AI69*AM69*1000*Trise</f>
        <v>9.6786005062176994E-2</v>
      </c>
      <c r="BJ69" s="538">
        <f t="shared" ref="BJ69:BJ105" si="141">Qg*Vdd*AM69*1000</f>
        <v>1.5237562144759038E-2</v>
      </c>
      <c r="BK69" s="538">
        <f t="shared" ref="BK69:BK105" si="142">0.5*(Coss+Csw)*L69^2*AM69*1000</f>
        <v>5.5305036555645816E-2</v>
      </c>
      <c r="BL69">
        <f t="shared" ref="BL69:BL105" si="143">J69*IQ</f>
        <v>3.48E-3</v>
      </c>
      <c r="BM69">
        <f t="shared" ref="BM69:BM105" si="144">(J69-Vdd)*Qg*AM69</f>
        <v>2.1332587002662656E-5</v>
      </c>
      <c r="BN69">
        <f t="shared" ref="BN69:BN100" si="145">(BI69+BJ69+BK69+BL69+BM69+BH69*(1+RdsonTC*(Ta-25)))/(1-BH69*RdsonTC*ThetaJA)</f>
        <v>0.26924683310314035</v>
      </c>
      <c r="BO69" s="469">
        <f t="shared" si="58"/>
        <v>269.24683310314037</v>
      </c>
      <c r="BP69" s="177">
        <f t="shared" ref="BP69:BP105" si="146">(Vfwd2*F69+BE69^2*Rdiode)*(1+Diode_TC/1000*(Ta-25))</f>
        <v>0.24192</v>
      </c>
      <c r="BQ69" s="177">
        <f t="shared" ref="BQ69:BQ105" si="147">(Vfwd2*G69+BF69^2*Rdiode)*(1+Diode_TC/1000*(Ta-25))</f>
        <v>0.41759999999999997</v>
      </c>
      <c r="BR69" s="538"/>
      <c r="BT69" s="469">
        <f t="shared" si="59"/>
        <v>659.52</v>
      </c>
      <c r="BU69" s="538">
        <f t="shared" ref="BU69:BU105" si="148">Rdcr_pri*BD69^2</f>
        <v>4.0913151564418798E-2</v>
      </c>
      <c r="BV69" s="538">
        <f t="shared" ref="BV69:BV105" si="149">Rdcr_sec*BE69^2</f>
        <v>0.19560694059060441</v>
      </c>
      <c r="BW69" s="538">
        <f t="shared" ref="BW69:BW105" si="150">Rdcr_sec2*BF69^2</f>
        <v>0.52721280912429136</v>
      </c>
      <c r="BX69" s="538">
        <f t="shared" ref="BX69:BX105" si="151">AI69^2.5*AM69^2.5*k_core</f>
        <v>0</v>
      </c>
      <c r="BY69" s="538">
        <f t="shared" ref="BY69:BY100" si="152">(BX69+(BU69+BV69+BW69)*(1+Ltc*(Ta-25)))/(1-(BU69+BV69+BW69)*Ltc*ThetaCa)</f>
        <v>0.81343251526987381</v>
      </c>
      <c r="BZ69" s="538">
        <f t="shared" si="61"/>
        <v>0.76373290127931459</v>
      </c>
      <c r="CA69" s="641">
        <f t="shared" ref="CA69:CA105" si="153">0.5*Lleak*0.000000001*AI69^2*AM69*1000</f>
        <v>7.6220704508742618E-2</v>
      </c>
      <c r="CB69" s="469">
        <f t="shared" si="62"/>
        <v>889.6532197786164</v>
      </c>
      <c r="CC69" s="177">
        <f t="shared" si="63"/>
        <v>1.8184200528817569</v>
      </c>
      <c r="CD69" s="5">
        <f t="shared" si="64"/>
        <v>7.8783999999999992</v>
      </c>
      <c r="CE69" s="177">
        <f t="shared" si="65"/>
        <v>0.81247253811404396</v>
      </c>
      <c r="CF69" s="5">
        <f t="shared" si="66"/>
        <v>81.247253811404391</v>
      </c>
      <c r="CG69">
        <f t="shared" si="102"/>
        <v>64</v>
      </c>
      <c r="CI69" s="571">
        <f t="shared" ref="CI69:CI105" si="154">IF(ABS(F69-Ioutmax_Vinnom)&lt;Iout/200, AM69, -50)</f>
        <v>-50</v>
      </c>
      <c r="CJ69">
        <f t="shared" ref="CJ69:CJ105" si="155">IF(ABS(F69-Ioutmax_Vinnom)&lt;Iout/200, (O69+P69)*CE69, -50)</f>
        <v>-50</v>
      </c>
    </row>
    <row r="70" spans="5:88" x14ac:dyDescent="0.2">
      <c r="E70" s="174">
        <v>65</v>
      </c>
      <c r="F70" s="221">
        <f t="shared" si="103"/>
        <v>0.27300000000000002</v>
      </c>
      <c r="G70" s="221">
        <f t="shared" ref="G70:G105" si="156">IF(PLOT_TYPE=1, E70/100*Iout2, min_I*EXP(Q70*rr/100))</f>
        <v>0.47125</v>
      </c>
      <c r="H70" s="221">
        <f t="shared" si="105"/>
        <v>4.2315000000000005</v>
      </c>
      <c r="I70" s="221">
        <f t="shared" si="104"/>
        <v>3.77</v>
      </c>
      <c r="J70" s="551">
        <f t="shared" si="106"/>
        <v>12</v>
      </c>
      <c r="K70" s="451">
        <f t="shared" si="107"/>
        <v>16.399999999999999</v>
      </c>
      <c r="L70" s="451">
        <f t="shared" si="108"/>
        <v>28.4</v>
      </c>
      <c r="M70" s="451"/>
      <c r="N70" s="221">
        <f t="shared" si="109"/>
        <v>0.57746478873239437</v>
      </c>
      <c r="O70" s="176">
        <f t="shared" ref="O70:O101" si="157">N70*J70*Isw_max*0.5*Efficiency*Pout/(Pout+Pout2)</f>
        <v>6.7612354549719109</v>
      </c>
      <c r="P70" s="176">
        <f t="shared" si="110"/>
        <v>11.390692542350877</v>
      </c>
      <c r="Q70" s="221">
        <f t="shared" si="111"/>
        <v>0.43620873903044588</v>
      </c>
      <c r="R70" s="221">
        <f t="shared" si="112"/>
        <v>0.84515443187148886</v>
      </c>
      <c r="S70" s="451">
        <f t="shared" si="113"/>
        <v>15.5</v>
      </c>
      <c r="T70" s="221">
        <f t="shared" si="114"/>
        <v>2.5659733514001806</v>
      </c>
      <c r="U70" s="221">
        <f t="shared" si="115"/>
        <v>1.9244800135501354</v>
      </c>
      <c r="V70" s="221">
        <f t="shared" si="116"/>
        <v>1.408156107475709</v>
      </c>
      <c r="W70" s="201">
        <f t="shared" si="117"/>
        <v>350</v>
      </c>
      <c r="X70" s="451">
        <f t="shared" ref="X70:X105" si="158">MIN(1/(U70+V70)*1000, 350)</f>
        <v>300.06276223525487</v>
      </c>
      <c r="Z70" s="221">
        <f t="shared" si="118"/>
        <v>2.1998658618376927</v>
      </c>
      <c r="AA70" s="177">
        <f t="shared" si="119"/>
        <v>1.2072434607645877</v>
      </c>
      <c r="AB70" s="177">
        <f t="shared" si="120"/>
        <v>0.46476039334599145</v>
      </c>
      <c r="AC70" s="177"/>
      <c r="AD70" s="177">
        <f t="shared" si="121"/>
        <v>0.45</v>
      </c>
      <c r="AE70" s="555">
        <f t="shared" si="122"/>
        <v>1479.6747967479673</v>
      </c>
      <c r="AF70" s="538">
        <f t="shared" si="123"/>
        <v>6.4574999999999994E-2</v>
      </c>
      <c r="AH70" s="177">
        <f t="shared" si="124"/>
        <v>2.2539559579365034</v>
      </c>
      <c r="AI70" s="177">
        <f t="shared" si="125"/>
        <v>2.2539559579365034</v>
      </c>
      <c r="AJ70" s="177">
        <f t="shared" si="126"/>
        <v>2.2621895984714842</v>
      </c>
      <c r="AL70" s="555">
        <f t="shared" si="127"/>
        <v>273</v>
      </c>
      <c r="AM70" s="469">
        <f t="shared" si="128"/>
        <v>300.06276223525487</v>
      </c>
      <c r="AO70">
        <f t="shared" ref="AO70:AO105" si="159">IF(H70&gt;O70, "",AL70)</f>
        <v>273</v>
      </c>
      <c r="AP70">
        <f t="shared" si="129"/>
        <v>300.06276223525487</v>
      </c>
      <c r="AR70" s="5">
        <f t="shared" ref="AR70:AR133" si="160">1/AM70*1000</f>
        <v>3.3326361210258444</v>
      </c>
      <c r="AS70" s="5">
        <f t="shared" si="130"/>
        <v>1.6904669684523774</v>
      </c>
      <c r="AT70" s="5">
        <f t="shared" ref="AT70:AT105" si="161">AR70-AS70</f>
        <v>1.642169152573467</v>
      </c>
      <c r="AU70" s="177">
        <f t="shared" ref="AU70:AU105" si="162">AS70/AR70</f>
        <v>0.50724618802127786</v>
      </c>
      <c r="AW70" s="5">
        <f t="shared" si="131"/>
        <v>4.6051229968782526</v>
      </c>
      <c r="AX70" s="5">
        <f t="shared" si="132"/>
        <v>14.254090557184755</v>
      </c>
      <c r="AY70" s="5">
        <f t="shared" si="133"/>
        <v>15.170308270746586</v>
      </c>
      <c r="AZ70" s="5">
        <f t="shared" si="134"/>
        <v>24.249609979601576</v>
      </c>
      <c r="BA70" s="5">
        <f t="shared" si="135"/>
        <v>2.0277494559130549</v>
      </c>
      <c r="BB70" s="469">
        <f t="shared" si="136"/>
        <v>123.8876062436722</v>
      </c>
      <c r="BC70" s="5"/>
      <c r="BD70" s="177">
        <f t="shared" ref="BD70:BD105" si="163">AI70*SQRT(AU70/3)</f>
        <v>0.92681743360167246</v>
      </c>
      <c r="BE70" s="177">
        <f t="shared" si="137"/>
        <v>0.91348158066332286</v>
      </c>
      <c r="BF70" s="177">
        <f t="shared" si="138"/>
        <v>1.4996870493570007</v>
      </c>
      <c r="BG70" s="177"/>
      <c r="BH70" s="538">
        <f t="shared" si="139"/>
        <v>9.4488961075078953E-2</v>
      </c>
      <c r="BI70" s="538">
        <f t="shared" si="140"/>
        <v>9.6038611598695256E-2</v>
      </c>
      <c r="BJ70" s="538">
        <f t="shared" si="141"/>
        <v>1.5003138111762742E-2</v>
      </c>
      <c r="BK70" s="538">
        <f t="shared" si="142"/>
        <v>5.4454189839405108E-2</v>
      </c>
      <c r="BL70">
        <f t="shared" si="143"/>
        <v>3.48E-3</v>
      </c>
      <c r="BM70">
        <f t="shared" si="144"/>
        <v>2.1004393356467842E-5</v>
      </c>
      <c r="BN70">
        <f t="shared" si="145"/>
        <v>0.26816080961595551</v>
      </c>
      <c r="BO70" s="469">
        <f t="shared" ref="BO70:BO105" si="164">BN70*1000</f>
        <v>268.16080961595549</v>
      </c>
      <c r="BP70" s="177">
        <f t="shared" si="146"/>
        <v>0.24570000000000003</v>
      </c>
      <c r="BQ70" s="177">
        <f t="shared" si="147"/>
        <v>0.42412500000000003</v>
      </c>
      <c r="BR70" s="538"/>
      <c r="BT70" s="469">
        <f t="shared" ref="BT70:BT105" si="165">SUM(BP70:BS70)*1000</f>
        <v>669.82500000000016</v>
      </c>
      <c r="BU70" s="538">
        <f t="shared" si="148"/>
        <v>4.1231546650943543E-2</v>
      </c>
      <c r="BV70" s="538">
        <f t="shared" si="149"/>
        <v>0.20026766357067907</v>
      </c>
      <c r="BW70" s="538">
        <f t="shared" si="150"/>
        <v>0.53977469904218567</v>
      </c>
      <c r="BX70" s="538">
        <f t="shared" si="151"/>
        <v>0</v>
      </c>
      <c r="BY70" s="538">
        <f t="shared" si="152"/>
        <v>0.83336053681787958</v>
      </c>
      <c r="BZ70" s="538">
        <f t="shared" ref="BZ70:BZ133" si="166">SUM(BU70:BX70)</f>
        <v>0.78127390926380835</v>
      </c>
      <c r="CA70" s="641">
        <f t="shared" si="153"/>
        <v>7.6220704508742604E-2</v>
      </c>
      <c r="CB70" s="469">
        <f t="shared" ref="CB70:CB105" si="167">(BY70+CA70)*1000</f>
        <v>909.58124132662226</v>
      </c>
      <c r="CC70" s="177">
        <f t="shared" ref="CC70:CC133" si="168">SUM(BN70,BP70:BS70,BY70, CA70)</f>
        <v>1.8475670509425779</v>
      </c>
      <c r="CD70" s="5">
        <f t="shared" ref="CD70:CD105" si="169">MIN(H70+I70,O70+P70)</f>
        <v>8.0015000000000001</v>
      </c>
      <c r="CE70" s="177">
        <f t="shared" ref="CE70:CE105" si="170">CD70/(CD70+CC70)</f>
        <v>0.81241197350100669</v>
      </c>
      <c r="CF70" s="5">
        <f t="shared" ref="CF70:CF105" si="171">CE70*100</f>
        <v>81.241197350100663</v>
      </c>
      <c r="CG70">
        <f t="shared" ref="CG70:CG105" si="172">F70/Iout*100</f>
        <v>65</v>
      </c>
      <c r="CI70" s="571">
        <f t="shared" si="154"/>
        <v>-50</v>
      </c>
      <c r="CJ70">
        <f t="shared" si="155"/>
        <v>-50</v>
      </c>
    </row>
    <row r="71" spans="5:88" x14ac:dyDescent="0.2">
      <c r="E71" s="174">
        <v>66</v>
      </c>
      <c r="F71" s="221">
        <f t="shared" si="103"/>
        <v>0.2772</v>
      </c>
      <c r="G71" s="221">
        <f t="shared" si="156"/>
        <v>0.47849999999999998</v>
      </c>
      <c r="H71" s="221">
        <f t="shared" si="105"/>
        <v>4.2965999999999998</v>
      </c>
      <c r="I71" s="221">
        <f t="shared" si="104"/>
        <v>3.8279999999999998</v>
      </c>
      <c r="J71" s="551">
        <f t="shared" si="106"/>
        <v>12</v>
      </c>
      <c r="K71" s="451">
        <f t="shared" si="107"/>
        <v>16.399999999999999</v>
      </c>
      <c r="L71" s="451">
        <f t="shared" si="108"/>
        <v>28.4</v>
      </c>
      <c r="M71" s="451"/>
      <c r="N71" s="221">
        <f t="shared" si="109"/>
        <v>0.57746478873239437</v>
      </c>
      <c r="O71" s="176">
        <f t="shared" si="157"/>
        <v>6.7612354549719109</v>
      </c>
      <c r="P71" s="176">
        <f t="shared" si="110"/>
        <v>11.390692542350877</v>
      </c>
      <c r="Q71" s="221">
        <f t="shared" si="111"/>
        <v>0.43620873903044588</v>
      </c>
      <c r="R71" s="221">
        <f t="shared" si="112"/>
        <v>0.84515443187148886</v>
      </c>
      <c r="S71" s="451">
        <f t="shared" si="113"/>
        <v>15.5</v>
      </c>
      <c r="T71" s="221">
        <f t="shared" si="114"/>
        <v>2.6054498644986444</v>
      </c>
      <c r="U71" s="221">
        <f t="shared" si="115"/>
        <v>1.954087398373983</v>
      </c>
      <c r="V71" s="221">
        <f t="shared" si="116"/>
        <v>1.4298200475907195</v>
      </c>
      <c r="W71" s="201">
        <f t="shared" si="117"/>
        <v>350</v>
      </c>
      <c r="X71" s="451">
        <f t="shared" si="158"/>
        <v>295.51635674684201</v>
      </c>
      <c r="Z71" s="221">
        <f t="shared" si="118"/>
        <v>2.1998658618376927</v>
      </c>
      <c r="AA71" s="177">
        <f t="shared" si="119"/>
        <v>1.2072434607645877</v>
      </c>
      <c r="AB71" s="177">
        <f t="shared" si="120"/>
        <v>0.46476039334599145</v>
      </c>
      <c r="AC71" s="177"/>
      <c r="AD71" s="177">
        <f t="shared" si="121"/>
        <v>0.45</v>
      </c>
      <c r="AE71" s="555">
        <f t="shared" si="122"/>
        <v>1502.4390243902437</v>
      </c>
      <c r="AF71" s="538">
        <f t="shared" si="123"/>
        <v>6.4574999999999994E-2</v>
      </c>
      <c r="AH71" s="177">
        <f t="shared" si="124"/>
        <v>2.2712279036847423</v>
      </c>
      <c r="AI71" s="177">
        <f t="shared" si="125"/>
        <v>2.2712279036847423</v>
      </c>
      <c r="AJ71" s="177">
        <f t="shared" si="126"/>
        <v>2.2749836323590684</v>
      </c>
      <c r="AL71" s="555">
        <f t="shared" si="127"/>
        <v>277.2</v>
      </c>
      <c r="AM71" s="469">
        <f t="shared" si="128"/>
        <v>295.51635674684201</v>
      </c>
      <c r="AO71">
        <f t="shared" si="159"/>
        <v>277.2</v>
      </c>
      <c r="AP71">
        <f t="shared" si="129"/>
        <v>295.51635674684201</v>
      </c>
      <c r="AR71" s="5">
        <f t="shared" si="160"/>
        <v>3.3839074459647023</v>
      </c>
      <c r="AS71" s="5">
        <f t="shared" si="130"/>
        <v>1.7034209277635568</v>
      </c>
      <c r="AT71" s="5">
        <f t="shared" si="161"/>
        <v>1.6804865182011455</v>
      </c>
      <c r="AU71" s="177">
        <f t="shared" si="162"/>
        <v>0.50338874657901189</v>
      </c>
      <c r="AW71" s="5">
        <f t="shared" si="131"/>
        <v>4.6051229968782526</v>
      </c>
      <c r="AX71" s="5">
        <f t="shared" si="132"/>
        <v>14.687522477419364</v>
      </c>
      <c r="AY71" s="5">
        <f t="shared" si="133"/>
        <v>15.170308270746586</v>
      </c>
      <c r="AZ71" s="5">
        <f t="shared" si="134"/>
        <v>24.986768300862597</v>
      </c>
      <c r="BA71" s="5">
        <f t="shared" si="135"/>
        <v>2.1069877724964541</v>
      </c>
      <c r="BB71" s="469">
        <f t="shared" si="136"/>
        <v>128.67609968312061</v>
      </c>
      <c r="BC71" s="5"/>
      <c r="BD71" s="177">
        <f t="shared" si="163"/>
        <v>0.93036173319512039</v>
      </c>
      <c r="BE71" s="177">
        <f t="shared" si="137"/>
        <v>0.92407743663517428</v>
      </c>
      <c r="BF71" s="177">
        <f t="shared" si="138"/>
        <v>1.5170825484170898</v>
      </c>
      <c r="BG71" s="177"/>
      <c r="BH71" s="538">
        <f t="shared" si="139"/>
        <v>9.5213025005321111E-2</v>
      </c>
      <c r="BI71" s="538">
        <f t="shared" si="140"/>
        <v>9.530826935229289E-2</v>
      </c>
      <c r="BJ71" s="538">
        <f t="shared" si="141"/>
        <v>1.4775817837342099E-2</v>
      </c>
      <c r="BK71" s="538">
        <f t="shared" si="142"/>
        <v>5.3629126356989895E-2</v>
      </c>
      <c r="BL71">
        <f t="shared" si="143"/>
        <v>3.48E-3</v>
      </c>
      <c r="BM71">
        <f t="shared" si="144"/>
        <v>2.0686144972278941E-5</v>
      </c>
      <c r="BN71">
        <f t="shared" si="145"/>
        <v>0.26711935786432051</v>
      </c>
      <c r="BO71" s="469">
        <f t="shared" si="164"/>
        <v>267.11935786432048</v>
      </c>
      <c r="BP71" s="177">
        <f t="shared" si="146"/>
        <v>0.24948000000000001</v>
      </c>
      <c r="BQ71" s="177">
        <f t="shared" si="147"/>
        <v>0.43064999999999998</v>
      </c>
      <c r="BR71" s="538"/>
      <c r="BT71" s="469">
        <f t="shared" si="165"/>
        <v>680.13</v>
      </c>
      <c r="BU71" s="538">
        <f t="shared" si="148"/>
        <v>4.1547501820503763E-2</v>
      </c>
      <c r="BV71" s="538">
        <f t="shared" si="149"/>
        <v>0.20494058613557628</v>
      </c>
      <c r="BW71" s="538">
        <f t="shared" si="150"/>
        <v>0.55236947009080595</v>
      </c>
      <c r="BX71" s="538">
        <f t="shared" si="151"/>
        <v>0</v>
      </c>
      <c r="BY71" s="538">
        <f t="shared" si="152"/>
        <v>0.85339696744340232</v>
      </c>
      <c r="BZ71" s="538">
        <f t="shared" si="166"/>
        <v>0.79885755804688596</v>
      </c>
      <c r="CA71" s="641">
        <f t="shared" si="153"/>
        <v>7.6220704508742618E-2</v>
      </c>
      <c r="CB71" s="469">
        <f t="shared" si="167"/>
        <v>929.61767195214497</v>
      </c>
      <c r="CC71" s="177">
        <f t="shared" si="168"/>
        <v>1.8768670298164656</v>
      </c>
      <c r="CD71" s="5">
        <f t="shared" si="169"/>
        <v>8.1245999999999992</v>
      </c>
      <c r="CE71" s="177">
        <f t="shared" si="170"/>
        <v>0.81234082717853973</v>
      </c>
      <c r="CF71" s="5">
        <f t="shared" si="171"/>
        <v>81.234082717853966</v>
      </c>
      <c r="CG71">
        <f t="shared" si="172"/>
        <v>66</v>
      </c>
      <c r="CI71" s="571">
        <f t="shared" si="154"/>
        <v>-50</v>
      </c>
      <c r="CJ71">
        <f t="shared" si="155"/>
        <v>-50</v>
      </c>
    </row>
    <row r="72" spans="5:88" x14ac:dyDescent="0.2">
      <c r="E72" s="174">
        <v>67</v>
      </c>
      <c r="F72" s="221">
        <f t="shared" ref="F72:F103" si="173">IF(PLOT_TYPE=1, E72/100*Iout_max, min_I*EXP(O72*rr/100))</f>
        <v>0.28139999999999998</v>
      </c>
      <c r="G72" s="221">
        <f t="shared" si="156"/>
        <v>0.48575000000000002</v>
      </c>
      <c r="H72" s="221">
        <f t="shared" si="105"/>
        <v>4.3616999999999999</v>
      </c>
      <c r="I72" s="221">
        <f t="shared" ref="I72:I105" si="174">Vout2*G72</f>
        <v>3.8860000000000001</v>
      </c>
      <c r="J72" s="551">
        <f t="shared" si="106"/>
        <v>12</v>
      </c>
      <c r="K72" s="451">
        <f t="shared" si="107"/>
        <v>16.399999999999999</v>
      </c>
      <c r="L72" s="451">
        <f t="shared" si="108"/>
        <v>28.4</v>
      </c>
      <c r="M72" s="451"/>
      <c r="N72" s="221">
        <f t="shared" si="109"/>
        <v>0.57746478873239437</v>
      </c>
      <c r="O72" s="176">
        <f t="shared" si="157"/>
        <v>6.7612354549719109</v>
      </c>
      <c r="P72" s="176">
        <f t="shared" si="110"/>
        <v>11.390692542350877</v>
      </c>
      <c r="Q72" s="221">
        <f t="shared" si="111"/>
        <v>0.43620873903044588</v>
      </c>
      <c r="R72" s="221">
        <f t="shared" si="112"/>
        <v>0.84515443187148886</v>
      </c>
      <c r="S72" s="451">
        <f t="shared" si="113"/>
        <v>15.5</v>
      </c>
      <c r="T72" s="221">
        <f t="shared" si="114"/>
        <v>2.644926377597109</v>
      </c>
      <c r="U72" s="221">
        <f t="shared" si="115"/>
        <v>1.9836947831978318</v>
      </c>
      <c r="V72" s="221">
        <f t="shared" si="116"/>
        <v>1.4514839877057308</v>
      </c>
      <c r="W72" s="201">
        <f t="shared" si="117"/>
        <v>350</v>
      </c>
      <c r="X72" s="451">
        <f t="shared" si="158"/>
        <v>291.10566485509798</v>
      </c>
      <c r="Z72" s="221">
        <f t="shared" si="118"/>
        <v>2.1998658618376927</v>
      </c>
      <c r="AA72" s="177">
        <f t="shared" si="119"/>
        <v>1.2072434607645877</v>
      </c>
      <c r="AB72" s="177">
        <f t="shared" si="120"/>
        <v>0.46476039334599145</v>
      </c>
      <c r="AC72" s="177"/>
      <c r="AD72" s="177">
        <f t="shared" si="121"/>
        <v>0.45</v>
      </c>
      <c r="AE72" s="555">
        <f t="shared" si="122"/>
        <v>1525.2032520325201</v>
      </c>
      <c r="AF72" s="538">
        <f t="shared" si="123"/>
        <v>6.4574999999999994E-2</v>
      </c>
      <c r="AH72" s="177">
        <f t="shared" si="124"/>
        <v>2.2883694895350533</v>
      </c>
      <c r="AI72" s="177">
        <f t="shared" si="125"/>
        <v>2.2883694895350533</v>
      </c>
      <c r="AJ72" s="177">
        <f t="shared" si="126"/>
        <v>2.287681103359299</v>
      </c>
      <c r="AL72" s="555">
        <f t="shared" si="127"/>
        <v>281.39999999999998</v>
      </c>
      <c r="AM72" s="469">
        <f t="shared" si="128"/>
        <v>291.10566485509798</v>
      </c>
      <c r="AO72">
        <f t="shared" si="159"/>
        <v>281.39999999999998</v>
      </c>
      <c r="AP72">
        <f t="shared" si="129"/>
        <v>291.10566485509798</v>
      </c>
      <c r="AR72" s="5">
        <f t="shared" si="160"/>
        <v>3.4351787709035628</v>
      </c>
      <c r="AS72" s="5">
        <f t="shared" si="130"/>
        <v>1.7162771171512901</v>
      </c>
      <c r="AT72" s="5">
        <f t="shared" si="161"/>
        <v>1.7189016537522728</v>
      </c>
      <c r="AU72" s="177">
        <f t="shared" si="162"/>
        <v>0.4996179912639172</v>
      </c>
      <c r="AW72" s="5">
        <f t="shared" si="131"/>
        <v>4.6051229968782526</v>
      </c>
      <c r="AX72" s="5">
        <f t="shared" si="132"/>
        <v>15.127443434604109</v>
      </c>
      <c r="AY72" s="5">
        <f t="shared" si="133"/>
        <v>15.170308270746586</v>
      </c>
      <c r="AZ72" s="5">
        <f t="shared" si="134"/>
        <v>25.734959573593251</v>
      </c>
      <c r="BA72" s="5">
        <f t="shared" si="135"/>
        <v>2.1878063533414536</v>
      </c>
      <c r="BB72" s="469">
        <f t="shared" si="136"/>
        <v>133.559408978265</v>
      </c>
      <c r="BC72" s="5"/>
      <c r="BD72" s="177">
        <f t="shared" si="163"/>
        <v>0.93386598253891184</v>
      </c>
      <c r="BE72" s="177">
        <f t="shared" si="137"/>
        <v>0.93457974523397747</v>
      </c>
      <c r="BF72" s="177">
        <f t="shared" si="138"/>
        <v>1.5343244682624126</v>
      </c>
      <c r="BG72" s="177"/>
      <c r="BH72" s="538">
        <f t="shared" si="139"/>
        <v>9.5931624067770394E-2</v>
      </c>
      <c r="BI72" s="538">
        <f t="shared" si="140"/>
        <v>9.4594339679301628E-2</v>
      </c>
      <c r="BJ72" s="538">
        <f t="shared" si="141"/>
        <v>1.4555283242754898E-2</v>
      </c>
      <c r="BK72" s="538">
        <f t="shared" si="142"/>
        <v>5.2828691635243757E-2</v>
      </c>
      <c r="BL72">
        <f t="shared" si="143"/>
        <v>3.48E-3</v>
      </c>
      <c r="BM72">
        <f t="shared" si="144"/>
        <v>2.037739653985686E-5</v>
      </c>
      <c r="BN72">
        <f t="shared" si="145"/>
        <v>0.26612048484357426</v>
      </c>
      <c r="BO72" s="469">
        <f t="shared" si="164"/>
        <v>266.12048484357427</v>
      </c>
      <c r="BP72" s="177">
        <f t="shared" si="146"/>
        <v>0.25325999999999999</v>
      </c>
      <c r="BQ72" s="177">
        <f t="shared" si="147"/>
        <v>0.43717500000000004</v>
      </c>
      <c r="BR72" s="538"/>
      <c r="BT72" s="469">
        <f t="shared" si="165"/>
        <v>690.43500000000006</v>
      </c>
      <c r="BU72" s="538">
        <f t="shared" si="148"/>
        <v>4.1861072320481627E-2</v>
      </c>
      <c r="BV72" s="538">
        <f t="shared" si="149"/>
        <v>0.20962543204838549</v>
      </c>
      <c r="BW72" s="538">
        <f t="shared" si="150"/>
        <v>0.56499637773809641</v>
      </c>
      <c r="BX72" s="538">
        <f t="shared" si="151"/>
        <v>0</v>
      </c>
      <c r="BY72" s="538">
        <f t="shared" si="152"/>
        <v>0.87354141080571845</v>
      </c>
      <c r="BZ72" s="538">
        <f t="shared" si="166"/>
        <v>0.81648288210696351</v>
      </c>
      <c r="CA72" s="641">
        <f t="shared" si="153"/>
        <v>7.6220704508742576E-2</v>
      </c>
      <c r="CB72" s="469">
        <f t="shared" si="167"/>
        <v>949.76211531446108</v>
      </c>
      <c r="CC72" s="177">
        <f t="shared" si="168"/>
        <v>1.9063176001580353</v>
      </c>
      <c r="CD72" s="5">
        <f t="shared" si="169"/>
        <v>8.2477</v>
      </c>
      <c r="CE72" s="177">
        <f t="shared" si="170"/>
        <v>0.81225976995269678</v>
      </c>
      <c r="CF72" s="5">
        <f t="shared" si="171"/>
        <v>81.225976995269676</v>
      </c>
      <c r="CG72">
        <f t="shared" si="172"/>
        <v>67</v>
      </c>
      <c r="CI72" s="571">
        <f t="shared" si="154"/>
        <v>-50</v>
      </c>
      <c r="CJ72">
        <f t="shared" si="155"/>
        <v>-50</v>
      </c>
    </row>
    <row r="73" spans="5:88" x14ac:dyDescent="0.2">
      <c r="E73" s="174">
        <v>68</v>
      </c>
      <c r="F73" s="221">
        <f t="shared" si="173"/>
        <v>0.28560000000000002</v>
      </c>
      <c r="G73" s="221">
        <f t="shared" si="156"/>
        <v>0.49299999999999999</v>
      </c>
      <c r="H73" s="221">
        <f t="shared" si="105"/>
        <v>4.4268000000000001</v>
      </c>
      <c r="I73" s="221">
        <f t="shared" si="174"/>
        <v>3.944</v>
      </c>
      <c r="J73" s="551">
        <f t="shared" si="106"/>
        <v>12</v>
      </c>
      <c r="K73" s="451">
        <f t="shared" si="107"/>
        <v>16.399999999999999</v>
      </c>
      <c r="L73" s="451">
        <f t="shared" si="108"/>
        <v>28.4</v>
      </c>
      <c r="M73" s="451"/>
      <c r="N73" s="221">
        <f t="shared" si="109"/>
        <v>0.57746478873239437</v>
      </c>
      <c r="O73" s="176">
        <f t="shared" si="157"/>
        <v>6.7612354549719109</v>
      </c>
      <c r="P73" s="176">
        <f t="shared" si="110"/>
        <v>11.390692542350877</v>
      </c>
      <c r="Q73" s="221">
        <f t="shared" si="111"/>
        <v>0.43620873903044588</v>
      </c>
      <c r="R73" s="221">
        <f t="shared" si="112"/>
        <v>0.84515443187148886</v>
      </c>
      <c r="S73" s="451">
        <f t="shared" si="113"/>
        <v>15.5</v>
      </c>
      <c r="T73" s="221">
        <f t="shared" si="114"/>
        <v>2.6844028906955733</v>
      </c>
      <c r="U73" s="221">
        <f t="shared" si="115"/>
        <v>2.01330216802168</v>
      </c>
      <c r="V73" s="221">
        <f t="shared" si="116"/>
        <v>1.4731479278207416</v>
      </c>
      <c r="W73" s="201">
        <f t="shared" si="117"/>
        <v>350</v>
      </c>
      <c r="X73" s="451">
        <f t="shared" si="158"/>
        <v>286.82469919546423</v>
      </c>
      <c r="Z73" s="221">
        <f t="shared" si="118"/>
        <v>2.1998658618376927</v>
      </c>
      <c r="AA73" s="177">
        <f t="shared" si="119"/>
        <v>1.2072434607645877</v>
      </c>
      <c r="AB73" s="177">
        <f t="shared" si="120"/>
        <v>0.46476039334599145</v>
      </c>
      <c r="AC73" s="177"/>
      <c r="AD73" s="177">
        <f t="shared" si="121"/>
        <v>0.45</v>
      </c>
      <c r="AE73" s="555">
        <f t="shared" si="122"/>
        <v>1547.967479674797</v>
      </c>
      <c r="AF73" s="538">
        <f t="shared" si="123"/>
        <v>6.4574999999999994E-2</v>
      </c>
      <c r="AH73" s="177">
        <f t="shared" si="124"/>
        <v>2.3053836233463727</v>
      </c>
      <c r="AI73" s="177">
        <f t="shared" si="125"/>
        <v>2.3053836233463727</v>
      </c>
      <c r="AJ73" s="177">
        <f t="shared" si="126"/>
        <v>2.3002841654417576</v>
      </c>
      <c r="AL73" s="555">
        <f t="shared" si="127"/>
        <v>285.60000000000002</v>
      </c>
      <c r="AM73" s="469">
        <f t="shared" si="128"/>
        <v>286.82469919546423</v>
      </c>
      <c r="AO73">
        <f t="shared" si="159"/>
        <v>285.60000000000002</v>
      </c>
      <c r="AP73">
        <f t="shared" si="129"/>
        <v>286.82469919546423</v>
      </c>
      <c r="AR73" s="5">
        <f t="shared" si="160"/>
        <v>3.4864500958424216</v>
      </c>
      <c r="AS73" s="5">
        <f t="shared" si="130"/>
        <v>1.7290377175097795</v>
      </c>
      <c r="AT73" s="5">
        <f t="shared" si="161"/>
        <v>1.7574123783326421</v>
      </c>
      <c r="AU73" s="177">
        <f t="shared" si="162"/>
        <v>0.49593072322235454</v>
      </c>
      <c r="AW73" s="5">
        <f t="shared" si="131"/>
        <v>4.6051229968782526</v>
      </c>
      <c r="AX73" s="5">
        <f t="shared" si="132"/>
        <v>15.573853428739008</v>
      </c>
      <c r="AY73" s="5">
        <f t="shared" si="133"/>
        <v>15.170308270746586</v>
      </c>
      <c r="AZ73" s="5">
        <f t="shared" si="134"/>
        <v>26.494183797793536</v>
      </c>
      <c r="BA73" s="5">
        <f t="shared" si="135"/>
        <v>2.2702079531708144</v>
      </c>
      <c r="BB73" s="469">
        <f t="shared" si="136"/>
        <v>138.53769941247111</v>
      </c>
      <c r="BC73" s="5"/>
      <c r="BD73" s="177">
        <f t="shared" si="163"/>
        <v>0.93733122196579532</v>
      </c>
      <c r="BE73" s="177">
        <f t="shared" si="137"/>
        <v>0.94499103907179582</v>
      </c>
      <c r="BF73" s="177">
        <f t="shared" si="138"/>
        <v>1.5514169667496713</v>
      </c>
      <c r="BG73" s="177"/>
      <c r="BH73" s="538">
        <f t="shared" si="139"/>
        <v>9.6644880163908015E-2</v>
      </c>
      <c r="BI73" s="538">
        <f t="shared" si="140"/>
        <v>9.3896216930099155E-2</v>
      </c>
      <c r="BJ73" s="538">
        <f t="shared" si="141"/>
        <v>1.434123495977321E-2</v>
      </c>
      <c r="BK73" s="538">
        <f t="shared" si="142"/>
        <v>5.2051799111196062E-2</v>
      </c>
      <c r="BL73">
        <f t="shared" si="143"/>
        <v>3.48E-3</v>
      </c>
      <c r="BM73">
        <f t="shared" si="144"/>
        <v>2.0077728943682499E-5</v>
      </c>
      <c r="BN73">
        <f t="shared" si="145"/>
        <v>0.26516231289538877</v>
      </c>
      <c r="BO73" s="469">
        <f t="shared" si="164"/>
        <v>265.16231289538877</v>
      </c>
      <c r="BP73" s="177">
        <f t="shared" si="146"/>
        <v>0.25704000000000005</v>
      </c>
      <c r="BQ73" s="177">
        <f t="shared" si="147"/>
        <v>0.44369999999999998</v>
      </c>
      <c r="BR73" s="538"/>
      <c r="BT73" s="469">
        <f t="shared" si="165"/>
        <v>700.74</v>
      </c>
      <c r="BU73" s="538">
        <f t="shared" si="148"/>
        <v>4.2172311344250771E-2</v>
      </c>
      <c r="BV73" s="538">
        <f t="shared" si="149"/>
        <v>0.21432193534223815</v>
      </c>
      <c r="BW73" s="538">
        <f t="shared" si="150"/>
        <v>0.57765470513250017</v>
      </c>
      <c r="BX73" s="538">
        <f t="shared" si="151"/>
        <v>0</v>
      </c>
      <c r="BY73" s="538">
        <f t="shared" si="152"/>
        <v>0.89379350504935207</v>
      </c>
      <c r="BZ73" s="538">
        <f t="shared" si="166"/>
        <v>0.83414895181898907</v>
      </c>
      <c r="CA73" s="641">
        <f t="shared" si="153"/>
        <v>7.622070450874259E-2</v>
      </c>
      <c r="CB73" s="469">
        <f t="shared" si="167"/>
        <v>970.01420955809465</v>
      </c>
      <c r="CC73" s="177">
        <f t="shared" si="168"/>
        <v>1.9359165224534833</v>
      </c>
      <c r="CD73" s="5">
        <f t="shared" si="169"/>
        <v>8.3707999999999991</v>
      </c>
      <c r="CE73" s="177">
        <f t="shared" si="170"/>
        <v>0.81216942192636876</v>
      </c>
      <c r="CF73" s="5">
        <f t="shared" si="171"/>
        <v>81.216942192636878</v>
      </c>
      <c r="CG73">
        <f t="shared" si="172"/>
        <v>68</v>
      </c>
      <c r="CI73" s="571">
        <f t="shared" si="154"/>
        <v>-50</v>
      </c>
      <c r="CJ73">
        <f t="shared" si="155"/>
        <v>-50</v>
      </c>
    </row>
    <row r="74" spans="5:88" x14ac:dyDescent="0.2">
      <c r="E74" s="174">
        <v>69</v>
      </c>
      <c r="F74" s="221">
        <f t="shared" si="173"/>
        <v>0.28979999999999995</v>
      </c>
      <c r="G74" s="221">
        <f t="shared" si="156"/>
        <v>0.50024999999999997</v>
      </c>
      <c r="H74" s="221">
        <f t="shared" si="105"/>
        <v>4.4918999999999993</v>
      </c>
      <c r="I74" s="221">
        <f t="shared" si="174"/>
        <v>4.0019999999999998</v>
      </c>
      <c r="J74" s="551">
        <f t="shared" si="106"/>
        <v>12</v>
      </c>
      <c r="K74" s="451">
        <f t="shared" si="107"/>
        <v>16.399999999999999</v>
      </c>
      <c r="L74" s="451">
        <f t="shared" si="108"/>
        <v>28.4</v>
      </c>
      <c r="M74" s="451"/>
      <c r="N74" s="221">
        <f t="shared" si="109"/>
        <v>0.57746478873239437</v>
      </c>
      <c r="O74" s="176">
        <f t="shared" si="157"/>
        <v>6.7612354549719109</v>
      </c>
      <c r="P74" s="176">
        <f t="shared" si="110"/>
        <v>11.390692542350877</v>
      </c>
      <c r="Q74" s="221">
        <f t="shared" si="111"/>
        <v>0.43620873903044588</v>
      </c>
      <c r="R74" s="221">
        <f t="shared" si="112"/>
        <v>0.84515443187148886</v>
      </c>
      <c r="S74" s="451">
        <f t="shared" si="113"/>
        <v>15.5</v>
      </c>
      <c r="T74" s="221">
        <f t="shared" si="114"/>
        <v>2.7238794037940375</v>
      </c>
      <c r="U74" s="221">
        <f t="shared" si="115"/>
        <v>2.0429095528455279</v>
      </c>
      <c r="V74" s="221">
        <f t="shared" si="116"/>
        <v>1.4948118679357525</v>
      </c>
      <c r="W74" s="201">
        <f t="shared" si="117"/>
        <v>350</v>
      </c>
      <c r="X74" s="451">
        <f t="shared" si="158"/>
        <v>282.66781949697929</v>
      </c>
      <c r="Z74" s="221">
        <f t="shared" si="118"/>
        <v>2.1998658618376927</v>
      </c>
      <c r="AA74" s="177">
        <f t="shared" si="119"/>
        <v>1.2072434607645877</v>
      </c>
      <c r="AB74" s="177">
        <f t="shared" si="120"/>
        <v>0.46476039334599145</v>
      </c>
      <c r="AC74" s="177"/>
      <c r="AD74" s="177">
        <f t="shared" si="121"/>
        <v>0.45</v>
      </c>
      <c r="AE74" s="555">
        <f t="shared" si="122"/>
        <v>1570.731707317073</v>
      </c>
      <c r="AF74" s="538">
        <f t="shared" si="123"/>
        <v>6.4574999999999994E-2</v>
      </c>
      <c r="AH74" s="177">
        <f t="shared" si="124"/>
        <v>2.3222731064524647</v>
      </c>
      <c r="AI74" s="177">
        <f t="shared" si="125"/>
        <v>2.3222731064524647</v>
      </c>
      <c r="AJ74" s="177">
        <f t="shared" si="126"/>
        <v>2.3127948936684923</v>
      </c>
      <c r="AL74" s="555">
        <f t="shared" si="127"/>
        <v>289.79999999999995</v>
      </c>
      <c r="AM74" s="469">
        <f t="shared" si="128"/>
        <v>282.66781949697929</v>
      </c>
      <c r="AO74">
        <f t="shared" si="159"/>
        <v>289.79999999999995</v>
      </c>
      <c r="AP74">
        <f t="shared" si="129"/>
        <v>282.66781949697929</v>
      </c>
      <c r="AR74" s="5">
        <f t="shared" si="160"/>
        <v>3.5377214207812804</v>
      </c>
      <c r="AS74" s="5">
        <f t="shared" si="130"/>
        <v>1.7417048298393487</v>
      </c>
      <c r="AT74" s="5">
        <f t="shared" si="161"/>
        <v>1.7960165909419317</v>
      </c>
      <c r="AU74" s="177">
        <f t="shared" si="162"/>
        <v>0.49232390645804602</v>
      </c>
      <c r="AW74" s="5">
        <f t="shared" si="131"/>
        <v>4.6051229968782526</v>
      </c>
      <c r="AX74" s="5">
        <f t="shared" si="132"/>
        <v>16.026752459824046</v>
      </c>
      <c r="AY74" s="5">
        <f t="shared" si="133"/>
        <v>15.170308270746586</v>
      </c>
      <c r="AZ74" s="5">
        <f t="shared" si="134"/>
        <v>27.264440973463454</v>
      </c>
      <c r="BA74" s="5">
        <f t="shared" si="135"/>
        <v>2.3541952657101342</v>
      </c>
      <c r="BB74" s="469">
        <f t="shared" si="136"/>
        <v>143.61113260927473</v>
      </c>
      <c r="BC74" s="5"/>
      <c r="BD74" s="177">
        <f t="shared" si="163"/>
        <v>0.94075844996341407</v>
      </c>
      <c r="BE74" s="177">
        <f t="shared" si="137"/>
        <v>0.95531373510131634</v>
      </c>
      <c r="BF74" s="177">
        <f t="shared" si="138"/>
        <v>1.5683640118544881</v>
      </c>
      <c r="BG74" s="177"/>
      <c r="BH74" s="538">
        <f t="shared" si="139"/>
        <v>9.7352910729532199E-2</v>
      </c>
      <c r="BI74" s="538">
        <f t="shared" si="140"/>
        <v>9.3213326289390053E-2</v>
      </c>
      <c r="BJ74" s="538">
        <f t="shared" si="141"/>
        <v>1.4133390974848965E-2</v>
      </c>
      <c r="BK74" s="538">
        <f t="shared" si="142"/>
        <v>5.1297425211033809E-2</v>
      </c>
      <c r="BL74">
        <f t="shared" si="143"/>
        <v>3.48E-3</v>
      </c>
      <c r="BM74">
        <f t="shared" si="144"/>
        <v>1.9786747364788552E-5</v>
      </c>
      <c r="BN74">
        <f t="shared" si="145"/>
        <v>0.26424307148366893</v>
      </c>
      <c r="BO74" s="469">
        <f t="shared" si="164"/>
        <v>264.24307148366893</v>
      </c>
      <c r="BP74" s="177">
        <f t="shared" si="146"/>
        <v>0.26081999999999994</v>
      </c>
      <c r="BQ74" s="177">
        <f t="shared" si="147"/>
        <v>0.45022499999999999</v>
      </c>
      <c r="BR74" s="538"/>
      <c r="BT74" s="469">
        <f t="shared" si="165"/>
        <v>711.04499999999996</v>
      </c>
      <c r="BU74" s="538">
        <f t="shared" si="148"/>
        <v>4.2481270136523142E-2</v>
      </c>
      <c r="BV74" s="538">
        <f t="shared" si="149"/>
        <v>0.21902983979357474</v>
      </c>
      <c r="BW74" s="538">
        <f t="shared" si="150"/>
        <v>0.59034376168327318</v>
      </c>
      <c r="BX74" s="538">
        <f t="shared" si="151"/>
        <v>0</v>
      </c>
      <c r="BY74" s="538">
        <f t="shared" si="152"/>
        <v>0.91415292115629787</v>
      </c>
      <c r="BZ74" s="538">
        <f t="shared" si="166"/>
        <v>0.85185487161337103</v>
      </c>
      <c r="CA74" s="641">
        <f t="shared" si="153"/>
        <v>7.6220704508742604E-2</v>
      </c>
      <c r="CB74" s="469">
        <f t="shared" si="167"/>
        <v>990.37362566504055</v>
      </c>
      <c r="CC74" s="177">
        <f t="shared" si="168"/>
        <v>1.9656616971487093</v>
      </c>
      <c r="CD74" s="5">
        <f t="shared" si="169"/>
        <v>8.4939</v>
      </c>
      <c r="CE74" s="177">
        <f t="shared" si="170"/>
        <v>0.81207035685973805</v>
      </c>
      <c r="CF74" s="5">
        <f t="shared" si="171"/>
        <v>81.207035685973807</v>
      </c>
      <c r="CG74">
        <f t="shared" si="172"/>
        <v>69</v>
      </c>
      <c r="CI74" s="571">
        <f t="shared" si="154"/>
        <v>-50</v>
      </c>
      <c r="CJ74">
        <f t="shared" si="155"/>
        <v>-50</v>
      </c>
    </row>
    <row r="75" spans="5:88" x14ac:dyDescent="0.2">
      <c r="E75" s="174">
        <v>70</v>
      </c>
      <c r="F75" s="221">
        <f t="shared" si="173"/>
        <v>0.29399999999999998</v>
      </c>
      <c r="G75" s="221">
        <f t="shared" si="156"/>
        <v>0.50749999999999995</v>
      </c>
      <c r="H75" s="221">
        <f t="shared" si="105"/>
        <v>4.5569999999999995</v>
      </c>
      <c r="I75" s="221">
        <f t="shared" si="174"/>
        <v>4.0599999999999996</v>
      </c>
      <c r="J75" s="551">
        <f t="shared" si="106"/>
        <v>12</v>
      </c>
      <c r="K75" s="451">
        <f t="shared" si="107"/>
        <v>16.399999999999999</v>
      </c>
      <c r="L75" s="451">
        <f t="shared" si="108"/>
        <v>28.4</v>
      </c>
      <c r="M75" s="451"/>
      <c r="N75" s="221">
        <f t="shared" si="109"/>
        <v>0.57746478873239437</v>
      </c>
      <c r="O75" s="176">
        <f t="shared" si="157"/>
        <v>6.7612354549719109</v>
      </c>
      <c r="P75" s="176">
        <f t="shared" si="110"/>
        <v>11.390692542350877</v>
      </c>
      <c r="Q75" s="221">
        <f t="shared" si="111"/>
        <v>0.43620873903044588</v>
      </c>
      <c r="R75" s="221">
        <f t="shared" si="112"/>
        <v>0.84515443187148886</v>
      </c>
      <c r="S75" s="451">
        <f t="shared" si="113"/>
        <v>15.5</v>
      </c>
      <c r="T75" s="221">
        <f t="shared" si="114"/>
        <v>2.7633559168925017</v>
      </c>
      <c r="U75" s="221">
        <f t="shared" si="115"/>
        <v>2.0725169376693762</v>
      </c>
      <c r="V75" s="221">
        <f t="shared" si="116"/>
        <v>1.5164758080507632</v>
      </c>
      <c r="W75" s="201">
        <f t="shared" si="117"/>
        <v>350</v>
      </c>
      <c r="X75" s="451">
        <f t="shared" si="158"/>
        <v>278.6297077898796</v>
      </c>
      <c r="Z75" s="221">
        <f t="shared" si="118"/>
        <v>2.1998658618376927</v>
      </c>
      <c r="AA75" s="177">
        <f t="shared" si="119"/>
        <v>1.2072434607645877</v>
      </c>
      <c r="AB75" s="177">
        <f t="shared" si="120"/>
        <v>0.46476039334599145</v>
      </c>
      <c r="AC75" s="177"/>
      <c r="AD75" s="177">
        <f t="shared" si="121"/>
        <v>0.45</v>
      </c>
      <c r="AE75" s="555">
        <f t="shared" si="122"/>
        <v>1593.4959349593496</v>
      </c>
      <c r="AF75" s="538">
        <f t="shared" si="123"/>
        <v>6.4574999999999994E-2</v>
      </c>
      <c r="AH75" s="177">
        <f t="shared" si="124"/>
        <v>2.339040639046511</v>
      </c>
      <c r="AI75" s="177">
        <f t="shared" si="125"/>
        <v>2.339040639046511</v>
      </c>
      <c r="AJ75" s="177">
        <f t="shared" si="126"/>
        <v>2.3252152881826009</v>
      </c>
      <c r="AL75" s="555">
        <f t="shared" si="127"/>
        <v>294</v>
      </c>
      <c r="AM75" s="469">
        <f t="shared" si="128"/>
        <v>278.6297077898796</v>
      </c>
      <c r="AO75">
        <f t="shared" si="159"/>
        <v>294</v>
      </c>
      <c r="AP75">
        <f t="shared" si="129"/>
        <v>278.6297077898796</v>
      </c>
      <c r="AR75" s="5">
        <f t="shared" si="160"/>
        <v>3.5889927457201387</v>
      </c>
      <c r="AS75" s="5">
        <f t="shared" si="130"/>
        <v>1.7542804792848832</v>
      </c>
      <c r="AT75" s="5">
        <f t="shared" si="161"/>
        <v>1.8347122664352555</v>
      </c>
      <c r="AU75" s="177">
        <f t="shared" si="162"/>
        <v>0.48879465732463701</v>
      </c>
      <c r="AW75" s="5">
        <f t="shared" si="131"/>
        <v>4.6051229968782526</v>
      </c>
      <c r="AX75" s="5">
        <f t="shared" si="132"/>
        <v>16.486140527859241</v>
      </c>
      <c r="AY75" s="5">
        <f t="shared" si="133"/>
        <v>15.170308270746586</v>
      </c>
      <c r="AZ75" s="5">
        <f t="shared" si="134"/>
        <v>28.045731100603</v>
      </c>
      <c r="BA75" s="5">
        <f t="shared" si="135"/>
        <v>2.4397709259062648</v>
      </c>
      <c r="BB75" s="469">
        <f t="shared" si="136"/>
        <v>148.77986666548702</v>
      </c>
      <c r="BC75" s="5"/>
      <c r="BD75" s="177">
        <f t="shared" si="163"/>
        <v>0.94414862543644218</v>
      </c>
      <c r="BE75" s="177">
        <f t="shared" si="137"/>
        <v>0.96555014203829959</v>
      </c>
      <c r="BF75" s="177">
        <f t="shared" si="138"/>
        <v>1.5851693938570401</v>
      </c>
      <c r="BG75" s="177"/>
      <c r="BH75" s="538">
        <f t="shared" si="139"/>
        <v>9.8055828960487548E-2</v>
      </c>
      <c r="BI75" s="538">
        <f t="shared" si="140"/>
        <v>9.254512178679794E-2</v>
      </c>
      <c r="BJ75" s="538">
        <f t="shared" si="141"/>
        <v>1.3931485389493981E-2</v>
      </c>
      <c r="BK75" s="538">
        <f t="shared" si="142"/>
        <v>5.0564604850876181E-2</v>
      </c>
      <c r="BL75">
        <f t="shared" si="143"/>
        <v>3.48E-3</v>
      </c>
      <c r="BM75">
        <f t="shared" si="144"/>
        <v>1.9504079545291572E-5</v>
      </c>
      <c r="BN75">
        <f t="shared" si="145"/>
        <v>0.26336108966538868</v>
      </c>
      <c r="BO75" s="469">
        <f t="shared" si="164"/>
        <v>263.3610896653887</v>
      </c>
      <c r="BP75" s="177">
        <f t="shared" si="146"/>
        <v>0.2646</v>
      </c>
      <c r="BQ75" s="177">
        <f t="shared" si="147"/>
        <v>0.45674999999999999</v>
      </c>
      <c r="BR75" s="538"/>
      <c r="BT75" s="469">
        <f t="shared" si="165"/>
        <v>721.34999999999991</v>
      </c>
      <c r="BU75" s="538">
        <f t="shared" si="148"/>
        <v>4.2787998091849112E-2</v>
      </c>
      <c r="BV75" s="538">
        <f t="shared" si="149"/>
        <v>0.22374889842964332</v>
      </c>
      <c r="BW75" s="538">
        <f t="shared" si="150"/>
        <v>0.60306288173306299</v>
      </c>
      <c r="BX75" s="538">
        <f t="shared" si="151"/>
        <v>0</v>
      </c>
      <c r="BY75" s="538">
        <f t="shared" si="152"/>
        <v>0.9346193614092686</v>
      </c>
      <c r="BZ75" s="538">
        <f t="shared" si="166"/>
        <v>0.86959977825455548</v>
      </c>
      <c r="CA75" s="641">
        <f t="shared" si="153"/>
        <v>7.6220704508742618E-2</v>
      </c>
      <c r="CB75" s="469">
        <f t="shared" si="167"/>
        <v>1010.8400659180112</v>
      </c>
      <c r="CC75" s="177">
        <f t="shared" si="168"/>
        <v>1.9955511555833998</v>
      </c>
      <c r="CD75" s="5">
        <f t="shared" si="169"/>
        <v>8.6169999999999991</v>
      </c>
      <c r="CE75" s="177">
        <f t="shared" si="170"/>
        <v>0.81196310610634703</v>
      </c>
      <c r="CF75" s="5">
        <f t="shared" si="171"/>
        <v>81.196310610634697</v>
      </c>
      <c r="CG75">
        <f t="shared" si="172"/>
        <v>70</v>
      </c>
      <c r="CI75" s="571">
        <f t="shared" si="154"/>
        <v>-50</v>
      </c>
      <c r="CJ75">
        <f t="shared" si="155"/>
        <v>-50</v>
      </c>
    </row>
    <row r="76" spans="5:88" x14ac:dyDescent="0.2">
      <c r="E76" s="174">
        <v>71</v>
      </c>
      <c r="F76" s="221">
        <f t="shared" si="173"/>
        <v>0.29819999999999997</v>
      </c>
      <c r="G76" s="221">
        <f t="shared" si="156"/>
        <v>0.51474999999999993</v>
      </c>
      <c r="H76" s="221">
        <f t="shared" si="105"/>
        <v>4.6220999999999997</v>
      </c>
      <c r="I76" s="221">
        <f t="shared" si="174"/>
        <v>4.1179999999999994</v>
      </c>
      <c r="J76" s="551">
        <f t="shared" si="106"/>
        <v>12</v>
      </c>
      <c r="K76" s="451">
        <f t="shared" si="107"/>
        <v>16.399999999999999</v>
      </c>
      <c r="L76" s="451">
        <f t="shared" si="108"/>
        <v>28.4</v>
      </c>
      <c r="M76" s="451"/>
      <c r="N76" s="221">
        <f t="shared" si="109"/>
        <v>0.57746478873239437</v>
      </c>
      <c r="O76" s="176">
        <f t="shared" si="157"/>
        <v>6.7612354549719109</v>
      </c>
      <c r="P76" s="176">
        <f t="shared" si="110"/>
        <v>11.390692542350877</v>
      </c>
      <c r="Q76" s="221">
        <f t="shared" si="111"/>
        <v>0.43620873903044588</v>
      </c>
      <c r="R76" s="221">
        <f t="shared" si="112"/>
        <v>0.84515443187148886</v>
      </c>
      <c r="S76" s="451">
        <f t="shared" si="113"/>
        <v>15.5</v>
      </c>
      <c r="T76" s="221">
        <f t="shared" si="114"/>
        <v>2.8028324299909659</v>
      </c>
      <c r="U76" s="221">
        <f t="shared" si="115"/>
        <v>2.1021243224932245</v>
      </c>
      <c r="V76" s="221">
        <f t="shared" si="116"/>
        <v>1.5381397481657739</v>
      </c>
      <c r="W76" s="201">
        <f t="shared" si="117"/>
        <v>350</v>
      </c>
      <c r="X76" s="451">
        <f t="shared" si="158"/>
        <v>274.705345708332</v>
      </c>
      <c r="Z76" s="221">
        <f t="shared" si="118"/>
        <v>2.1998658618376927</v>
      </c>
      <c r="AA76" s="177">
        <f t="shared" si="119"/>
        <v>1.2072434607645877</v>
      </c>
      <c r="AB76" s="177">
        <f t="shared" si="120"/>
        <v>0.46476039334599145</v>
      </c>
      <c r="AC76" s="177"/>
      <c r="AD76" s="177">
        <f t="shared" si="121"/>
        <v>0.45</v>
      </c>
      <c r="AE76" s="555">
        <f t="shared" si="122"/>
        <v>1616.260162601626</v>
      </c>
      <c r="AF76" s="538">
        <f t="shared" si="123"/>
        <v>6.4574999999999994E-2</v>
      </c>
      <c r="AH76" s="177">
        <f t="shared" si="124"/>
        <v>2.3556888252207338</v>
      </c>
      <c r="AI76" s="177">
        <f t="shared" si="125"/>
        <v>2.3556888252207338</v>
      </c>
      <c r="AJ76" s="177">
        <f t="shared" si="126"/>
        <v>2.3375472779412845</v>
      </c>
      <c r="AL76" s="555">
        <f t="shared" si="127"/>
        <v>298.2</v>
      </c>
      <c r="AM76" s="469">
        <f t="shared" si="128"/>
        <v>274.705345708332</v>
      </c>
      <c r="AO76">
        <f t="shared" si="159"/>
        <v>298.2</v>
      </c>
      <c r="AP76">
        <f t="shared" si="129"/>
        <v>274.705345708332</v>
      </c>
      <c r="AR76" s="5">
        <f t="shared" si="160"/>
        <v>3.6402640706589979</v>
      </c>
      <c r="AS76" s="5">
        <f t="shared" si="130"/>
        <v>1.7667666189155504</v>
      </c>
      <c r="AT76" s="5">
        <f t="shared" si="161"/>
        <v>1.8734974517434475</v>
      </c>
      <c r="AU76" s="177">
        <f t="shared" si="162"/>
        <v>0.48534023483513716</v>
      </c>
      <c r="AW76" s="5">
        <f t="shared" si="131"/>
        <v>4.6051229968782526</v>
      </c>
      <c r="AX76" s="5">
        <f t="shared" si="132"/>
        <v>16.952017632844573</v>
      </c>
      <c r="AY76" s="5">
        <f t="shared" si="133"/>
        <v>15.170308270746586</v>
      </c>
      <c r="AZ76" s="5">
        <f t="shared" si="134"/>
        <v>28.838054179212193</v>
      </c>
      <c r="BA76" s="5">
        <f t="shared" si="135"/>
        <v>2.5269375120343982</v>
      </c>
      <c r="BB76" s="469">
        <f t="shared" si="136"/>
        <v>154.04405627761946</v>
      </c>
      <c r="BC76" s="5"/>
      <c r="BD76" s="177">
        <f t="shared" si="163"/>
        <v>0.94750266981601849</v>
      </c>
      <c r="BE76" s="177">
        <f t="shared" si="137"/>
        <v>0.97570246717333375</v>
      </c>
      <c r="BF76" s="177">
        <f t="shared" si="138"/>
        <v>1.6018367365250954</v>
      </c>
      <c r="BG76" s="177"/>
      <c r="BH76" s="538">
        <f t="shared" si="139"/>
        <v>9.8753744023933124E-2</v>
      </c>
      <c r="BI76" s="538">
        <f t="shared" si="140"/>
        <v>9.1891084462119285E-2</v>
      </c>
      <c r="BJ76" s="538">
        <f t="shared" si="141"/>
        <v>1.3735267285416599E-2</v>
      </c>
      <c r="BK76" s="538">
        <f t="shared" si="142"/>
        <v>4.9852427317765256E-2</v>
      </c>
      <c r="BL76">
        <f t="shared" si="143"/>
        <v>3.48E-3</v>
      </c>
      <c r="BM76">
        <f t="shared" si="144"/>
        <v>1.9229374199583241E-5</v>
      </c>
      <c r="BN76">
        <f t="shared" si="145"/>
        <v>0.26251478918868348</v>
      </c>
      <c r="BO76" s="469">
        <f t="shared" si="164"/>
        <v>262.51478918868349</v>
      </c>
      <c r="BP76" s="177">
        <f t="shared" si="146"/>
        <v>0.26837999999999995</v>
      </c>
      <c r="BQ76" s="177">
        <f t="shared" si="147"/>
        <v>0.46327499999999994</v>
      </c>
      <c r="BR76" s="538"/>
      <c r="BT76" s="469">
        <f t="shared" si="165"/>
        <v>731.65499999999997</v>
      </c>
      <c r="BU76" s="538">
        <f t="shared" si="148"/>
        <v>4.3092542846807184E-2</v>
      </c>
      <c r="BV76" s="538">
        <f t="shared" si="149"/>
        <v>0.2284788730675513</v>
      </c>
      <c r="BW76" s="538">
        <f t="shared" si="150"/>
        <v>0.61581142331552829</v>
      </c>
      <c r="BX76" s="538">
        <f t="shared" si="151"/>
        <v>0</v>
      </c>
      <c r="BY76" s="538">
        <f t="shared" si="152"/>
        <v>0.9551925579571916</v>
      </c>
      <c r="BZ76" s="538">
        <f t="shared" si="166"/>
        <v>0.88738283922988681</v>
      </c>
      <c r="CA76" s="641">
        <f t="shared" si="153"/>
        <v>7.6220704508742604E-2</v>
      </c>
      <c r="CB76" s="469">
        <f t="shared" si="167"/>
        <v>1031.4132624659342</v>
      </c>
      <c r="CC76" s="177">
        <f t="shared" si="168"/>
        <v>2.0255830516546176</v>
      </c>
      <c r="CD76" s="5">
        <f t="shared" si="169"/>
        <v>8.7400999999999982</v>
      </c>
      <c r="CE76" s="177">
        <f t="shared" si="170"/>
        <v>0.81184816217088074</v>
      </c>
      <c r="CF76" s="5">
        <f t="shared" si="171"/>
        <v>81.18481621708807</v>
      </c>
      <c r="CG76">
        <f t="shared" si="172"/>
        <v>71</v>
      </c>
      <c r="CI76" s="571">
        <f t="shared" si="154"/>
        <v>-50</v>
      </c>
      <c r="CJ76">
        <f t="shared" si="155"/>
        <v>-50</v>
      </c>
    </row>
    <row r="77" spans="5:88" x14ac:dyDescent="0.2">
      <c r="E77" s="174">
        <v>72</v>
      </c>
      <c r="F77" s="221">
        <f t="shared" si="173"/>
        <v>0.3024</v>
      </c>
      <c r="G77" s="221">
        <f t="shared" si="156"/>
        <v>0.52200000000000002</v>
      </c>
      <c r="H77" s="221">
        <f t="shared" si="105"/>
        <v>4.6871999999999998</v>
      </c>
      <c r="I77" s="221">
        <f t="shared" si="174"/>
        <v>4.1760000000000002</v>
      </c>
      <c r="J77" s="551">
        <f t="shared" si="106"/>
        <v>12</v>
      </c>
      <c r="K77" s="451">
        <f t="shared" si="107"/>
        <v>16.399999999999999</v>
      </c>
      <c r="L77" s="451">
        <f t="shared" si="108"/>
        <v>28.4</v>
      </c>
      <c r="M77" s="451"/>
      <c r="N77" s="221">
        <f t="shared" si="109"/>
        <v>0.57746478873239437</v>
      </c>
      <c r="O77" s="176">
        <f t="shared" si="157"/>
        <v>6.7612354549719109</v>
      </c>
      <c r="P77" s="176">
        <f t="shared" si="110"/>
        <v>11.390692542350877</v>
      </c>
      <c r="Q77" s="221">
        <f t="shared" si="111"/>
        <v>0.43620873903044588</v>
      </c>
      <c r="R77" s="221">
        <f t="shared" si="112"/>
        <v>0.84515443187148886</v>
      </c>
      <c r="S77" s="451">
        <f t="shared" si="113"/>
        <v>15.5</v>
      </c>
      <c r="T77" s="221">
        <f t="shared" si="114"/>
        <v>2.8423089430894302</v>
      </c>
      <c r="U77" s="221">
        <f t="shared" si="115"/>
        <v>2.1317317073170727</v>
      </c>
      <c r="V77" s="221">
        <f t="shared" si="116"/>
        <v>1.5598036882807851</v>
      </c>
      <c r="W77" s="201">
        <f t="shared" si="117"/>
        <v>350</v>
      </c>
      <c r="X77" s="451">
        <f t="shared" si="158"/>
        <v>270.88999368460514</v>
      </c>
      <c r="Z77" s="221">
        <f t="shared" si="118"/>
        <v>2.1998658618376927</v>
      </c>
      <c r="AA77" s="177">
        <f t="shared" si="119"/>
        <v>1.2072434607645877</v>
      </c>
      <c r="AB77" s="177">
        <f t="shared" si="120"/>
        <v>0.46476039334599145</v>
      </c>
      <c r="AC77" s="177"/>
      <c r="AD77" s="177">
        <f t="shared" si="121"/>
        <v>0.45</v>
      </c>
      <c r="AE77" s="555">
        <f t="shared" si="122"/>
        <v>1639.0243902439029</v>
      </c>
      <c r="AF77" s="538">
        <f t="shared" si="123"/>
        <v>6.4574999999999994E-2</v>
      </c>
      <c r="AH77" s="177">
        <f t="shared" si="124"/>
        <v>2.3722201776876806</v>
      </c>
      <c r="AI77" s="177">
        <f t="shared" si="125"/>
        <v>2.3722201776876806</v>
      </c>
      <c r="AJ77" s="177">
        <f t="shared" si="126"/>
        <v>2.3497927242130969</v>
      </c>
      <c r="AL77" s="555">
        <f t="shared" si="127"/>
        <v>302.39999999999998</v>
      </c>
      <c r="AM77" s="469">
        <f t="shared" si="128"/>
        <v>270.88999368460514</v>
      </c>
      <c r="AO77">
        <f t="shared" si="159"/>
        <v>302.39999999999998</v>
      </c>
      <c r="AP77">
        <f t="shared" si="129"/>
        <v>270.88999368460514</v>
      </c>
      <c r="AR77" s="5">
        <f t="shared" si="160"/>
        <v>3.6915353955978576</v>
      </c>
      <c r="AS77" s="5">
        <f t="shared" si="130"/>
        <v>1.7791651332657605</v>
      </c>
      <c r="AT77" s="5">
        <f t="shared" si="161"/>
        <v>1.9123702623320971</v>
      </c>
      <c r="AU77" s="177">
        <f t="shared" si="162"/>
        <v>0.48195803171423152</v>
      </c>
      <c r="AW77" s="5">
        <f t="shared" si="131"/>
        <v>4.6051229968782526</v>
      </c>
      <c r="AX77" s="5">
        <f t="shared" si="132"/>
        <v>17.424383774780065</v>
      </c>
      <c r="AY77" s="5">
        <f t="shared" si="133"/>
        <v>15.170308270746586</v>
      </c>
      <c r="AZ77" s="5">
        <f t="shared" si="134"/>
        <v>29.641410209291024</v>
      </c>
      <c r="BA77" s="5">
        <f t="shared" si="135"/>
        <v>2.6156975477009006</v>
      </c>
      <c r="BB77" s="469">
        <f t="shared" si="136"/>
        <v>159.40385286205407</v>
      </c>
      <c r="BC77" s="5"/>
      <c r="BD77" s="177">
        <f t="shared" si="163"/>
        <v>0.95082146902878029</v>
      </c>
      <c r="BE77" s="177">
        <f t="shared" si="137"/>
        <v>0.9857728226338337</v>
      </c>
      <c r="BF77" s="177">
        <f t="shared" si="138"/>
        <v>1.6183695073945055</v>
      </c>
      <c r="BG77" s="177"/>
      <c r="BH77" s="538">
        <f t="shared" si="139"/>
        <v>9.9446761256265254E-2</v>
      </c>
      <c r="BI77" s="538">
        <f t="shared" si="140"/>
        <v>9.1250720671227831E-2</v>
      </c>
      <c r="BJ77" s="538">
        <f t="shared" si="141"/>
        <v>1.3544499684230256E-2</v>
      </c>
      <c r="BK77" s="538">
        <f t="shared" si="142"/>
        <v>4.9160032493907393E-2</v>
      </c>
      <c r="BL77">
        <f t="shared" si="143"/>
        <v>3.48E-3</v>
      </c>
      <c r="BM77">
        <f t="shared" si="144"/>
        <v>1.8962299557922361E-5</v>
      </c>
      <c r="BN77">
        <f t="shared" si="145"/>
        <v>0.26170267815796783</v>
      </c>
      <c r="BO77" s="469">
        <f t="shared" si="164"/>
        <v>261.70267815796785</v>
      </c>
      <c r="BP77" s="177">
        <f t="shared" si="146"/>
        <v>0.27216000000000001</v>
      </c>
      <c r="BQ77" s="177">
        <f t="shared" si="147"/>
        <v>0.46980000000000005</v>
      </c>
      <c r="BR77" s="538"/>
      <c r="BT77" s="469">
        <f t="shared" si="165"/>
        <v>741.96</v>
      </c>
      <c r="BU77" s="538">
        <f t="shared" si="148"/>
        <v>4.339495036637029E-2</v>
      </c>
      <c r="BV77" s="538">
        <f t="shared" si="149"/>
        <v>0.23321953388243416</v>
      </c>
      <c r="BW77" s="538">
        <f t="shared" si="150"/>
        <v>0.62858876699144017</v>
      </c>
      <c r="BX77" s="538">
        <f t="shared" si="151"/>
        <v>0</v>
      </c>
      <c r="BY77" s="538">
        <f t="shared" si="152"/>
        <v>0.97587227147499389</v>
      </c>
      <c r="BZ77" s="538">
        <f t="shared" si="166"/>
        <v>0.90520325124024459</v>
      </c>
      <c r="CA77" s="641">
        <f t="shared" si="153"/>
        <v>7.6220704508742604E-2</v>
      </c>
      <c r="CB77" s="469">
        <f t="shared" si="167"/>
        <v>1052.0929759837366</v>
      </c>
      <c r="CC77" s="177">
        <f t="shared" si="168"/>
        <v>2.0557556541417044</v>
      </c>
      <c r="CD77" s="5">
        <f t="shared" si="169"/>
        <v>8.8631999999999991</v>
      </c>
      <c r="CE77" s="177">
        <f t="shared" si="170"/>
        <v>0.81172598192923984</v>
      </c>
      <c r="CF77" s="5">
        <f t="shared" si="171"/>
        <v>81.172598192923985</v>
      </c>
      <c r="CG77">
        <f t="shared" si="172"/>
        <v>72.000000000000014</v>
      </c>
      <c r="CI77" s="571">
        <f t="shared" si="154"/>
        <v>-50</v>
      </c>
      <c r="CJ77">
        <f t="shared" si="155"/>
        <v>-50</v>
      </c>
    </row>
    <row r="78" spans="5:88" x14ac:dyDescent="0.2">
      <c r="E78" s="174">
        <v>73</v>
      </c>
      <c r="F78" s="221">
        <f t="shared" si="173"/>
        <v>0.30659999999999998</v>
      </c>
      <c r="G78" s="221">
        <f t="shared" si="156"/>
        <v>0.52925</v>
      </c>
      <c r="H78" s="221">
        <f t="shared" si="105"/>
        <v>4.7523</v>
      </c>
      <c r="I78" s="221">
        <f t="shared" si="174"/>
        <v>4.234</v>
      </c>
      <c r="J78" s="551">
        <f t="shared" si="106"/>
        <v>12</v>
      </c>
      <c r="K78" s="451">
        <f t="shared" si="107"/>
        <v>16.399999999999999</v>
      </c>
      <c r="L78" s="451">
        <f t="shared" si="108"/>
        <v>28.4</v>
      </c>
      <c r="M78" s="451"/>
      <c r="N78" s="221">
        <f t="shared" si="109"/>
        <v>0.57746478873239437</v>
      </c>
      <c r="O78" s="176">
        <f t="shared" si="157"/>
        <v>6.7612354549719109</v>
      </c>
      <c r="P78" s="176">
        <f t="shared" si="110"/>
        <v>11.390692542350877</v>
      </c>
      <c r="Q78" s="221">
        <f t="shared" si="111"/>
        <v>0.43620873903044588</v>
      </c>
      <c r="R78" s="221">
        <f t="shared" si="112"/>
        <v>0.84515443187148886</v>
      </c>
      <c r="S78" s="451">
        <f t="shared" si="113"/>
        <v>15.5</v>
      </c>
      <c r="T78" s="221">
        <f t="shared" si="114"/>
        <v>2.8817854561878948</v>
      </c>
      <c r="U78" s="221">
        <f t="shared" si="115"/>
        <v>2.161339092140921</v>
      </c>
      <c r="V78" s="221">
        <f t="shared" si="116"/>
        <v>1.581467628395796</v>
      </c>
      <c r="W78" s="201">
        <f t="shared" si="117"/>
        <v>350</v>
      </c>
      <c r="X78" s="451">
        <f t="shared" si="158"/>
        <v>267.17917185330913</v>
      </c>
      <c r="Z78" s="221">
        <f t="shared" si="118"/>
        <v>2.1998658618376927</v>
      </c>
      <c r="AA78" s="177">
        <f t="shared" si="119"/>
        <v>1.2072434607645877</v>
      </c>
      <c r="AB78" s="177">
        <f t="shared" si="120"/>
        <v>0.46476039334599145</v>
      </c>
      <c r="AC78" s="177"/>
      <c r="AD78" s="177">
        <f t="shared" si="121"/>
        <v>0.45</v>
      </c>
      <c r="AE78" s="555">
        <f t="shared" si="122"/>
        <v>1661.7886178861788</v>
      </c>
      <c r="AF78" s="538">
        <f t="shared" si="123"/>
        <v>6.4574999999999994E-2</v>
      </c>
      <c r="AH78" s="177">
        <f t="shared" si="124"/>
        <v>2.388637122207411</v>
      </c>
      <c r="AI78" s="177">
        <f t="shared" si="125"/>
        <v>2.388637122207411</v>
      </c>
      <c r="AJ78" s="177">
        <f t="shared" si="126"/>
        <v>2.3619534238573414</v>
      </c>
      <c r="AL78" s="555">
        <f t="shared" si="127"/>
        <v>306.59999999999997</v>
      </c>
      <c r="AM78" s="469">
        <f t="shared" si="128"/>
        <v>267.17917185330913</v>
      </c>
      <c r="AO78">
        <f t="shared" si="159"/>
        <v>306.59999999999997</v>
      </c>
      <c r="AP78">
        <f t="shared" si="129"/>
        <v>267.17917185330913</v>
      </c>
      <c r="AR78" s="5">
        <f t="shared" si="160"/>
        <v>3.7428067205367177</v>
      </c>
      <c r="AS78" s="5">
        <f t="shared" si="130"/>
        <v>1.7914778416555581</v>
      </c>
      <c r="AT78" s="5">
        <f t="shared" si="161"/>
        <v>1.9513288788811596</v>
      </c>
      <c r="AU78" s="177">
        <f t="shared" si="162"/>
        <v>0.47864556612708564</v>
      </c>
      <c r="AW78" s="5">
        <f t="shared" si="131"/>
        <v>4.6051229968782526</v>
      </c>
      <c r="AX78" s="5">
        <f t="shared" si="132"/>
        <v>17.903238953665692</v>
      </c>
      <c r="AY78" s="5">
        <f t="shared" si="133"/>
        <v>15.170308270746586</v>
      </c>
      <c r="AZ78" s="5">
        <f t="shared" si="134"/>
        <v>30.455799190839475</v>
      </c>
      <c r="BA78" s="5">
        <f t="shared" si="135"/>
        <v>2.7060535037484197</v>
      </c>
      <c r="BB78" s="469">
        <f t="shared" si="136"/>
        <v>164.85940466934966</v>
      </c>
      <c r="BC78" s="5"/>
      <c r="BD78" s="177">
        <f t="shared" si="163"/>
        <v>0.95410587533665348</v>
      </c>
      <c r="BE78" s="177">
        <f t="shared" si="137"/>
        <v>0.99576323115011256</v>
      </c>
      <c r="BF78" s="177">
        <f t="shared" si="138"/>
        <v>1.6347710272355183</v>
      </c>
      <c r="BG78" s="177"/>
      <c r="BH78" s="538">
        <f t="shared" si="139"/>
        <v>0.10013498234871139</v>
      </c>
      <c r="BI78" s="538">
        <f t="shared" si="140"/>
        <v>9.0623560520061555E-2</v>
      </c>
      <c r="BJ78" s="538">
        <f t="shared" si="141"/>
        <v>1.3358958592665456E-2</v>
      </c>
      <c r="BK78" s="538">
        <f t="shared" si="142"/>
        <v>4.8486607391251123E-2</v>
      </c>
      <c r="BL78">
        <f t="shared" si="143"/>
        <v>3.48E-3</v>
      </c>
      <c r="BM78">
        <f t="shared" si="144"/>
        <v>1.870254202973164E-5</v>
      </c>
      <c r="BN78">
        <f t="shared" si="145"/>
        <v>0.26092334521236904</v>
      </c>
      <c r="BO78" s="469">
        <f t="shared" si="164"/>
        <v>260.92334521236904</v>
      </c>
      <c r="BP78" s="177">
        <f t="shared" si="146"/>
        <v>0.27594000000000002</v>
      </c>
      <c r="BQ78" s="177">
        <f t="shared" si="147"/>
        <v>0.476325</v>
      </c>
      <c r="BR78" s="538"/>
      <c r="BT78" s="469">
        <f t="shared" si="165"/>
        <v>752.26499999999999</v>
      </c>
      <c r="BU78" s="538">
        <f t="shared" si="148"/>
        <v>4.3695265024892245E-2</v>
      </c>
      <c r="BV78" s="538">
        <f t="shared" si="149"/>
        <v>0.23797065900252298</v>
      </c>
      <c r="BW78" s="538">
        <f t="shared" si="150"/>
        <v>0.64139431475728115</v>
      </c>
      <c r="BX78" s="538">
        <f t="shared" si="151"/>
        <v>0</v>
      </c>
      <c r="BY78" s="538">
        <f t="shared" si="152"/>
        <v>0.99665828991041272</v>
      </c>
      <c r="BZ78" s="538">
        <f t="shared" si="166"/>
        <v>0.92306023878469645</v>
      </c>
      <c r="CA78" s="641">
        <f t="shared" si="153"/>
        <v>7.6220704508742618E-2</v>
      </c>
      <c r="CB78" s="469">
        <f t="shared" si="167"/>
        <v>1072.8789944191553</v>
      </c>
      <c r="CC78" s="177">
        <f t="shared" si="168"/>
        <v>2.0860673396315241</v>
      </c>
      <c r="CD78" s="5">
        <f t="shared" si="169"/>
        <v>8.9863</v>
      </c>
      <c r="CE78" s="177">
        <f t="shared" si="170"/>
        <v>0.81159698954668658</v>
      </c>
      <c r="CF78" s="5">
        <f t="shared" si="171"/>
        <v>81.159698954668656</v>
      </c>
      <c r="CG78">
        <f t="shared" si="172"/>
        <v>73</v>
      </c>
      <c r="CI78" s="571">
        <f t="shared" si="154"/>
        <v>-50</v>
      </c>
      <c r="CJ78">
        <f t="shared" si="155"/>
        <v>-50</v>
      </c>
    </row>
    <row r="79" spans="5:88" x14ac:dyDescent="0.2">
      <c r="E79" s="174">
        <v>74</v>
      </c>
      <c r="F79" s="221">
        <f t="shared" si="173"/>
        <v>0.31079999999999997</v>
      </c>
      <c r="G79" s="221">
        <f t="shared" si="156"/>
        <v>0.53649999999999998</v>
      </c>
      <c r="H79" s="221">
        <f t="shared" si="105"/>
        <v>4.8173999999999992</v>
      </c>
      <c r="I79" s="221">
        <f t="shared" si="174"/>
        <v>4.2919999999999998</v>
      </c>
      <c r="J79" s="551">
        <f t="shared" si="106"/>
        <v>12</v>
      </c>
      <c r="K79" s="451">
        <f t="shared" si="107"/>
        <v>16.399999999999999</v>
      </c>
      <c r="L79" s="451">
        <f t="shared" si="108"/>
        <v>28.4</v>
      </c>
      <c r="M79" s="451"/>
      <c r="N79" s="221">
        <f t="shared" si="109"/>
        <v>0.57746478873239437</v>
      </c>
      <c r="O79" s="176">
        <f t="shared" si="157"/>
        <v>6.7612354549719109</v>
      </c>
      <c r="P79" s="176">
        <f t="shared" si="110"/>
        <v>11.390692542350877</v>
      </c>
      <c r="Q79" s="221">
        <f t="shared" si="111"/>
        <v>0.43620873903044588</v>
      </c>
      <c r="R79" s="221">
        <f t="shared" si="112"/>
        <v>0.84515443187148886</v>
      </c>
      <c r="S79" s="451">
        <f t="shared" si="113"/>
        <v>15.5</v>
      </c>
      <c r="T79" s="221">
        <f t="shared" si="114"/>
        <v>2.9212619692863591</v>
      </c>
      <c r="U79" s="221">
        <f t="shared" si="115"/>
        <v>2.1909464769647693</v>
      </c>
      <c r="V79" s="221">
        <f t="shared" si="116"/>
        <v>1.603131568510807</v>
      </c>
      <c r="W79" s="201">
        <f t="shared" si="117"/>
        <v>350</v>
      </c>
      <c r="X79" s="451">
        <f t="shared" si="158"/>
        <v>263.56864250394011</v>
      </c>
      <c r="Z79" s="221">
        <f t="shared" si="118"/>
        <v>2.1998658618376927</v>
      </c>
      <c r="AA79" s="177">
        <f t="shared" si="119"/>
        <v>1.2072434607645877</v>
      </c>
      <c r="AB79" s="177">
        <f t="shared" si="120"/>
        <v>0.46476039334599145</v>
      </c>
      <c r="AC79" s="177"/>
      <c r="AD79" s="177">
        <f t="shared" si="121"/>
        <v>0.45</v>
      </c>
      <c r="AE79" s="555">
        <f t="shared" si="122"/>
        <v>1684.5528455284552</v>
      </c>
      <c r="AF79" s="538">
        <f t="shared" si="123"/>
        <v>6.4574999999999994E-2</v>
      </c>
      <c r="AH79" s="177">
        <f t="shared" si="124"/>
        <v>2.4049420017426679</v>
      </c>
      <c r="AI79" s="177">
        <f t="shared" si="125"/>
        <v>2.4049420017426679</v>
      </c>
      <c r="AJ79" s="177">
        <f t="shared" si="126"/>
        <v>2.3740311124019762</v>
      </c>
      <c r="AL79" s="555">
        <f t="shared" si="127"/>
        <v>310.79999999999995</v>
      </c>
      <c r="AM79" s="469">
        <f t="shared" si="128"/>
        <v>263.56864250394011</v>
      </c>
      <c r="AO79">
        <f t="shared" si="159"/>
        <v>310.79999999999995</v>
      </c>
      <c r="AP79">
        <f t="shared" si="129"/>
        <v>263.56864250394011</v>
      </c>
      <c r="AR79" s="5">
        <f t="shared" si="160"/>
        <v>3.794078045475576</v>
      </c>
      <c r="AS79" s="5">
        <f t="shared" si="130"/>
        <v>1.8037065013070011</v>
      </c>
      <c r="AT79" s="5">
        <f t="shared" si="161"/>
        <v>1.990371544168575</v>
      </c>
      <c r="AU79" s="177">
        <f t="shared" si="162"/>
        <v>0.47540047402501756</v>
      </c>
      <c r="AW79" s="5">
        <f t="shared" si="131"/>
        <v>4.6051229968782526</v>
      </c>
      <c r="AX79" s="5">
        <f t="shared" si="132"/>
        <v>18.388583169501469</v>
      </c>
      <c r="AY79" s="5">
        <f t="shared" si="133"/>
        <v>15.170308270746586</v>
      </c>
      <c r="AZ79" s="5">
        <f t="shared" si="134"/>
        <v>31.281221123857566</v>
      </c>
      <c r="BA79" s="5">
        <f t="shared" si="135"/>
        <v>2.7980078000693229</v>
      </c>
      <c r="BB79" s="469">
        <f t="shared" si="136"/>
        <v>170.4108568930483</v>
      </c>
      <c r="BC79" s="5"/>
      <c r="BD79" s="177">
        <f t="shared" si="163"/>
        <v>0.95735670905752734</v>
      </c>
      <c r="BE79" s="177">
        <f t="shared" si="137"/>
        <v>1.0056756313732</v>
      </c>
      <c r="BF79" s="177">
        <f t="shared" si="138"/>
        <v>1.6510444787831819</v>
      </c>
      <c r="BG79" s="177"/>
      <c r="BH79" s="538">
        <f t="shared" si="139"/>
        <v>0.1008185055215205</v>
      </c>
      <c r="BI79" s="538">
        <f t="shared" si="140"/>
        <v>9.0009156415403302E-2</v>
      </c>
      <c r="BJ79" s="538">
        <f t="shared" si="141"/>
        <v>1.3178432125197006E-2</v>
      </c>
      <c r="BK79" s="538">
        <f t="shared" si="142"/>
        <v>4.7831382967045026E-2</v>
      </c>
      <c r="BL79">
        <f t="shared" si="143"/>
        <v>3.48E-3</v>
      </c>
      <c r="BM79">
        <f t="shared" si="144"/>
        <v>1.8449804975275811E-5</v>
      </c>
      <c r="BN79">
        <f t="shared" si="145"/>
        <v>0.2601754541695192</v>
      </c>
      <c r="BO79" s="469">
        <f t="shared" si="164"/>
        <v>260.17545416951918</v>
      </c>
      <c r="BP79" s="177">
        <f t="shared" si="146"/>
        <v>0.27971999999999997</v>
      </c>
      <c r="BQ79" s="177">
        <f t="shared" si="147"/>
        <v>0.48285</v>
      </c>
      <c r="BR79" s="538"/>
      <c r="BT79" s="469">
        <f t="shared" si="165"/>
        <v>762.56999999999994</v>
      </c>
      <c r="BU79" s="538">
        <f t="shared" si="148"/>
        <v>4.3993529682118032E-2</v>
      </c>
      <c r="BV79" s="538">
        <f t="shared" si="149"/>
        <v>0.24273203412909228</v>
      </c>
      <c r="BW79" s="538">
        <f t="shared" si="150"/>
        <v>0.65422748902090289</v>
      </c>
      <c r="BX79" s="538">
        <f t="shared" si="151"/>
        <v>0</v>
      </c>
      <c r="BY79" s="538">
        <f t="shared" si="152"/>
        <v>1.0175504273112441</v>
      </c>
      <c r="BZ79" s="538">
        <f t="shared" si="166"/>
        <v>0.94095305283211317</v>
      </c>
      <c r="CA79" s="641">
        <f t="shared" si="153"/>
        <v>7.622070450874259E-2</v>
      </c>
      <c r="CB79" s="469">
        <f t="shared" si="167"/>
        <v>1093.7711318199867</v>
      </c>
      <c r="CC79" s="177">
        <f t="shared" si="168"/>
        <v>2.1165165859895061</v>
      </c>
      <c r="CD79" s="5">
        <f t="shared" si="169"/>
        <v>9.1093999999999991</v>
      </c>
      <c r="CE79" s="177">
        <f t="shared" si="170"/>
        <v>0.81146157912566153</v>
      </c>
      <c r="CF79" s="5">
        <f t="shared" si="171"/>
        <v>81.146157912566153</v>
      </c>
      <c r="CG79">
        <f t="shared" si="172"/>
        <v>74</v>
      </c>
      <c r="CI79" s="571">
        <f t="shared" si="154"/>
        <v>-50</v>
      </c>
      <c r="CJ79">
        <f t="shared" si="155"/>
        <v>-50</v>
      </c>
    </row>
    <row r="80" spans="5:88" x14ac:dyDescent="0.2">
      <c r="E80" s="174">
        <v>75</v>
      </c>
      <c r="F80" s="221">
        <f t="shared" si="173"/>
        <v>0.315</v>
      </c>
      <c r="G80" s="221">
        <f t="shared" si="156"/>
        <v>0.54374999999999996</v>
      </c>
      <c r="H80" s="221">
        <f t="shared" si="105"/>
        <v>4.8825000000000003</v>
      </c>
      <c r="I80" s="221">
        <f t="shared" si="174"/>
        <v>4.3499999999999996</v>
      </c>
      <c r="J80" s="551">
        <f t="shared" si="106"/>
        <v>12</v>
      </c>
      <c r="K80" s="451">
        <f t="shared" si="107"/>
        <v>16.399999999999999</v>
      </c>
      <c r="L80" s="451">
        <f t="shared" si="108"/>
        <v>28.4</v>
      </c>
      <c r="M80" s="451"/>
      <c r="N80" s="221">
        <f t="shared" si="109"/>
        <v>0.57746478873239437</v>
      </c>
      <c r="O80" s="176">
        <f t="shared" si="157"/>
        <v>6.7612354549719109</v>
      </c>
      <c r="P80" s="176">
        <f t="shared" si="110"/>
        <v>11.390692542350877</v>
      </c>
      <c r="Q80" s="221">
        <f t="shared" si="111"/>
        <v>0.43620873903044588</v>
      </c>
      <c r="R80" s="221">
        <f t="shared" si="112"/>
        <v>0.84515443187148886</v>
      </c>
      <c r="S80" s="451">
        <f t="shared" si="113"/>
        <v>15.5</v>
      </c>
      <c r="T80" s="221">
        <f t="shared" si="114"/>
        <v>2.9607384823848237</v>
      </c>
      <c r="U80" s="221">
        <f t="shared" si="115"/>
        <v>2.220553861788618</v>
      </c>
      <c r="V80" s="221">
        <f t="shared" si="116"/>
        <v>1.6247955086258181</v>
      </c>
      <c r="W80" s="201">
        <f t="shared" si="117"/>
        <v>350</v>
      </c>
      <c r="X80" s="451">
        <f t="shared" si="158"/>
        <v>260.05439393722088</v>
      </c>
      <c r="Z80" s="221">
        <f t="shared" si="118"/>
        <v>2.1998658618376927</v>
      </c>
      <c r="AA80" s="177">
        <f t="shared" si="119"/>
        <v>1.2072434607645877</v>
      </c>
      <c r="AB80" s="177">
        <f t="shared" si="120"/>
        <v>0.46476039334599145</v>
      </c>
      <c r="AC80" s="177"/>
      <c r="AD80" s="177">
        <f t="shared" si="121"/>
        <v>0.45</v>
      </c>
      <c r="AE80" s="555">
        <f t="shared" si="122"/>
        <v>1707.3170731707319</v>
      </c>
      <c r="AF80" s="538">
        <f t="shared" si="123"/>
        <v>6.4574999999999994E-2</v>
      </c>
      <c r="AH80" s="177">
        <f t="shared" si="124"/>
        <v>2.4211370803621928</v>
      </c>
      <c r="AI80" s="177">
        <f t="shared" si="125"/>
        <v>2.4211370803621928</v>
      </c>
      <c r="AJ80" s="177">
        <f t="shared" si="126"/>
        <v>2.3860274669349577</v>
      </c>
      <c r="AL80" s="555">
        <f t="shared" si="127"/>
        <v>315</v>
      </c>
      <c r="AM80" s="469">
        <f t="shared" si="128"/>
        <v>260.05439393722088</v>
      </c>
      <c r="AO80">
        <f t="shared" si="159"/>
        <v>315</v>
      </c>
      <c r="AP80">
        <f t="shared" si="129"/>
        <v>260.05439393722088</v>
      </c>
      <c r="AR80" s="5">
        <f t="shared" si="160"/>
        <v>3.8453493704144357</v>
      </c>
      <c r="AS80" s="5">
        <f t="shared" si="130"/>
        <v>1.8158528102716447</v>
      </c>
      <c r="AT80" s="5">
        <f t="shared" si="161"/>
        <v>2.0294965601427908</v>
      </c>
      <c r="AU80" s="177">
        <f t="shared" si="162"/>
        <v>0.47222050205439192</v>
      </c>
      <c r="AW80" s="5">
        <f t="shared" si="131"/>
        <v>4.6051229968782526</v>
      </c>
      <c r="AX80" s="5">
        <f t="shared" si="132"/>
        <v>18.880416422287396</v>
      </c>
      <c r="AY80" s="5">
        <f t="shared" si="133"/>
        <v>15.170308270746586</v>
      </c>
      <c r="AZ80" s="5">
        <f t="shared" si="134"/>
        <v>32.117676008345285</v>
      </c>
      <c r="BA80" s="5">
        <f t="shared" si="135"/>
        <v>2.8915628073330732</v>
      </c>
      <c r="BB80" s="469">
        <f t="shared" si="136"/>
        <v>176.05835177331775</v>
      </c>
      <c r="BC80" s="5"/>
      <c r="BD80" s="177">
        <f t="shared" si="163"/>
        <v>0.96057476017602739</v>
      </c>
      <c r="BE80" s="177">
        <f t="shared" si="137"/>
        <v>1.0155118827867164</v>
      </c>
      <c r="BF80" s="177">
        <f t="shared" si="138"/>
        <v>1.6671929148012989</v>
      </c>
      <c r="BG80" s="177"/>
      <c r="BH80" s="538">
        <f t="shared" si="139"/>
        <v>0.10149742568759558</v>
      </c>
      <c r="BI80" s="538">
        <f t="shared" si="140"/>
        <v>8.9407081722298193E-2</v>
      </c>
      <c r="BJ80" s="538">
        <f t="shared" si="141"/>
        <v>1.3002719696861044E-2</v>
      </c>
      <c r="BK80" s="538">
        <f t="shared" si="142"/>
        <v>4.7193631194151091E-2</v>
      </c>
      <c r="BL80">
        <f t="shared" si="143"/>
        <v>3.48E-3</v>
      </c>
      <c r="BM80">
        <f t="shared" si="144"/>
        <v>1.8203807575605464E-5</v>
      </c>
      <c r="BN80">
        <f t="shared" si="145"/>
        <v>0.25945773909180558</v>
      </c>
      <c r="BO80" s="469">
        <f t="shared" si="164"/>
        <v>259.45773909180559</v>
      </c>
      <c r="BP80" s="177">
        <f t="shared" si="146"/>
        <v>0.28350000000000003</v>
      </c>
      <c r="BQ80" s="177">
        <f t="shared" si="147"/>
        <v>0.48937499999999995</v>
      </c>
      <c r="BR80" s="538"/>
      <c r="BT80" s="469">
        <f t="shared" si="165"/>
        <v>772.875</v>
      </c>
      <c r="BU80" s="538">
        <f t="shared" si="148"/>
        <v>4.4289785754587162E-2</v>
      </c>
      <c r="BV80" s="538">
        <f t="shared" si="149"/>
        <v>0.24750345217944517</v>
      </c>
      <c r="BW80" s="538">
        <f t="shared" si="150"/>
        <v>0.66708773163927637</v>
      </c>
      <c r="BX80" s="538">
        <f t="shared" si="151"/>
        <v>0</v>
      </c>
      <c r="BY80" s="538">
        <f t="shared" si="152"/>
        <v>1.0385485227270219</v>
      </c>
      <c r="BZ80" s="538">
        <f t="shared" si="166"/>
        <v>0.95888096957330871</v>
      </c>
      <c r="CA80" s="641">
        <f t="shared" si="153"/>
        <v>7.6220704508742618E-2</v>
      </c>
      <c r="CB80" s="469">
        <f t="shared" si="167"/>
        <v>1114.7692272357644</v>
      </c>
      <c r="CC80" s="177">
        <f t="shared" si="168"/>
        <v>2.1471019663275701</v>
      </c>
      <c r="CD80" s="5">
        <f t="shared" si="169"/>
        <v>9.2324999999999999</v>
      </c>
      <c r="CE80" s="177">
        <f t="shared" si="170"/>
        <v>0.81132011711122409</v>
      </c>
      <c r="CF80" s="5">
        <f t="shared" si="171"/>
        <v>81.132011711122402</v>
      </c>
      <c r="CG80">
        <f t="shared" si="172"/>
        <v>75</v>
      </c>
      <c r="CI80" s="571">
        <f t="shared" si="154"/>
        <v>-50</v>
      </c>
      <c r="CJ80">
        <f t="shared" si="155"/>
        <v>-50</v>
      </c>
    </row>
    <row r="81" spans="5:88" x14ac:dyDescent="0.2">
      <c r="E81" s="174">
        <v>76</v>
      </c>
      <c r="F81" s="221">
        <f t="shared" si="173"/>
        <v>0.31919999999999998</v>
      </c>
      <c r="G81" s="221">
        <f t="shared" si="156"/>
        <v>0.55099999999999993</v>
      </c>
      <c r="H81" s="221">
        <f t="shared" si="105"/>
        <v>4.9475999999999996</v>
      </c>
      <c r="I81" s="221">
        <f t="shared" si="174"/>
        <v>4.4079999999999995</v>
      </c>
      <c r="J81" s="551">
        <f t="shared" si="106"/>
        <v>12</v>
      </c>
      <c r="K81" s="451">
        <f t="shared" si="107"/>
        <v>16.399999999999999</v>
      </c>
      <c r="L81" s="451">
        <f t="shared" si="108"/>
        <v>28.4</v>
      </c>
      <c r="M81" s="451"/>
      <c r="N81" s="221">
        <f t="shared" si="109"/>
        <v>0.57746478873239437</v>
      </c>
      <c r="O81" s="176">
        <f t="shared" si="157"/>
        <v>6.7612354549719109</v>
      </c>
      <c r="P81" s="176">
        <f t="shared" si="110"/>
        <v>11.390692542350877</v>
      </c>
      <c r="Q81" s="221">
        <f t="shared" si="111"/>
        <v>0.43620873903044588</v>
      </c>
      <c r="R81" s="221">
        <f t="shared" si="112"/>
        <v>0.84515443187148886</v>
      </c>
      <c r="S81" s="451">
        <f t="shared" si="113"/>
        <v>15.5</v>
      </c>
      <c r="T81" s="221">
        <f t="shared" si="114"/>
        <v>3.0002149954832875</v>
      </c>
      <c r="U81" s="221">
        <f t="shared" si="115"/>
        <v>2.2501612466124659</v>
      </c>
      <c r="V81" s="221">
        <f t="shared" si="116"/>
        <v>1.6464594487408286</v>
      </c>
      <c r="W81" s="201">
        <f t="shared" si="117"/>
        <v>350</v>
      </c>
      <c r="X81" s="451">
        <f t="shared" si="158"/>
        <v>256.6326255959417</v>
      </c>
      <c r="Z81" s="221">
        <f t="shared" si="118"/>
        <v>2.1998658618376927</v>
      </c>
      <c r="AA81" s="177">
        <f t="shared" si="119"/>
        <v>1.2072434607645877</v>
      </c>
      <c r="AB81" s="177">
        <f t="shared" si="120"/>
        <v>0.46476039334599145</v>
      </c>
      <c r="AC81" s="177"/>
      <c r="AD81" s="177">
        <f t="shared" si="121"/>
        <v>0.45</v>
      </c>
      <c r="AE81" s="555">
        <f t="shared" si="122"/>
        <v>1730.0813008130081</v>
      </c>
      <c r="AF81" s="538">
        <f t="shared" si="123"/>
        <v>6.4574999999999994E-2</v>
      </c>
      <c r="AH81" s="177">
        <f t="shared" si="124"/>
        <v>2.4372245469105818</v>
      </c>
      <c r="AI81" s="177">
        <f t="shared" si="125"/>
        <v>2.4372245469105818</v>
      </c>
      <c r="AJ81" s="177">
        <f t="shared" si="126"/>
        <v>2.397944108822653</v>
      </c>
      <c r="AL81" s="555">
        <f t="shared" si="127"/>
        <v>319.2</v>
      </c>
      <c r="AM81" s="469">
        <f t="shared" si="128"/>
        <v>256.6326255959417</v>
      </c>
      <c r="AO81">
        <f t="shared" si="159"/>
        <v>319.2</v>
      </c>
      <c r="AP81">
        <f t="shared" si="129"/>
        <v>256.6326255959417</v>
      </c>
      <c r="AR81" s="5">
        <f t="shared" si="160"/>
        <v>3.8966206953532945</v>
      </c>
      <c r="AS81" s="5">
        <f t="shared" si="130"/>
        <v>1.8279184101829364</v>
      </c>
      <c r="AT81" s="5">
        <f t="shared" si="161"/>
        <v>2.068702285170358</v>
      </c>
      <c r="AU81" s="177">
        <f t="shared" si="162"/>
        <v>0.46910350098040648</v>
      </c>
      <c r="AW81" s="5">
        <f t="shared" si="131"/>
        <v>4.6051229968782526</v>
      </c>
      <c r="AX81" s="5">
        <f t="shared" si="132"/>
        <v>19.378738712023466</v>
      </c>
      <c r="AY81" s="5">
        <f t="shared" si="133"/>
        <v>15.170308270746586</v>
      </c>
      <c r="AZ81" s="5">
        <f t="shared" si="134"/>
        <v>32.965163844302651</v>
      </c>
      <c r="BA81" s="5">
        <f t="shared" si="135"/>
        <v>2.9867208486326846</v>
      </c>
      <c r="BB81" s="469">
        <f t="shared" si="136"/>
        <v>181.8020286957389</v>
      </c>
      <c r="BC81" s="5"/>
      <c r="BD81" s="177">
        <f t="shared" si="163"/>
        <v>0.96376078985276603</v>
      </c>
      <c r="BE81" s="177">
        <f t="shared" si="137"/>
        <v>1.0252737702504322</v>
      </c>
      <c r="BF81" s="177">
        <f t="shared" si="138"/>
        <v>1.6832192655417091</v>
      </c>
      <c r="BG81" s="177"/>
      <c r="BH81" s="538">
        <f t="shared" si="139"/>
        <v>0.10217183460633902</v>
      </c>
      <c r="BI81" s="538">
        <f t="shared" si="140"/>
        <v>8.881692951895695E-2</v>
      </c>
      <c r="BJ81" s="538">
        <f t="shared" si="141"/>
        <v>1.2831631279797084E-2</v>
      </c>
      <c r="BK81" s="538">
        <f t="shared" si="142"/>
        <v>4.6572662362649113E-2</v>
      </c>
      <c r="BL81">
        <f t="shared" si="143"/>
        <v>3.48E-3</v>
      </c>
      <c r="BM81">
        <f t="shared" si="144"/>
        <v>1.7964283791715919E-5</v>
      </c>
      <c r="BN81">
        <f t="shared" si="145"/>
        <v>0.25876899973664569</v>
      </c>
      <c r="BO81" s="469">
        <f t="shared" si="164"/>
        <v>258.7689997366457</v>
      </c>
      <c r="BP81" s="177">
        <f t="shared" si="146"/>
        <v>0.28727999999999998</v>
      </c>
      <c r="BQ81" s="177">
        <f t="shared" si="147"/>
        <v>0.49589999999999995</v>
      </c>
      <c r="BR81" s="538"/>
      <c r="BT81" s="469">
        <f t="shared" si="165"/>
        <v>783.18</v>
      </c>
      <c r="BU81" s="538">
        <f t="shared" si="148"/>
        <v>4.4584073282766118E-2</v>
      </c>
      <c r="BV81" s="538">
        <f t="shared" si="149"/>
        <v>0.25228471295124866</v>
      </c>
      <c r="BW81" s="538">
        <f t="shared" si="150"/>
        <v>0.67997450301378481</v>
      </c>
      <c r="BX81" s="538">
        <f t="shared" si="151"/>
        <v>0</v>
      </c>
      <c r="BY81" s="538">
        <f t="shared" si="152"/>
        <v>1.0596524391796129</v>
      </c>
      <c r="BZ81" s="538">
        <f t="shared" si="166"/>
        <v>0.97684328924779962</v>
      </c>
      <c r="CA81" s="641">
        <f t="shared" si="153"/>
        <v>7.622070450874259E-2</v>
      </c>
      <c r="CB81" s="469">
        <f t="shared" si="167"/>
        <v>1135.8731436883556</v>
      </c>
      <c r="CC81" s="177">
        <f t="shared" si="168"/>
        <v>2.1778221434250011</v>
      </c>
      <c r="CD81" s="5">
        <f t="shared" si="169"/>
        <v>9.355599999999999</v>
      </c>
      <c r="CE81" s="177">
        <f t="shared" si="170"/>
        <v>0.81117294447888233</v>
      </c>
      <c r="CF81" s="5">
        <f t="shared" si="171"/>
        <v>81.117294447888227</v>
      </c>
      <c r="CG81">
        <f t="shared" si="172"/>
        <v>76</v>
      </c>
      <c r="CI81" s="571">
        <f t="shared" si="154"/>
        <v>-50</v>
      </c>
      <c r="CJ81">
        <f t="shared" si="155"/>
        <v>-50</v>
      </c>
    </row>
    <row r="82" spans="5:88" x14ac:dyDescent="0.2">
      <c r="E82" s="174">
        <v>77</v>
      </c>
      <c r="F82" s="221">
        <f t="shared" si="173"/>
        <v>0.32340000000000002</v>
      </c>
      <c r="G82" s="221">
        <f t="shared" si="156"/>
        <v>0.55825000000000002</v>
      </c>
      <c r="H82" s="221">
        <f t="shared" si="105"/>
        <v>5.0127000000000006</v>
      </c>
      <c r="I82" s="221">
        <f t="shared" si="174"/>
        <v>4.4660000000000002</v>
      </c>
      <c r="J82" s="551">
        <f t="shared" si="106"/>
        <v>12</v>
      </c>
      <c r="K82" s="451">
        <f t="shared" si="107"/>
        <v>16.399999999999999</v>
      </c>
      <c r="L82" s="451">
        <f t="shared" si="108"/>
        <v>28.4</v>
      </c>
      <c r="M82" s="451"/>
      <c r="N82" s="221">
        <f t="shared" si="109"/>
        <v>0.57746478873239437</v>
      </c>
      <c r="O82" s="176">
        <f t="shared" si="157"/>
        <v>6.7612354549719109</v>
      </c>
      <c r="P82" s="176">
        <f t="shared" si="110"/>
        <v>11.390692542350877</v>
      </c>
      <c r="Q82" s="221">
        <f t="shared" si="111"/>
        <v>0.43620873903044588</v>
      </c>
      <c r="R82" s="221">
        <f t="shared" si="112"/>
        <v>0.84515443187148886</v>
      </c>
      <c r="S82" s="451">
        <f t="shared" si="113"/>
        <v>15.5</v>
      </c>
      <c r="T82" s="221">
        <f t="shared" si="114"/>
        <v>3.0396915085817522</v>
      </c>
      <c r="U82" s="221">
        <f t="shared" si="115"/>
        <v>2.2797686314363141</v>
      </c>
      <c r="V82" s="221">
        <f t="shared" si="116"/>
        <v>1.6681233888558398</v>
      </c>
      <c r="W82" s="201">
        <f t="shared" si="117"/>
        <v>350</v>
      </c>
      <c r="X82" s="451">
        <f t="shared" si="158"/>
        <v>253.29973435443591</v>
      </c>
      <c r="Z82" s="221">
        <f t="shared" si="118"/>
        <v>2.1998658618376927</v>
      </c>
      <c r="AA82" s="177">
        <f t="shared" si="119"/>
        <v>1.2072434607645877</v>
      </c>
      <c r="AB82" s="177">
        <f t="shared" si="120"/>
        <v>0.46476039334599145</v>
      </c>
      <c r="AC82" s="177"/>
      <c r="AD82" s="177">
        <f t="shared" si="121"/>
        <v>0.45</v>
      </c>
      <c r="AE82" s="555">
        <f t="shared" si="122"/>
        <v>1752.8455284552847</v>
      </c>
      <c r="AF82" s="538">
        <f t="shared" si="123"/>
        <v>6.4574999999999994E-2</v>
      </c>
      <c r="AH82" s="177">
        <f t="shared" si="124"/>
        <v>2.4532065184615468</v>
      </c>
      <c r="AI82" s="177">
        <f t="shared" si="125"/>
        <v>2.4532065184615468</v>
      </c>
      <c r="AJ82" s="177">
        <f t="shared" si="126"/>
        <v>2.4097826062678127</v>
      </c>
      <c r="AL82" s="555">
        <f t="shared" si="127"/>
        <v>323.40000000000003</v>
      </c>
      <c r="AM82" s="469">
        <f t="shared" si="128"/>
        <v>253.29973435443591</v>
      </c>
      <c r="AO82">
        <f t="shared" si="159"/>
        <v>323.40000000000003</v>
      </c>
      <c r="AP82">
        <f t="shared" si="129"/>
        <v>253.29973435443591</v>
      </c>
      <c r="AR82" s="5">
        <f t="shared" si="160"/>
        <v>3.9478920202921541</v>
      </c>
      <c r="AS82" s="5">
        <f t="shared" si="130"/>
        <v>1.8399048888461602</v>
      </c>
      <c r="AT82" s="5">
        <f t="shared" si="161"/>
        <v>2.1079871314459941</v>
      </c>
      <c r="AU82" s="177">
        <f t="shared" si="162"/>
        <v>0.46604741958216034</v>
      </c>
      <c r="AW82" s="5">
        <f t="shared" si="131"/>
        <v>4.6051229968782526</v>
      </c>
      <c r="AX82" s="5">
        <f t="shared" si="132"/>
        <v>19.883550038709686</v>
      </c>
      <c r="AY82" s="5">
        <f t="shared" si="133"/>
        <v>15.170308270746586</v>
      </c>
      <c r="AZ82" s="5">
        <f t="shared" si="134"/>
        <v>33.823684631729648</v>
      </c>
      <c r="BA82" s="5">
        <f t="shared" si="135"/>
        <v>3.0834842010551142</v>
      </c>
      <c r="BB82" s="469">
        <f t="shared" si="136"/>
        <v>187.64202428552912</v>
      </c>
      <c r="BC82" s="5"/>
      <c r="BD82" s="177">
        <f t="shared" si="163"/>
        <v>0.96691553183972279</v>
      </c>
      <c r="BE82" s="177">
        <f t="shared" si="137"/>
        <v>1.0349630082090764</v>
      </c>
      <c r="BF82" s="177">
        <f t="shared" si="138"/>
        <v>1.6991263456540038</v>
      </c>
      <c r="BG82" s="177"/>
      <c r="BH82" s="538">
        <f t="shared" si="139"/>
        <v>0.10284182102841834</v>
      </c>
      <c r="BI82" s="538">
        <f t="shared" si="140"/>
        <v>8.823831144088902E-2</v>
      </c>
      <c r="BJ82" s="538">
        <f t="shared" si="141"/>
        <v>1.2664986717721795E-2</v>
      </c>
      <c r="BK82" s="538">
        <f t="shared" si="142"/>
        <v>4.59678225917056E-2</v>
      </c>
      <c r="BL82">
        <f t="shared" si="143"/>
        <v>3.48E-3</v>
      </c>
      <c r="BM82">
        <f t="shared" si="144"/>
        <v>1.7730981404810515E-5</v>
      </c>
      <c r="BN82">
        <f t="shared" si="145"/>
        <v>0.25810809735630852</v>
      </c>
      <c r="BO82" s="469">
        <f t="shared" si="164"/>
        <v>258.10809735630852</v>
      </c>
      <c r="BP82" s="177">
        <f t="shared" si="146"/>
        <v>0.29106000000000004</v>
      </c>
      <c r="BQ82" s="177">
        <f t="shared" si="147"/>
        <v>0.50242500000000001</v>
      </c>
      <c r="BR82" s="538"/>
      <c r="BT82" s="469">
        <f t="shared" si="165"/>
        <v>793.48500000000001</v>
      </c>
      <c r="BU82" s="538">
        <f t="shared" si="148"/>
        <v>4.487643099421891E-2</v>
      </c>
      <c r="BV82" s="538">
        <f t="shared" si="149"/>
        <v>0.25707562280668339</v>
      </c>
      <c r="BW82" s="538">
        <f t="shared" si="150"/>
        <v>0.69288728123892696</v>
      </c>
      <c r="BX82" s="538">
        <f t="shared" si="151"/>
        <v>0</v>
      </c>
      <c r="BY82" s="538">
        <f t="shared" si="152"/>
        <v>1.0808620626977499</v>
      </c>
      <c r="BZ82" s="538">
        <f t="shared" si="166"/>
        <v>0.99483933503982924</v>
      </c>
      <c r="CA82" s="641">
        <f t="shared" si="153"/>
        <v>7.6220704508742618E-2</v>
      </c>
      <c r="CB82" s="469">
        <f t="shared" si="167"/>
        <v>1157.0827672064925</v>
      </c>
      <c r="CC82" s="177">
        <f t="shared" si="168"/>
        <v>2.2086758645628009</v>
      </c>
      <c r="CD82" s="5">
        <f t="shared" si="169"/>
        <v>9.4786999999999999</v>
      </c>
      <c r="CE82" s="177">
        <f t="shared" si="170"/>
        <v>0.81102037872678423</v>
      </c>
      <c r="CF82" s="5">
        <f t="shared" si="171"/>
        <v>81.102037872678423</v>
      </c>
      <c r="CG82">
        <f t="shared" si="172"/>
        <v>77.000000000000014</v>
      </c>
      <c r="CI82" s="571">
        <f t="shared" si="154"/>
        <v>-50</v>
      </c>
      <c r="CJ82">
        <f t="shared" si="155"/>
        <v>-50</v>
      </c>
    </row>
    <row r="83" spans="5:88" x14ac:dyDescent="0.2">
      <c r="E83" s="174">
        <v>78</v>
      </c>
      <c r="F83" s="221">
        <f t="shared" si="173"/>
        <v>0.3276</v>
      </c>
      <c r="G83" s="221">
        <f t="shared" si="156"/>
        <v>0.5655</v>
      </c>
      <c r="H83" s="221">
        <f t="shared" si="105"/>
        <v>5.0777999999999999</v>
      </c>
      <c r="I83" s="221">
        <f t="shared" si="174"/>
        <v>4.524</v>
      </c>
      <c r="J83" s="551">
        <f t="shared" si="106"/>
        <v>12</v>
      </c>
      <c r="K83" s="451">
        <f t="shared" si="107"/>
        <v>16.399999999999999</v>
      </c>
      <c r="L83" s="451">
        <f t="shared" si="108"/>
        <v>28.4</v>
      </c>
      <c r="M83" s="451"/>
      <c r="N83" s="221">
        <f t="shared" si="109"/>
        <v>0.57746478873239437</v>
      </c>
      <c r="O83" s="176">
        <f t="shared" si="157"/>
        <v>6.7612354549719109</v>
      </c>
      <c r="P83" s="176">
        <f t="shared" si="110"/>
        <v>11.390692542350877</v>
      </c>
      <c r="Q83" s="221">
        <f t="shared" si="111"/>
        <v>0.43620873903044588</v>
      </c>
      <c r="R83" s="221">
        <f t="shared" si="112"/>
        <v>0.84515443187148886</v>
      </c>
      <c r="S83" s="451">
        <f t="shared" si="113"/>
        <v>15.5</v>
      </c>
      <c r="T83" s="221">
        <f t="shared" si="114"/>
        <v>3.0791680216802169</v>
      </c>
      <c r="U83" s="221">
        <f t="shared" si="115"/>
        <v>2.3093760162601629</v>
      </c>
      <c r="V83" s="221">
        <f t="shared" si="116"/>
        <v>1.6897873289708509</v>
      </c>
      <c r="W83" s="201">
        <f t="shared" si="117"/>
        <v>350</v>
      </c>
      <c r="X83" s="451">
        <f t="shared" si="158"/>
        <v>250.05230186271237</v>
      </c>
      <c r="Z83" s="221">
        <f t="shared" si="118"/>
        <v>2.1998658618376927</v>
      </c>
      <c r="AA83" s="177">
        <f t="shared" si="119"/>
        <v>1.2072434607645877</v>
      </c>
      <c r="AB83" s="177">
        <f t="shared" si="120"/>
        <v>0.46476039334599145</v>
      </c>
      <c r="AC83" s="177"/>
      <c r="AD83" s="177">
        <f t="shared" si="121"/>
        <v>0.45</v>
      </c>
      <c r="AE83" s="555">
        <f t="shared" si="122"/>
        <v>1775.6097560975609</v>
      </c>
      <c r="AF83" s="538">
        <f t="shared" si="123"/>
        <v>6.4574999999999994E-2</v>
      </c>
      <c r="AH83" s="177">
        <f t="shared" si="124"/>
        <v>2.4690850435699763</v>
      </c>
      <c r="AI83" s="177">
        <f t="shared" si="125"/>
        <v>2.4690850435699763</v>
      </c>
      <c r="AJ83" s="177">
        <f t="shared" si="126"/>
        <v>2.421544476718501</v>
      </c>
      <c r="AL83" s="555">
        <f t="shared" si="127"/>
        <v>327.60000000000002</v>
      </c>
      <c r="AM83" s="469">
        <f t="shared" si="128"/>
        <v>250.05230186271237</v>
      </c>
      <c r="AO83">
        <f t="shared" si="159"/>
        <v>327.60000000000002</v>
      </c>
      <c r="AP83">
        <f t="shared" si="129"/>
        <v>250.05230186271237</v>
      </c>
      <c r="AR83" s="5">
        <f t="shared" si="160"/>
        <v>3.9991633452310138</v>
      </c>
      <c r="AS83" s="5">
        <f t="shared" si="130"/>
        <v>1.8518137826774823</v>
      </c>
      <c r="AT83" s="5">
        <f t="shared" si="161"/>
        <v>2.1473495625535315</v>
      </c>
      <c r="AU83" s="177">
        <f t="shared" si="162"/>
        <v>0.46305029897960104</v>
      </c>
      <c r="AW83" s="5">
        <f t="shared" si="131"/>
        <v>4.6051229968782526</v>
      </c>
      <c r="AX83" s="5">
        <f t="shared" si="132"/>
        <v>20.394850402346048</v>
      </c>
      <c r="AY83" s="5">
        <f t="shared" si="133"/>
        <v>15.170308270746586</v>
      </c>
      <c r="AZ83" s="5">
        <f t="shared" si="134"/>
        <v>34.693238370626275</v>
      </c>
      <c r="BA83" s="5">
        <f t="shared" si="135"/>
        <v>3.1818550971800148</v>
      </c>
      <c r="BB83" s="469">
        <f t="shared" si="136"/>
        <v>193.57847249746757</v>
      </c>
      <c r="BC83" s="5"/>
      <c r="BD83" s="177">
        <f t="shared" si="163"/>
        <v>0.97003969380871979</v>
      </c>
      <c r="BE83" s="177">
        <f t="shared" si="137"/>
        <v>1.0445812445963545</v>
      </c>
      <c r="BF83" s="177">
        <f t="shared" si="138"/>
        <v>1.7149168605948535</v>
      </c>
      <c r="BG83" s="177"/>
      <c r="BH83" s="538">
        <f t="shared" si="139"/>
        <v>0.10350747083209663</v>
      </c>
      <c r="BI83" s="538">
        <f t="shared" si="140"/>
        <v>8.7670856606804445E-2</v>
      </c>
      <c r="BJ83" s="538">
        <f t="shared" si="141"/>
        <v>1.2502615093135619E-2</v>
      </c>
      <c r="BK83" s="538">
        <f t="shared" si="142"/>
        <v>4.537849153283758E-2</v>
      </c>
      <c r="BL83">
        <f t="shared" si="143"/>
        <v>3.48E-3</v>
      </c>
      <c r="BM83">
        <f t="shared" si="144"/>
        <v>1.7503661130389866E-5</v>
      </c>
      <c r="BN83">
        <f t="shared" si="145"/>
        <v>0.25747395081629393</v>
      </c>
      <c r="BO83" s="469">
        <f t="shared" si="164"/>
        <v>257.47395081629395</v>
      </c>
      <c r="BP83" s="177">
        <f t="shared" si="146"/>
        <v>0.29483999999999999</v>
      </c>
      <c r="BQ83" s="177">
        <f t="shared" si="147"/>
        <v>0.50895000000000001</v>
      </c>
      <c r="BR83" s="538"/>
      <c r="BT83" s="469">
        <f t="shared" si="165"/>
        <v>803.79</v>
      </c>
      <c r="BU83" s="538">
        <f t="shared" si="148"/>
        <v>4.5166896363096717E-2</v>
      </c>
      <c r="BV83" s="538">
        <f t="shared" si="149"/>
        <v>0.26187599437499254</v>
      </c>
      <c r="BW83" s="538">
        <f t="shared" si="150"/>
        <v>0.70582556130060192</v>
      </c>
      <c r="BX83" s="538">
        <f t="shared" si="151"/>
        <v>0</v>
      </c>
      <c r="BY83" s="538">
        <f t="shared" si="152"/>
        <v>1.1021773014108678</v>
      </c>
      <c r="BZ83" s="538">
        <f t="shared" si="166"/>
        <v>1.0128684520386912</v>
      </c>
      <c r="CA83" s="641">
        <f t="shared" si="153"/>
        <v>7.622070450874259E-2</v>
      </c>
      <c r="CB83" s="469">
        <f t="shared" si="167"/>
        <v>1178.3980059196103</v>
      </c>
      <c r="CC83" s="177">
        <f t="shared" si="168"/>
        <v>2.2396619567359042</v>
      </c>
      <c r="CD83" s="5">
        <f t="shared" si="169"/>
        <v>9.6018000000000008</v>
      </c>
      <c r="CE83" s="177">
        <f t="shared" si="170"/>
        <v>0.81086271569179902</v>
      </c>
      <c r="CF83" s="5">
        <f t="shared" si="171"/>
        <v>81.0862715691799</v>
      </c>
      <c r="CG83">
        <f t="shared" si="172"/>
        <v>78</v>
      </c>
      <c r="CI83" s="571">
        <f t="shared" si="154"/>
        <v>-50</v>
      </c>
      <c r="CJ83">
        <f t="shared" si="155"/>
        <v>-50</v>
      </c>
    </row>
    <row r="84" spans="5:88" x14ac:dyDescent="0.2">
      <c r="E84" s="174">
        <v>79</v>
      </c>
      <c r="F84" s="221">
        <f t="shared" si="173"/>
        <v>0.33179999999999998</v>
      </c>
      <c r="G84" s="221">
        <f t="shared" si="156"/>
        <v>0.57274999999999998</v>
      </c>
      <c r="H84" s="221">
        <f t="shared" si="105"/>
        <v>5.1429</v>
      </c>
      <c r="I84" s="221">
        <f t="shared" si="174"/>
        <v>4.5819999999999999</v>
      </c>
      <c r="J84" s="551">
        <f t="shared" si="106"/>
        <v>12</v>
      </c>
      <c r="K84" s="451">
        <f t="shared" si="107"/>
        <v>16.399999999999999</v>
      </c>
      <c r="L84" s="451">
        <f t="shared" si="108"/>
        <v>28.4</v>
      </c>
      <c r="M84" s="451"/>
      <c r="N84" s="221">
        <f t="shared" si="109"/>
        <v>0.57746478873239437</v>
      </c>
      <c r="O84" s="176">
        <f t="shared" si="157"/>
        <v>6.7612354549719109</v>
      </c>
      <c r="P84" s="176">
        <f t="shared" si="110"/>
        <v>11.390692542350877</v>
      </c>
      <c r="Q84" s="221">
        <f t="shared" si="111"/>
        <v>0.43620873903044588</v>
      </c>
      <c r="R84" s="221">
        <f t="shared" si="112"/>
        <v>0.84515443187148886</v>
      </c>
      <c r="S84" s="451">
        <f t="shared" si="113"/>
        <v>15.5</v>
      </c>
      <c r="T84" s="221">
        <f t="shared" si="114"/>
        <v>3.1186445347786806</v>
      </c>
      <c r="U84" s="221">
        <f t="shared" si="115"/>
        <v>2.3389834010840107</v>
      </c>
      <c r="V84" s="221">
        <f t="shared" si="116"/>
        <v>1.7114512690858616</v>
      </c>
      <c r="W84" s="201">
        <f t="shared" si="117"/>
        <v>350</v>
      </c>
      <c r="X84" s="451">
        <f t="shared" si="158"/>
        <v>246.88708285179197</v>
      </c>
      <c r="Z84" s="221">
        <f t="shared" si="118"/>
        <v>2.1998658618376927</v>
      </c>
      <c r="AA84" s="177">
        <f t="shared" si="119"/>
        <v>1.2072434607645877</v>
      </c>
      <c r="AB84" s="177">
        <f t="shared" si="120"/>
        <v>0.46476039334599145</v>
      </c>
      <c r="AC84" s="177"/>
      <c r="AD84" s="177">
        <f t="shared" si="121"/>
        <v>0.45</v>
      </c>
      <c r="AE84" s="555">
        <f t="shared" si="122"/>
        <v>1798.3739837398373</v>
      </c>
      <c r="AF84" s="538">
        <f t="shared" si="123"/>
        <v>6.4574999999999994E-2</v>
      </c>
      <c r="AH84" s="177">
        <f t="shared" si="124"/>
        <v>2.4848621053369708</v>
      </c>
      <c r="AI84" s="177">
        <f t="shared" si="125"/>
        <v>2.4848621053369708</v>
      </c>
      <c r="AJ84" s="177">
        <f t="shared" si="126"/>
        <v>2.433231189138497</v>
      </c>
      <c r="AL84" s="555">
        <f t="shared" si="127"/>
        <v>331.8</v>
      </c>
      <c r="AM84" s="469">
        <f t="shared" si="128"/>
        <v>246.88708285179197</v>
      </c>
      <c r="AO84">
        <f t="shared" si="159"/>
        <v>331.8</v>
      </c>
      <c r="AP84">
        <f t="shared" si="129"/>
        <v>246.88708285179197</v>
      </c>
      <c r="AR84" s="5">
        <f t="shared" si="160"/>
        <v>4.0504346701698726</v>
      </c>
      <c r="AS84" s="5">
        <f t="shared" si="130"/>
        <v>1.8636465790027281</v>
      </c>
      <c r="AT84" s="5">
        <f t="shared" si="161"/>
        <v>2.1867880911671445</v>
      </c>
      <c r="AU84" s="177">
        <f t="shared" si="162"/>
        <v>0.46011026735670518</v>
      </c>
      <c r="AW84" s="5">
        <f t="shared" si="131"/>
        <v>4.6051229968782526</v>
      </c>
      <c r="AX84" s="5">
        <f t="shared" si="132"/>
        <v>20.912639802932556</v>
      </c>
      <c r="AY84" s="5">
        <f t="shared" si="133"/>
        <v>15.170308270746586</v>
      </c>
      <c r="AZ84" s="5">
        <f t="shared" si="134"/>
        <v>35.573825060992526</v>
      </c>
      <c r="BA84" s="5">
        <f t="shared" si="135"/>
        <v>3.2818357265110119</v>
      </c>
      <c r="BB84" s="469">
        <f t="shared" si="136"/>
        <v>199.61150470177185</v>
      </c>
      <c r="BC84" s="5"/>
      <c r="BD84" s="177">
        <f t="shared" si="163"/>
        <v>0.97313395859938334</v>
      </c>
      <c r="BE84" s="177">
        <f t="shared" si="137"/>
        <v>1.054130064461017</v>
      </c>
      <c r="BF84" s="177">
        <f t="shared" si="138"/>
        <v>1.7305934125810234</v>
      </c>
      <c r="BG84" s="177"/>
      <c r="BH84" s="538">
        <f t="shared" si="139"/>
        <v>0.1041688671517237</v>
      </c>
      <c r="BI84" s="538">
        <f t="shared" si="140"/>
        <v>8.7114210619536198E-2</v>
      </c>
      <c r="BJ84" s="538">
        <f t="shared" si="141"/>
        <v>1.2344354142589598E-2</v>
      </c>
      <c r="BK84" s="538">
        <f t="shared" si="142"/>
        <v>4.4804080247611788E-2</v>
      </c>
      <c r="BL84">
        <f t="shared" si="143"/>
        <v>3.48E-3</v>
      </c>
      <c r="BM84">
        <f t="shared" si="144"/>
        <v>1.728209579962544E-5</v>
      </c>
      <c r="BN84">
        <f t="shared" si="145"/>
        <v>0.25686553300439663</v>
      </c>
      <c r="BO84" s="469">
        <f t="shared" si="164"/>
        <v>256.86553300439664</v>
      </c>
      <c r="BP84" s="177">
        <f t="shared" si="146"/>
        <v>0.29862</v>
      </c>
      <c r="BQ84" s="177">
        <f t="shared" si="147"/>
        <v>0.51547500000000002</v>
      </c>
      <c r="BR84" s="538"/>
      <c r="BT84" s="469">
        <f t="shared" si="165"/>
        <v>814.09500000000003</v>
      </c>
      <c r="BU84" s="538">
        <f t="shared" si="148"/>
        <v>4.5455505666206708E-2</v>
      </c>
      <c r="BV84" s="538">
        <f t="shared" si="149"/>
        <v>0.26668564627214109</v>
      </c>
      <c r="BW84" s="538">
        <f t="shared" si="150"/>
        <v>0.71878885432051975</v>
      </c>
      <c r="BX84" s="538">
        <f t="shared" si="151"/>
        <v>0</v>
      </c>
      <c r="BY84" s="538">
        <f t="shared" si="152"/>
        <v>1.1235980846980878</v>
      </c>
      <c r="BZ84" s="538">
        <f t="shared" si="166"/>
        <v>1.0309300062588675</v>
      </c>
      <c r="CA84" s="641">
        <f t="shared" si="153"/>
        <v>7.6220704508742604E-2</v>
      </c>
      <c r="CB84" s="469">
        <f t="shared" si="167"/>
        <v>1199.8187892068304</v>
      </c>
      <c r="CC84" s="177">
        <f t="shared" si="168"/>
        <v>2.2707793222112271</v>
      </c>
      <c r="CD84" s="5">
        <f t="shared" si="169"/>
        <v>9.7248999999999999</v>
      </c>
      <c r="CE84" s="177">
        <f t="shared" si="170"/>
        <v>0.81070023120686063</v>
      </c>
      <c r="CF84" s="5">
        <f t="shared" si="171"/>
        <v>81.070023120686059</v>
      </c>
      <c r="CG84">
        <f t="shared" si="172"/>
        <v>79</v>
      </c>
      <c r="CI84" s="571">
        <f t="shared" si="154"/>
        <v>-50</v>
      </c>
      <c r="CJ84">
        <f t="shared" si="155"/>
        <v>-50</v>
      </c>
    </row>
    <row r="85" spans="5:88" x14ac:dyDescent="0.2">
      <c r="E85" s="174">
        <v>80</v>
      </c>
      <c r="F85" s="221">
        <f t="shared" si="173"/>
        <v>0.33600000000000002</v>
      </c>
      <c r="G85" s="221">
        <f t="shared" si="156"/>
        <v>0.57999999999999996</v>
      </c>
      <c r="H85" s="221">
        <f t="shared" si="105"/>
        <v>5.2080000000000002</v>
      </c>
      <c r="I85" s="221">
        <f t="shared" si="174"/>
        <v>4.6399999999999997</v>
      </c>
      <c r="J85" s="551">
        <f t="shared" si="106"/>
        <v>12</v>
      </c>
      <c r="K85" s="451">
        <f t="shared" si="107"/>
        <v>16.399999999999999</v>
      </c>
      <c r="L85" s="451">
        <f t="shared" si="108"/>
        <v>28.4</v>
      </c>
      <c r="M85" s="451"/>
      <c r="N85" s="221">
        <f t="shared" si="109"/>
        <v>0.57746478873239437</v>
      </c>
      <c r="O85" s="176">
        <f t="shared" si="157"/>
        <v>6.7612354549719109</v>
      </c>
      <c r="P85" s="176">
        <f t="shared" si="110"/>
        <v>11.390692542350877</v>
      </c>
      <c r="Q85" s="221">
        <f t="shared" si="111"/>
        <v>0.43620873903044588</v>
      </c>
      <c r="R85" s="221">
        <f t="shared" si="112"/>
        <v>0.84515443187148886</v>
      </c>
      <c r="S85" s="451">
        <f t="shared" si="113"/>
        <v>15.5</v>
      </c>
      <c r="T85" s="221">
        <f t="shared" si="114"/>
        <v>3.1581210478771449</v>
      </c>
      <c r="U85" s="221">
        <f t="shared" si="115"/>
        <v>2.368590785907859</v>
      </c>
      <c r="V85" s="221">
        <f t="shared" si="116"/>
        <v>1.7331152092008724</v>
      </c>
      <c r="W85" s="201">
        <f t="shared" si="117"/>
        <v>350</v>
      </c>
      <c r="X85" s="451">
        <f t="shared" si="158"/>
        <v>243.80099431614457</v>
      </c>
      <c r="Z85" s="221">
        <f t="shared" si="118"/>
        <v>2.1998658618376927</v>
      </c>
      <c r="AA85" s="177">
        <f t="shared" si="119"/>
        <v>1.2072434607645877</v>
      </c>
      <c r="AB85" s="177">
        <f t="shared" si="120"/>
        <v>0.46476039334599145</v>
      </c>
      <c r="AC85" s="177"/>
      <c r="AD85" s="177">
        <f t="shared" si="121"/>
        <v>0.45</v>
      </c>
      <c r="AE85" s="555">
        <f t="shared" si="122"/>
        <v>1821.1382113821142</v>
      </c>
      <c r="AF85" s="538">
        <f t="shared" si="123"/>
        <v>6.4574999999999994E-2</v>
      </c>
      <c r="AH85" s="177">
        <f t="shared" si="124"/>
        <v>2.5005396243008051</v>
      </c>
      <c r="AI85" s="177">
        <f t="shared" si="125"/>
        <v>2.5005396243008051</v>
      </c>
      <c r="AJ85" s="177">
        <f t="shared" si="126"/>
        <v>2.4448441661487443</v>
      </c>
      <c r="AL85" s="555">
        <f t="shared" si="127"/>
        <v>336</v>
      </c>
      <c r="AM85" s="469">
        <f t="shared" si="128"/>
        <v>243.80099431614457</v>
      </c>
      <c r="AO85">
        <f t="shared" si="159"/>
        <v>336</v>
      </c>
      <c r="AP85">
        <f t="shared" si="129"/>
        <v>243.80099431614457</v>
      </c>
      <c r="AR85" s="5">
        <f t="shared" si="160"/>
        <v>4.1017059951087314</v>
      </c>
      <c r="AS85" s="5">
        <f t="shared" si="130"/>
        <v>1.875404718225604</v>
      </c>
      <c r="AT85" s="5">
        <f t="shared" si="161"/>
        <v>2.2263012768831274</v>
      </c>
      <c r="AU85" s="177">
        <f t="shared" si="162"/>
        <v>0.4572255350485912</v>
      </c>
      <c r="AW85" s="5">
        <f t="shared" si="131"/>
        <v>4.6051229968782526</v>
      </c>
      <c r="AX85" s="5">
        <f t="shared" si="132"/>
        <v>21.436918240469218</v>
      </c>
      <c r="AY85" s="5">
        <f t="shared" si="133"/>
        <v>15.170308270746586</v>
      </c>
      <c r="AZ85" s="5">
        <f t="shared" si="134"/>
        <v>36.465444702828414</v>
      </c>
      <c r="BA85" s="5">
        <f t="shared" si="135"/>
        <v>3.3834282368433692</v>
      </c>
      <c r="BB85" s="469">
        <f t="shared" si="136"/>
        <v>205.74124976615769</v>
      </c>
      <c r="BC85" s="5"/>
      <c r="BD85" s="177">
        <f t="shared" si="163"/>
        <v>0.97619898539240924</v>
      </c>
      <c r="BE85" s="177">
        <f t="shared" si="137"/>
        <v>1.0636109933390283</v>
      </c>
      <c r="BF85" s="177">
        <f t="shared" si="138"/>
        <v>1.7461585061255518</v>
      </c>
      <c r="BG85" s="177"/>
      <c r="BH85" s="538">
        <f t="shared" si="139"/>
        <v>0.10482609049892862</v>
      </c>
      <c r="BI85" s="538">
        <f t="shared" si="140"/>
        <v>8.6568034635866584E-2</v>
      </c>
      <c r="BJ85" s="538">
        <f t="shared" si="141"/>
        <v>1.2190049715807227E-2</v>
      </c>
      <c r="BK85" s="538">
        <f t="shared" si="142"/>
        <v>4.4244029244516647E-2</v>
      </c>
      <c r="BL85">
        <f t="shared" si="143"/>
        <v>3.48E-3</v>
      </c>
      <c r="BM85">
        <f t="shared" si="144"/>
        <v>1.7066069602130122E-5</v>
      </c>
      <c r="BN85">
        <f t="shared" si="145"/>
        <v>0.25628186750532739</v>
      </c>
      <c r="BO85" s="469">
        <f t="shared" si="164"/>
        <v>256.2818675053274</v>
      </c>
      <c r="BP85" s="177">
        <f t="shared" si="146"/>
        <v>0.3024</v>
      </c>
      <c r="BQ85" s="177">
        <f t="shared" si="147"/>
        <v>0.52200000000000002</v>
      </c>
      <c r="BR85" s="538"/>
      <c r="BT85" s="469">
        <f t="shared" si="165"/>
        <v>824.4</v>
      </c>
      <c r="BU85" s="538">
        <f t="shared" si="148"/>
        <v>4.5742294035896122E-2</v>
      </c>
      <c r="BV85" s="538">
        <f t="shared" si="149"/>
        <v>0.27150440283639227</v>
      </c>
      <c r="BW85" s="538">
        <f t="shared" si="150"/>
        <v>0.73177668684350838</v>
      </c>
      <c r="BX85" s="538">
        <f t="shared" si="151"/>
        <v>0</v>
      </c>
      <c r="BY85" s="538">
        <f t="shared" si="152"/>
        <v>1.1451243623884466</v>
      </c>
      <c r="BZ85" s="538">
        <f t="shared" si="166"/>
        <v>1.0490233837157967</v>
      </c>
      <c r="CA85" s="641">
        <f t="shared" si="153"/>
        <v>7.622070450874259E-2</v>
      </c>
      <c r="CB85" s="469">
        <f t="shared" si="167"/>
        <v>1221.3450668971893</v>
      </c>
      <c r="CC85" s="177">
        <f t="shared" si="168"/>
        <v>2.3020269344025164</v>
      </c>
      <c r="CD85" s="5">
        <f t="shared" si="169"/>
        <v>9.847999999999999</v>
      </c>
      <c r="CE85" s="177">
        <f t="shared" si="170"/>
        <v>0.81053318261506224</v>
      </c>
      <c r="CF85" s="5">
        <f t="shared" si="171"/>
        <v>81.05331826150622</v>
      </c>
      <c r="CG85">
        <f t="shared" si="172"/>
        <v>80</v>
      </c>
      <c r="CI85" s="571">
        <f t="shared" si="154"/>
        <v>-50</v>
      </c>
      <c r="CJ85">
        <f t="shared" si="155"/>
        <v>-50</v>
      </c>
    </row>
    <row r="86" spans="5:88" x14ac:dyDescent="0.2">
      <c r="E86" s="174">
        <v>81</v>
      </c>
      <c r="F86" s="221">
        <f t="shared" si="173"/>
        <v>0.3402</v>
      </c>
      <c r="G86" s="221">
        <f t="shared" si="156"/>
        <v>0.58725000000000005</v>
      </c>
      <c r="H86" s="221">
        <f t="shared" si="105"/>
        <v>5.2731000000000003</v>
      </c>
      <c r="I86" s="221">
        <f t="shared" si="174"/>
        <v>4.6980000000000004</v>
      </c>
      <c r="J86" s="551">
        <f t="shared" si="106"/>
        <v>12</v>
      </c>
      <c r="K86" s="451">
        <f t="shared" si="107"/>
        <v>16.399999999999999</v>
      </c>
      <c r="L86" s="451">
        <f t="shared" si="108"/>
        <v>28.4</v>
      </c>
      <c r="M86" s="451"/>
      <c r="N86" s="221">
        <f t="shared" si="109"/>
        <v>0.57746478873239437</v>
      </c>
      <c r="O86" s="176">
        <f t="shared" si="157"/>
        <v>6.7612354549719109</v>
      </c>
      <c r="P86" s="176">
        <f t="shared" si="110"/>
        <v>11.390692542350877</v>
      </c>
      <c r="Q86" s="221">
        <f t="shared" si="111"/>
        <v>0.43620873903044588</v>
      </c>
      <c r="R86" s="221">
        <f t="shared" si="112"/>
        <v>0.84515443187148886</v>
      </c>
      <c r="S86" s="451">
        <f t="shared" si="113"/>
        <v>15.5</v>
      </c>
      <c r="T86" s="221">
        <f t="shared" si="114"/>
        <v>3.1975975609756095</v>
      </c>
      <c r="U86" s="221">
        <f t="shared" si="115"/>
        <v>2.3981981707317073</v>
      </c>
      <c r="V86" s="221">
        <f t="shared" si="116"/>
        <v>1.7547791493158835</v>
      </c>
      <c r="W86" s="201">
        <f t="shared" si="117"/>
        <v>350</v>
      </c>
      <c r="X86" s="451">
        <f t="shared" si="158"/>
        <v>240.79110549742671</v>
      </c>
      <c r="Z86" s="221">
        <f t="shared" si="118"/>
        <v>2.1998658618376927</v>
      </c>
      <c r="AA86" s="177">
        <f t="shared" si="119"/>
        <v>1.2072434607645877</v>
      </c>
      <c r="AB86" s="177">
        <f t="shared" si="120"/>
        <v>0.46476039334599145</v>
      </c>
      <c r="AC86" s="177"/>
      <c r="AD86" s="177">
        <f t="shared" si="121"/>
        <v>0.45</v>
      </c>
      <c r="AE86" s="555">
        <f t="shared" si="122"/>
        <v>1843.9024390243903</v>
      </c>
      <c r="AF86" s="538">
        <f t="shared" si="123"/>
        <v>6.4574999999999994E-2</v>
      </c>
      <c r="AH86" s="177">
        <f t="shared" si="124"/>
        <v>2.5161194611657738</v>
      </c>
      <c r="AI86" s="177">
        <f t="shared" si="125"/>
        <v>2.5161194611657738</v>
      </c>
      <c r="AJ86" s="177">
        <f t="shared" si="126"/>
        <v>2.4563847860487211</v>
      </c>
      <c r="AL86" s="555">
        <f t="shared" si="127"/>
        <v>340.2</v>
      </c>
      <c r="AM86" s="469">
        <f t="shared" si="128"/>
        <v>240.79110549742671</v>
      </c>
      <c r="AO86">
        <f t="shared" si="159"/>
        <v>340.2</v>
      </c>
      <c r="AP86">
        <f t="shared" si="129"/>
        <v>240.79110549742671</v>
      </c>
      <c r="AR86" s="5">
        <f t="shared" si="160"/>
        <v>4.152977320047591</v>
      </c>
      <c r="AS86" s="5">
        <f t="shared" si="130"/>
        <v>1.8870895958743303</v>
      </c>
      <c r="AT86" s="5">
        <f t="shared" si="161"/>
        <v>2.2658877241732607</v>
      </c>
      <c r="AU86" s="177">
        <f t="shared" si="162"/>
        <v>0.45439438996327225</v>
      </c>
      <c r="AW86" s="5">
        <f t="shared" si="131"/>
        <v>4.6051229968782526</v>
      </c>
      <c r="AX86" s="5">
        <f t="shared" si="132"/>
        <v>21.967685714956016</v>
      </c>
      <c r="AY86" s="5">
        <f t="shared" si="133"/>
        <v>15.170308270746586</v>
      </c>
      <c r="AZ86" s="5">
        <f t="shared" si="134"/>
        <v>37.368097296133961</v>
      </c>
      <c r="BA86" s="5">
        <f t="shared" si="135"/>
        <v>3.4866347355716041</v>
      </c>
      <c r="BB86" s="469">
        <f t="shared" si="136"/>
        <v>211.96783413429625</v>
      </c>
      <c r="BC86" s="5"/>
      <c r="BD86" s="177">
        <f t="shared" si="163"/>
        <v>0.97923541081349053</v>
      </c>
      <c r="BE86" s="177">
        <f t="shared" si="137"/>
        <v>1.0730255003934663</v>
      </c>
      <c r="BF86" s="177">
        <f t="shared" si="138"/>
        <v>1.7616145531926077</v>
      </c>
      <c r="BG86" s="177"/>
      <c r="BH86" s="538">
        <f t="shared" si="139"/>
        <v>0.10547921887701721</v>
      </c>
      <c r="BI86" s="538">
        <f t="shared" si="140"/>
        <v>8.6032004499712891E-2</v>
      </c>
      <c r="BJ86" s="538">
        <f t="shared" si="141"/>
        <v>1.2039555274871334E-2</v>
      </c>
      <c r="BK86" s="538">
        <f t="shared" si="142"/>
        <v>4.3697806661251004E-2</v>
      </c>
      <c r="BL86">
        <f t="shared" si="143"/>
        <v>3.48E-3</v>
      </c>
      <c r="BM86">
        <f t="shared" si="144"/>
        <v>1.685537738481987E-5</v>
      </c>
      <c r="BN86">
        <f t="shared" si="145"/>
        <v>0.25572202551822926</v>
      </c>
      <c r="BO86" s="469">
        <f t="shared" si="164"/>
        <v>255.72202551822926</v>
      </c>
      <c r="BP86" s="177">
        <f t="shared" si="146"/>
        <v>0.30618000000000001</v>
      </c>
      <c r="BQ86" s="177">
        <f t="shared" si="147"/>
        <v>0.52852500000000002</v>
      </c>
      <c r="BR86" s="538"/>
      <c r="BT86" s="469">
        <f t="shared" si="165"/>
        <v>834.70500000000004</v>
      </c>
      <c r="BU86" s="538">
        <f t="shared" si="148"/>
        <v>4.6027295509971144E-2</v>
      </c>
      <c r="BV86" s="538">
        <f t="shared" si="149"/>
        <v>0.27633209387871571</v>
      </c>
      <c r="BW86" s="538">
        <f t="shared" si="150"/>
        <v>0.74478860016479775</v>
      </c>
      <c r="BX86" s="538">
        <f t="shared" si="151"/>
        <v>0</v>
      </c>
      <c r="BY86" s="538">
        <f t="shared" si="152"/>
        <v>1.1667561040088703</v>
      </c>
      <c r="BZ86" s="538">
        <f t="shared" si="166"/>
        <v>1.0671479895534846</v>
      </c>
      <c r="CA86" s="641">
        <f t="shared" si="153"/>
        <v>7.6220704508742604E-2</v>
      </c>
      <c r="CB86" s="469">
        <f t="shared" si="167"/>
        <v>1242.9768085176129</v>
      </c>
      <c r="CC86" s="177">
        <f t="shared" si="168"/>
        <v>2.3334038340358423</v>
      </c>
      <c r="CD86" s="5">
        <f t="shared" si="169"/>
        <v>9.9710999999999999</v>
      </c>
      <c r="CE86" s="177">
        <f t="shared" si="170"/>
        <v>0.81036181015431552</v>
      </c>
      <c r="CF86" s="5">
        <f t="shared" si="171"/>
        <v>81.036181015431552</v>
      </c>
      <c r="CG86">
        <f t="shared" si="172"/>
        <v>81</v>
      </c>
      <c r="CI86" s="571">
        <f t="shared" si="154"/>
        <v>-50</v>
      </c>
      <c r="CJ86">
        <f t="shared" si="155"/>
        <v>-50</v>
      </c>
    </row>
    <row r="87" spans="5:88" x14ac:dyDescent="0.2">
      <c r="E87" s="174">
        <v>82</v>
      </c>
      <c r="F87" s="221">
        <f t="shared" si="173"/>
        <v>0.34439999999999998</v>
      </c>
      <c r="G87" s="221">
        <f t="shared" si="156"/>
        <v>0.59449999999999992</v>
      </c>
      <c r="H87" s="221">
        <f t="shared" si="105"/>
        <v>5.3381999999999996</v>
      </c>
      <c r="I87" s="221">
        <f t="shared" si="174"/>
        <v>4.7559999999999993</v>
      </c>
      <c r="J87" s="551">
        <f t="shared" si="106"/>
        <v>12</v>
      </c>
      <c r="K87" s="451">
        <f t="shared" si="107"/>
        <v>16.399999999999999</v>
      </c>
      <c r="L87" s="451">
        <f t="shared" si="108"/>
        <v>28.4</v>
      </c>
      <c r="M87" s="451"/>
      <c r="N87" s="221">
        <f t="shared" si="109"/>
        <v>0.57746478873239437</v>
      </c>
      <c r="O87" s="176">
        <f t="shared" si="157"/>
        <v>6.7612354549719109</v>
      </c>
      <c r="P87" s="176">
        <f t="shared" si="110"/>
        <v>11.390692542350877</v>
      </c>
      <c r="Q87" s="221">
        <f t="shared" si="111"/>
        <v>0.43620873903044588</v>
      </c>
      <c r="R87" s="221">
        <f t="shared" si="112"/>
        <v>0.84515443187148886</v>
      </c>
      <c r="S87" s="451">
        <f t="shared" si="113"/>
        <v>15.5</v>
      </c>
      <c r="T87" s="221">
        <f t="shared" si="114"/>
        <v>3.2370740740740733</v>
      </c>
      <c r="U87" s="221">
        <f t="shared" si="115"/>
        <v>2.4278055555555551</v>
      </c>
      <c r="V87" s="221">
        <f t="shared" si="116"/>
        <v>1.776443089430894</v>
      </c>
      <c r="W87" s="201">
        <f t="shared" si="117"/>
        <v>350</v>
      </c>
      <c r="X87" s="451">
        <f t="shared" si="158"/>
        <v>237.85462860111673</v>
      </c>
      <c r="Z87" s="221">
        <f t="shared" si="118"/>
        <v>2.1998658618376927</v>
      </c>
      <c r="AA87" s="177">
        <f t="shared" si="119"/>
        <v>1.2072434607645877</v>
      </c>
      <c r="AB87" s="177">
        <f t="shared" si="120"/>
        <v>0.46476039334599145</v>
      </c>
      <c r="AC87" s="177"/>
      <c r="AD87" s="177">
        <f t="shared" si="121"/>
        <v>0.45</v>
      </c>
      <c r="AE87" s="555">
        <f t="shared" si="122"/>
        <v>1866.6666666666667</v>
      </c>
      <c r="AF87" s="538">
        <f t="shared" si="123"/>
        <v>6.4574999999999994E-2</v>
      </c>
      <c r="AH87" s="177">
        <f t="shared" si="124"/>
        <v>2.5316034193798744</v>
      </c>
      <c r="AI87" s="177">
        <f t="shared" si="125"/>
        <v>2.5316034193798744</v>
      </c>
      <c r="AJ87" s="177">
        <f t="shared" si="126"/>
        <v>2.467854384725833</v>
      </c>
      <c r="AL87" s="555">
        <f t="shared" si="127"/>
        <v>344.4</v>
      </c>
      <c r="AM87" s="469">
        <f t="shared" si="128"/>
        <v>237.85462860111673</v>
      </c>
      <c r="AO87">
        <f t="shared" si="159"/>
        <v>344.4</v>
      </c>
      <c r="AP87">
        <f t="shared" si="129"/>
        <v>237.85462860111673</v>
      </c>
      <c r="AR87" s="5">
        <f t="shared" si="160"/>
        <v>4.2042486449864489</v>
      </c>
      <c r="AS87" s="5">
        <f t="shared" si="130"/>
        <v>1.8987025645349058</v>
      </c>
      <c r="AT87" s="5">
        <f t="shared" si="161"/>
        <v>2.3055460804515429</v>
      </c>
      <c r="AU87" s="177">
        <f t="shared" si="162"/>
        <v>0.45161519331143785</v>
      </c>
      <c r="AW87" s="5">
        <f t="shared" si="131"/>
        <v>4.6051229968782526</v>
      </c>
      <c r="AX87" s="5">
        <f t="shared" si="132"/>
        <v>22.504942226392966</v>
      </c>
      <c r="AY87" s="5">
        <f t="shared" si="133"/>
        <v>15.170308270746586</v>
      </c>
      <c r="AZ87" s="5">
        <f t="shared" si="134"/>
        <v>38.281782840909102</v>
      </c>
      <c r="BA87" s="5">
        <f t="shared" si="135"/>
        <v>3.5914572909404252</v>
      </c>
      <c r="BB87" s="469">
        <f t="shared" si="136"/>
        <v>218.29138190087005</v>
      </c>
      <c r="BC87" s="5"/>
      <c r="BD87" s="177">
        <f t="shared" si="163"/>
        <v>0.98224384997279512</v>
      </c>
      <c r="BE87" s="177">
        <f t="shared" si="137"/>
        <v>1.0823750013416078</v>
      </c>
      <c r="BF87" s="177">
        <f t="shared" si="138"/>
        <v>1.7769638780029635</v>
      </c>
      <c r="BG87" s="177"/>
      <c r="BH87" s="538">
        <f t="shared" si="139"/>
        <v>0.10612832788903168</v>
      </c>
      <c r="BI87" s="538">
        <f t="shared" si="140"/>
        <v>8.5505809933632229E-2</v>
      </c>
      <c r="BJ87" s="538">
        <f t="shared" si="141"/>
        <v>1.1892731430055837E-2</v>
      </c>
      <c r="BK87" s="538">
        <f t="shared" si="142"/>
        <v>4.3164906580016253E-2</v>
      </c>
      <c r="BL87">
        <f t="shared" si="143"/>
        <v>3.48E-3</v>
      </c>
      <c r="BM87">
        <f t="shared" si="144"/>
        <v>1.6649824002078172E-5</v>
      </c>
      <c r="BN87">
        <f t="shared" si="145"/>
        <v>0.25518512299660567</v>
      </c>
      <c r="BO87" s="469">
        <f t="shared" si="164"/>
        <v>255.18512299660568</v>
      </c>
      <c r="BP87" s="177">
        <f t="shared" si="146"/>
        <v>0.30996000000000001</v>
      </c>
      <c r="BQ87" s="177">
        <f t="shared" si="147"/>
        <v>0.53504999999999991</v>
      </c>
      <c r="BR87" s="538"/>
      <c r="BT87" s="469">
        <f t="shared" si="165"/>
        <v>845.00999999999988</v>
      </c>
      <c r="BU87" s="538">
        <f t="shared" si="148"/>
        <v>4.6310543078850186E-2</v>
      </c>
      <c r="BV87" s="538">
        <f t="shared" si="149"/>
        <v>0.28116855444701888</v>
      </c>
      <c r="BW87" s="538">
        <f t="shared" si="150"/>
        <v>0.75782414969455947</v>
      </c>
      <c r="BX87" s="538">
        <f t="shared" si="151"/>
        <v>0</v>
      </c>
      <c r="BY87" s="538">
        <f t="shared" si="152"/>
        <v>1.1884932980766094</v>
      </c>
      <c r="BZ87" s="538">
        <f t="shared" si="166"/>
        <v>1.0853032472204285</v>
      </c>
      <c r="CA87" s="641">
        <f t="shared" si="153"/>
        <v>7.6220704508742618E-2</v>
      </c>
      <c r="CB87" s="469">
        <f t="shared" si="167"/>
        <v>1264.7140025853521</v>
      </c>
      <c r="CC87" s="177">
        <f t="shared" si="168"/>
        <v>2.3649091255819576</v>
      </c>
      <c r="CD87" s="5">
        <f t="shared" si="169"/>
        <v>10.094199999999999</v>
      </c>
      <c r="CE87" s="177">
        <f t="shared" si="170"/>
        <v>0.81018633822492547</v>
      </c>
      <c r="CF87" s="5">
        <f t="shared" si="171"/>
        <v>81.018633822492546</v>
      </c>
      <c r="CG87">
        <f t="shared" si="172"/>
        <v>82</v>
      </c>
      <c r="CI87" s="571">
        <f t="shared" si="154"/>
        <v>-50</v>
      </c>
      <c r="CJ87">
        <f t="shared" si="155"/>
        <v>-50</v>
      </c>
    </row>
    <row r="88" spans="5:88" x14ac:dyDescent="0.2">
      <c r="E88" s="174">
        <v>83</v>
      </c>
      <c r="F88" s="221">
        <f t="shared" si="173"/>
        <v>0.34859999999999997</v>
      </c>
      <c r="G88" s="221">
        <f t="shared" si="156"/>
        <v>0.60175000000000001</v>
      </c>
      <c r="H88" s="221">
        <f t="shared" si="105"/>
        <v>5.4032999999999998</v>
      </c>
      <c r="I88" s="221">
        <f t="shared" si="174"/>
        <v>4.8140000000000001</v>
      </c>
      <c r="J88" s="551">
        <f t="shared" si="106"/>
        <v>12</v>
      </c>
      <c r="K88" s="451">
        <f t="shared" si="107"/>
        <v>16.399999999999999</v>
      </c>
      <c r="L88" s="451">
        <f t="shared" si="108"/>
        <v>28.4</v>
      </c>
      <c r="M88" s="451"/>
      <c r="N88" s="221">
        <f t="shared" si="109"/>
        <v>0.57746478873239437</v>
      </c>
      <c r="O88" s="176">
        <f t="shared" si="157"/>
        <v>6.7612354549719109</v>
      </c>
      <c r="P88" s="176">
        <f t="shared" si="110"/>
        <v>11.390692542350877</v>
      </c>
      <c r="Q88" s="221">
        <f t="shared" si="111"/>
        <v>0.43620873903044588</v>
      </c>
      <c r="R88" s="221">
        <f t="shared" si="112"/>
        <v>0.84515443187148886</v>
      </c>
      <c r="S88" s="451">
        <f t="shared" si="113"/>
        <v>15.5</v>
      </c>
      <c r="T88" s="221">
        <f t="shared" si="114"/>
        <v>3.276550587172538</v>
      </c>
      <c r="U88" s="221">
        <f t="shared" si="115"/>
        <v>2.4574129403794038</v>
      </c>
      <c r="V88" s="221">
        <f t="shared" si="116"/>
        <v>1.7981070295459054</v>
      </c>
      <c r="W88" s="201">
        <f t="shared" si="117"/>
        <v>350</v>
      </c>
      <c r="X88" s="451">
        <f t="shared" si="158"/>
        <v>234.98891018423569</v>
      </c>
      <c r="Z88" s="221">
        <f t="shared" si="118"/>
        <v>2.1998658618376927</v>
      </c>
      <c r="AA88" s="177">
        <f t="shared" si="119"/>
        <v>1.2072434607645877</v>
      </c>
      <c r="AB88" s="177">
        <f t="shared" si="120"/>
        <v>0.46476039334599145</v>
      </c>
      <c r="AC88" s="177"/>
      <c r="AD88" s="177">
        <f t="shared" si="121"/>
        <v>0.45</v>
      </c>
      <c r="AE88" s="555">
        <f t="shared" si="122"/>
        <v>1889.4308943089432</v>
      </c>
      <c r="AF88" s="538">
        <f t="shared" si="123"/>
        <v>6.4574999999999994E-2</v>
      </c>
      <c r="AH88" s="177">
        <f t="shared" si="124"/>
        <v>2.5469932475714581</v>
      </c>
      <c r="AI88" s="177">
        <f t="shared" si="125"/>
        <v>2.5469932475714581</v>
      </c>
      <c r="AJ88" s="177">
        <f t="shared" si="126"/>
        <v>2.4792542574603393</v>
      </c>
      <c r="AL88" s="555">
        <f t="shared" si="127"/>
        <v>348.59999999999997</v>
      </c>
      <c r="AM88" s="469">
        <f t="shared" si="128"/>
        <v>234.98891018423569</v>
      </c>
      <c r="AO88">
        <f t="shared" si="159"/>
        <v>348.59999999999997</v>
      </c>
      <c r="AP88">
        <f t="shared" si="129"/>
        <v>234.98891018423569</v>
      </c>
      <c r="AR88" s="5">
        <f t="shared" si="160"/>
        <v>4.2555199699253095</v>
      </c>
      <c r="AS88" s="5">
        <f t="shared" si="130"/>
        <v>1.9102449356785938</v>
      </c>
      <c r="AT88" s="5">
        <f t="shared" si="161"/>
        <v>2.3452750342467157</v>
      </c>
      <c r="AU88" s="177">
        <f t="shared" si="162"/>
        <v>0.44888637562006817</v>
      </c>
      <c r="AW88" s="5">
        <f t="shared" si="131"/>
        <v>4.6051229968782526</v>
      </c>
      <c r="AX88" s="5">
        <f t="shared" si="132"/>
        <v>23.04868777478006</v>
      </c>
      <c r="AY88" s="5">
        <f t="shared" si="133"/>
        <v>15.170308270746586</v>
      </c>
      <c r="AZ88" s="5">
        <f t="shared" si="134"/>
        <v>39.206501337153902</v>
      </c>
      <c r="BA88" s="5">
        <f t="shared" si="135"/>
        <v>3.6978979332421242</v>
      </c>
      <c r="BB88" s="469">
        <f t="shared" si="136"/>
        <v>224.71201488341637</v>
      </c>
      <c r="BC88" s="5"/>
      <c r="BD88" s="177">
        <f t="shared" si="163"/>
        <v>0.98522489744450426</v>
      </c>
      <c r="BE88" s="177">
        <f t="shared" si="137"/>
        <v>1.0916608611867518</v>
      </c>
      <c r="BF88" s="177">
        <f t="shared" si="138"/>
        <v>1.7922087215189044</v>
      </c>
      <c r="BG88" s="177"/>
      <c r="BH88" s="538">
        <f t="shared" si="139"/>
        <v>0.10677349083989873</v>
      </c>
      <c r="BI88" s="538">
        <f t="shared" si="140"/>
        <v>8.4989153784066213E-2</v>
      </c>
      <c r="BJ88" s="538">
        <f t="shared" si="141"/>
        <v>1.1749445509211785E-2</v>
      </c>
      <c r="BK88" s="538">
        <f t="shared" si="142"/>
        <v>4.2644847464594349E-2</v>
      </c>
      <c r="BL88">
        <f t="shared" si="143"/>
        <v>3.48E-3</v>
      </c>
      <c r="BM88">
        <f t="shared" si="144"/>
        <v>1.6449223712896499E-5</v>
      </c>
      <c r="BN88">
        <f t="shared" si="145"/>
        <v>0.25467031799213691</v>
      </c>
      <c r="BO88" s="469">
        <f t="shared" si="164"/>
        <v>254.67031799213692</v>
      </c>
      <c r="BP88" s="177">
        <f t="shared" si="146"/>
        <v>0.31373999999999996</v>
      </c>
      <c r="BQ88" s="177">
        <f t="shared" si="147"/>
        <v>0.54157500000000003</v>
      </c>
      <c r="BR88" s="538"/>
      <c r="BT88" s="469">
        <f t="shared" si="165"/>
        <v>855.31500000000005</v>
      </c>
      <c r="BU88" s="538">
        <f t="shared" si="148"/>
        <v>4.6592068730137631E-2</v>
      </c>
      <c r="BV88" s="538">
        <f t="shared" si="149"/>
        <v>0.28601362460328011</v>
      </c>
      <c r="BW88" s="538">
        <f t="shared" si="150"/>
        <v>0.77088290435722218</v>
      </c>
      <c r="BX88" s="538">
        <f t="shared" si="151"/>
        <v>0</v>
      </c>
      <c r="BY88" s="538">
        <f t="shared" si="152"/>
        <v>1.2103359514331637</v>
      </c>
      <c r="BZ88" s="538">
        <f t="shared" si="166"/>
        <v>1.1034885976906399</v>
      </c>
      <c r="CA88" s="641">
        <f t="shared" si="153"/>
        <v>7.6220704508742576E-2</v>
      </c>
      <c r="CB88" s="469">
        <f t="shared" si="167"/>
        <v>1286.5566559419065</v>
      </c>
      <c r="CC88" s="177">
        <f t="shared" si="168"/>
        <v>2.3965419739340432</v>
      </c>
      <c r="CD88" s="5">
        <f t="shared" si="169"/>
        <v>10.2173</v>
      </c>
      <c r="CE88" s="177">
        <f t="shared" si="170"/>
        <v>0.81000697655112586</v>
      </c>
      <c r="CF88" s="5">
        <f t="shared" si="171"/>
        <v>81.000697655112589</v>
      </c>
      <c r="CG88">
        <f t="shared" si="172"/>
        <v>83</v>
      </c>
      <c r="CI88" s="571">
        <f t="shared" si="154"/>
        <v>-50</v>
      </c>
      <c r="CJ88">
        <f t="shared" si="155"/>
        <v>-50</v>
      </c>
    </row>
    <row r="89" spans="5:88" x14ac:dyDescent="0.2">
      <c r="E89" s="174">
        <v>84</v>
      </c>
      <c r="F89" s="221">
        <f t="shared" si="173"/>
        <v>0.35279999999999995</v>
      </c>
      <c r="G89" s="221">
        <f t="shared" si="156"/>
        <v>0.60899999999999999</v>
      </c>
      <c r="H89" s="221">
        <f t="shared" si="105"/>
        <v>5.468399999999999</v>
      </c>
      <c r="I89" s="221">
        <f t="shared" si="174"/>
        <v>4.8719999999999999</v>
      </c>
      <c r="J89" s="551">
        <f t="shared" si="106"/>
        <v>12</v>
      </c>
      <c r="K89" s="451">
        <f t="shared" si="107"/>
        <v>16.399999999999999</v>
      </c>
      <c r="L89" s="451">
        <f t="shared" si="108"/>
        <v>28.4</v>
      </c>
      <c r="M89" s="451"/>
      <c r="N89" s="221">
        <f t="shared" si="109"/>
        <v>0.57746478873239437</v>
      </c>
      <c r="O89" s="176">
        <f t="shared" si="157"/>
        <v>6.7612354549719109</v>
      </c>
      <c r="P89" s="176">
        <f t="shared" si="110"/>
        <v>11.390692542350877</v>
      </c>
      <c r="Q89" s="221">
        <f t="shared" si="111"/>
        <v>0.43620873903044588</v>
      </c>
      <c r="R89" s="221">
        <f t="shared" si="112"/>
        <v>0.84515443187148886</v>
      </c>
      <c r="S89" s="451">
        <f t="shared" si="113"/>
        <v>15.5</v>
      </c>
      <c r="T89" s="221">
        <f t="shared" si="114"/>
        <v>3.3160271002710022</v>
      </c>
      <c r="U89" s="221">
        <f t="shared" si="115"/>
        <v>2.4870203252032521</v>
      </c>
      <c r="V89" s="221">
        <f t="shared" si="116"/>
        <v>1.8197709696609161</v>
      </c>
      <c r="W89" s="201">
        <f t="shared" si="117"/>
        <v>350</v>
      </c>
      <c r="X89" s="451">
        <f t="shared" si="158"/>
        <v>232.19142315823294</v>
      </c>
      <c r="Z89" s="221">
        <f t="shared" si="118"/>
        <v>2.1998658618376927</v>
      </c>
      <c r="AA89" s="177">
        <f t="shared" si="119"/>
        <v>1.2072434607645877</v>
      </c>
      <c r="AB89" s="177">
        <f t="shared" si="120"/>
        <v>0.46476039334599145</v>
      </c>
      <c r="AC89" s="177"/>
      <c r="AD89" s="177">
        <f t="shared" si="121"/>
        <v>0.45</v>
      </c>
      <c r="AE89" s="555">
        <f t="shared" si="122"/>
        <v>1912.1951219512193</v>
      </c>
      <c r="AF89" s="538">
        <f t="shared" si="123"/>
        <v>6.4574999999999994E-2</v>
      </c>
      <c r="AH89" s="177">
        <f t="shared" si="124"/>
        <v>2.5622906418541462</v>
      </c>
      <c r="AI89" s="177">
        <f t="shared" si="125"/>
        <v>2.5622906418541462</v>
      </c>
      <c r="AJ89" s="177">
        <f t="shared" si="126"/>
        <v>2.4905856606327008</v>
      </c>
      <c r="AL89" s="555">
        <f t="shared" si="127"/>
        <v>352.79999999999995</v>
      </c>
      <c r="AM89" s="469">
        <f t="shared" si="128"/>
        <v>232.19142315823294</v>
      </c>
      <c r="AO89">
        <f t="shared" si="159"/>
        <v>352.79999999999995</v>
      </c>
      <c r="AP89">
        <f t="shared" si="129"/>
        <v>232.19142315823294</v>
      </c>
      <c r="AR89" s="5">
        <f t="shared" si="160"/>
        <v>4.3067912948641673</v>
      </c>
      <c r="AS89" s="5">
        <f t="shared" si="130"/>
        <v>1.9217179813906098</v>
      </c>
      <c r="AT89" s="5">
        <f t="shared" si="161"/>
        <v>2.3850733134735576</v>
      </c>
      <c r="AU89" s="177">
        <f t="shared" si="162"/>
        <v>0.44620643300785234</v>
      </c>
      <c r="AW89" s="5">
        <f t="shared" si="131"/>
        <v>4.6051229968782526</v>
      </c>
      <c r="AX89" s="5">
        <f t="shared" si="132"/>
        <v>23.598922360117303</v>
      </c>
      <c r="AY89" s="5">
        <f t="shared" si="133"/>
        <v>15.170308270746586</v>
      </c>
      <c r="AZ89" s="5">
        <f t="shared" si="134"/>
        <v>40.142252784868333</v>
      </c>
      <c r="BA89" s="5">
        <f t="shared" si="135"/>
        <v>3.8059586559632672</v>
      </c>
      <c r="BB89" s="469">
        <f t="shared" si="136"/>
        <v>231.22985269112937</v>
      </c>
      <c r="BC89" s="5"/>
      <c r="BD89" s="177">
        <f t="shared" si="163"/>
        <v>0.98817912819053533</v>
      </c>
      <c r="BE89" s="177">
        <f t="shared" si="137"/>
        <v>1.1008843967706317</v>
      </c>
      <c r="BF89" s="177">
        <f t="shared" si="138"/>
        <v>1.8073512456345893</v>
      </c>
      <c r="BG89" s="177"/>
      <c r="BH89" s="538">
        <f t="shared" si="139"/>
        <v>0.10741477883305471</v>
      </c>
      <c r="BI89" s="538">
        <f t="shared" si="140"/>
        <v>8.4481751316153347E-2</v>
      </c>
      <c r="BJ89" s="538">
        <f t="shared" si="141"/>
        <v>1.1609571157911646E-2</v>
      </c>
      <c r="BK89" s="538">
        <f t="shared" si="142"/>
        <v>4.2137170709063476E-2</v>
      </c>
      <c r="BL89">
        <f t="shared" si="143"/>
        <v>3.48E-3</v>
      </c>
      <c r="BM89">
        <f t="shared" si="144"/>
        <v>1.6253399621076307E-5</v>
      </c>
      <c r="BN89">
        <f t="shared" si="145"/>
        <v>0.25417680818559973</v>
      </c>
      <c r="BO89" s="469">
        <f t="shared" si="164"/>
        <v>254.17680818559973</v>
      </c>
      <c r="BP89" s="177">
        <f t="shared" si="146"/>
        <v>0.31751999999999997</v>
      </c>
      <c r="BQ89" s="177">
        <f t="shared" si="147"/>
        <v>0.54810000000000003</v>
      </c>
      <c r="BR89" s="538"/>
      <c r="BT89" s="469">
        <f t="shared" si="165"/>
        <v>865.62</v>
      </c>
      <c r="BU89" s="538">
        <f t="shared" si="148"/>
        <v>4.6871903490787507E-2</v>
      </c>
      <c r="BV89" s="538">
        <f t="shared" si="149"/>
        <v>0.29086714921272899</v>
      </c>
      <c r="BW89" s="538">
        <f t="shared" si="150"/>
        <v>0.78396444602325632</v>
      </c>
      <c r="BX89" s="538">
        <f t="shared" si="151"/>
        <v>0</v>
      </c>
      <c r="BY89" s="538">
        <f t="shared" si="152"/>
        <v>1.2322840886169282</v>
      </c>
      <c r="BZ89" s="538">
        <f t="shared" si="166"/>
        <v>1.1217034987267729</v>
      </c>
      <c r="CA89" s="641">
        <f t="shared" si="153"/>
        <v>7.622070450874259E-2</v>
      </c>
      <c r="CB89" s="469">
        <f t="shared" si="167"/>
        <v>1308.5047931256709</v>
      </c>
      <c r="CC89" s="177">
        <f t="shared" si="168"/>
        <v>2.4283016013112708</v>
      </c>
      <c r="CD89" s="5">
        <f t="shared" si="169"/>
        <v>10.340399999999999</v>
      </c>
      <c r="CE89" s="177">
        <f t="shared" si="170"/>
        <v>0.80982392124647207</v>
      </c>
      <c r="CF89" s="5">
        <f t="shared" si="171"/>
        <v>80.982392124647205</v>
      </c>
      <c r="CG89">
        <f t="shared" si="172"/>
        <v>83.999999999999986</v>
      </c>
      <c r="CI89" s="571">
        <f t="shared" si="154"/>
        <v>-50</v>
      </c>
      <c r="CJ89">
        <f t="shared" si="155"/>
        <v>-50</v>
      </c>
    </row>
    <row r="90" spans="5:88" x14ac:dyDescent="0.2">
      <c r="E90" s="174">
        <v>85</v>
      </c>
      <c r="F90" s="221">
        <f t="shared" si="173"/>
        <v>0.35699999999999998</v>
      </c>
      <c r="G90" s="221">
        <f t="shared" si="156"/>
        <v>0.61624999999999996</v>
      </c>
      <c r="H90" s="221">
        <f t="shared" si="105"/>
        <v>5.5335000000000001</v>
      </c>
      <c r="I90" s="221">
        <f t="shared" si="174"/>
        <v>4.93</v>
      </c>
      <c r="J90" s="551">
        <f t="shared" si="106"/>
        <v>12</v>
      </c>
      <c r="K90" s="451">
        <f t="shared" si="107"/>
        <v>16.399999999999999</v>
      </c>
      <c r="L90" s="451">
        <f t="shared" si="108"/>
        <v>28.4</v>
      </c>
      <c r="M90" s="451"/>
      <c r="N90" s="221">
        <f t="shared" si="109"/>
        <v>0.57746478873239437</v>
      </c>
      <c r="O90" s="176">
        <f t="shared" si="157"/>
        <v>6.7612354549719109</v>
      </c>
      <c r="P90" s="176">
        <f t="shared" si="110"/>
        <v>11.390692542350877</v>
      </c>
      <c r="Q90" s="221">
        <f t="shared" si="111"/>
        <v>0.43620873903044588</v>
      </c>
      <c r="R90" s="221">
        <f t="shared" si="112"/>
        <v>0.84515443187148886</v>
      </c>
      <c r="S90" s="451">
        <f t="shared" si="113"/>
        <v>15.5</v>
      </c>
      <c r="T90" s="221">
        <f t="shared" si="114"/>
        <v>3.3555036133694665</v>
      </c>
      <c r="U90" s="221">
        <f t="shared" si="115"/>
        <v>2.5166277100271</v>
      </c>
      <c r="V90" s="221">
        <f t="shared" si="116"/>
        <v>1.8414349097759271</v>
      </c>
      <c r="W90" s="201">
        <f t="shared" si="117"/>
        <v>350</v>
      </c>
      <c r="X90" s="451">
        <f t="shared" si="158"/>
        <v>229.45975935637139</v>
      </c>
      <c r="Z90" s="221">
        <f t="shared" si="118"/>
        <v>2.1998658618376927</v>
      </c>
      <c r="AA90" s="177">
        <f t="shared" si="119"/>
        <v>1.2072434607645877</v>
      </c>
      <c r="AB90" s="177">
        <f t="shared" si="120"/>
        <v>0.46476039334599145</v>
      </c>
      <c r="AC90" s="177"/>
      <c r="AD90" s="177">
        <f t="shared" si="121"/>
        <v>0.45</v>
      </c>
      <c r="AE90" s="555">
        <f t="shared" si="122"/>
        <v>1934.959349593496</v>
      </c>
      <c r="AF90" s="538">
        <f t="shared" si="123"/>
        <v>6.4574999999999994E-2</v>
      </c>
      <c r="AH90" s="177">
        <f t="shared" si="124"/>
        <v>2.5774972480086302</v>
      </c>
      <c r="AI90" s="177">
        <f t="shared" si="125"/>
        <v>2.5774972480086302</v>
      </c>
      <c r="AJ90" s="177">
        <f t="shared" si="126"/>
        <v>2.5018498133397262</v>
      </c>
      <c r="AL90" s="555">
        <f t="shared" si="127"/>
        <v>357</v>
      </c>
      <c r="AM90" s="469">
        <f t="shared" si="128"/>
        <v>229.45975935637139</v>
      </c>
      <c r="AO90">
        <f t="shared" si="159"/>
        <v>357</v>
      </c>
      <c r="AP90">
        <f t="shared" si="129"/>
        <v>229.45975935637139</v>
      </c>
      <c r="AR90" s="5">
        <f t="shared" si="160"/>
        <v>4.358062619803027</v>
      </c>
      <c r="AS90" s="5">
        <f t="shared" si="130"/>
        <v>1.933122936006473</v>
      </c>
      <c r="AT90" s="5">
        <f t="shared" si="161"/>
        <v>2.4249396837965538</v>
      </c>
      <c r="AU90" s="177">
        <f t="shared" si="162"/>
        <v>0.4435739237023274</v>
      </c>
      <c r="AW90" s="5">
        <f t="shared" si="131"/>
        <v>4.6051229968782526</v>
      </c>
      <c r="AX90" s="5">
        <f t="shared" si="132"/>
        <v>24.155645982404696</v>
      </c>
      <c r="AY90" s="5">
        <f t="shared" si="133"/>
        <v>15.170308270746586</v>
      </c>
      <c r="AZ90" s="5">
        <f t="shared" si="134"/>
        <v>41.089037184052394</v>
      </c>
      <c r="BA90" s="5">
        <f t="shared" si="135"/>
        <v>3.9156414168835241</v>
      </c>
      <c r="BB90" s="469">
        <f t="shared" si="136"/>
        <v>237.84501279078927</v>
      </c>
      <c r="BC90" s="5"/>
      <c r="BD90" s="177">
        <f t="shared" si="163"/>
        <v>0.99110709843226086</v>
      </c>
      <c r="BE90" s="177">
        <f t="shared" si="137"/>
        <v>1.1100468791607581</v>
      </c>
      <c r="BF90" s="177">
        <f t="shared" si="138"/>
        <v>1.8223935370954158</v>
      </c>
      <c r="BG90" s="177"/>
      <c r="BH90" s="538">
        <f t="shared" si="139"/>
        <v>0.10805226086190967</v>
      </c>
      <c r="BI90" s="538">
        <f t="shared" si="140"/>
        <v>8.3983329554307318E-2</v>
      </c>
      <c r="BJ90" s="538">
        <f t="shared" si="141"/>
        <v>1.1472987967818569E-2</v>
      </c>
      <c r="BK90" s="538">
        <f t="shared" si="142"/>
        <v>4.1641439288956854E-2</v>
      </c>
      <c r="BL90">
        <f t="shared" si="143"/>
        <v>3.48E-3</v>
      </c>
      <c r="BM90">
        <f t="shared" si="144"/>
        <v>1.6062183154945999E-5</v>
      </c>
      <c r="BN90">
        <f t="shared" si="145"/>
        <v>0.25370382858967394</v>
      </c>
      <c r="BO90" s="469">
        <f t="shared" si="164"/>
        <v>253.70382858967395</v>
      </c>
      <c r="BP90" s="177">
        <f t="shared" si="146"/>
        <v>0.32129999999999997</v>
      </c>
      <c r="BQ90" s="177">
        <f t="shared" si="147"/>
        <v>0.55462500000000003</v>
      </c>
      <c r="BR90" s="538"/>
      <c r="BT90" s="469">
        <f t="shared" si="165"/>
        <v>875.92500000000007</v>
      </c>
      <c r="BU90" s="538">
        <f t="shared" si="148"/>
        <v>4.7150077467015127E-2</v>
      </c>
      <c r="BV90" s="538">
        <f t="shared" si="149"/>
        <v>0.29572897774428925</v>
      </c>
      <c r="BW90" s="538">
        <f t="shared" si="150"/>
        <v>0.79706836897131372</v>
      </c>
      <c r="BX90" s="538">
        <f t="shared" si="151"/>
        <v>0</v>
      </c>
      <c r="BY90" s="538">
        <f t="shared" si="152"/>
        <v>1.2543377512720228</v>
      </c>
      <c r="BZ90" s="538">
        <f t="shared" si="166"/>
        <v>1.1399474241826182</v>
      </c>
      <c r="CA90" s="641">
        <f t="shared" si="153"/>
        <v>7.6220704508742604E-2</v>
      </c>
      <c r="CB90" s="469">
        <f t="shared" si="167"/>
        <v>1330.5584557807654</v>
      </c>
      <c r="CC90" s="177">
        <f t="shared" si="168"/>
        <v>2.4601872843704395</v>
      </c>
      <c r="CD90" s="5">
        <f t="shared" si="169"/>
        <v>10.4635</v>
      </c>
      <c r="CE90" s="177">
        <f t="shared" si="170"/>
        <v>0.80963735579197094</v>
      </c>
      <c r="CF90" s="5">
        <f t="shared" si="171"/>
        <v>80.963735579197092</v>
      </c>
      <c r="CG90">
        <f t="shared" si="172"/>
        <v>85</v>
      </c>
      <c r="CI90" s="571">
        <f t="shared" si="154"/>
        <v>-50</v>
      </c>
      <c r="CJ90">
        <f t="shared" si="155"/>
        <v>-50</v>
      </c>
    </row>
    <row r="91" spans="5:88" x14ac:dyDescent="0.2">
      <c r="E91" s="174">
        <v>86</v>
      </c>
      <c r="F91" s="221">
        <f t="shared" si="173"/>
        <v>0.36119999999999997</v>
      </c>
      <c r="G91" s="221">
        <f t="shared" si="156"/>
        <v>0.62349999999999994</v>
      </c>
      <c r="H91" s="221">
        <f t="shared" si="105"/>
        <v>5.5985999999999994</v>
      </c>
      <c r="I91" s="221">
        <f t="shared" si="174"/>
        <v>4.9879999999999995</v>
      </c>
      <c r="J91" s="551">
        <f t="shared" si="106"/>
        <v>12</v>
      </c>
      <c r="K91" s="451">
        <f t="shared" si="107"/>
        <v>16.399999999999999</v>
      </c>
      <c r="L91" s="451">
        <f t="shared" si="108"/>
        <v>28.4</v>
      </c>
      <c r="M91" s="451"/>
      <c r="N91" s="221">
        <f t="shared" si="109"/>
        <v>0.57746478873239437</v>
      </c>
      <c r="O91" s="176">
        <f t="shared" si="157"/>
        <v>6.7612354549719109</v>
      </c>
      <c r="P91" s="176">
        <f t="shared" si="110"/>
        <v>11.390692542350877</v>
      </c>
      <c r="Q91" s="221">
        <f t="shared" si="111"/>
        <v>0.43620873903044588</v>
      </c>
      <c r="R91" s="221">
        <f t="shared" si="112"/>
        <v>0.84515443187148886</v>
      </c>
      <c r="S91" s="451">
        <f t="shared" si="113"/>
        <v>15.5</v>
      </c>
      <c r="T91" s="221">
        <f t="shared" si="114"/>
        <v>3.3949801264679307</v>
      </c>
      <c r="U91" s="221">
        <f t="shared" si="115"/>
        <v>2.5462350948509478</v>
      </c>
      <c r="V91" s="221">
        <f t="shared" si="116"/>
        <v>1.8630988498909375</v>
      </c>
      <c r="W91" s="201">
        <f t="shared" si="117"/>
        <v>350</v>
      </c>
      <c r="X91" s="451">
        <f t="shared" si="158"/>
        <v>226.79162261966945</v>
      </c>
      <c r="Z91" s="221">
        <f t="shared" si="118"/>
        <v>2.1998658618376927</v>
      </c>
      <c r="AA91" s="177">
        <f t="shared" si="119"/>
        <v>1.2072434607645877</v>
      </c>
      <c r="AB91" s="177">
        <f t="shared" si="120"/>
        <v>0.46476039334599145</v>
      </c>
      <c r="AC91" s="177"/>
      <c r="AD91" s="177">
        <f t="shared" si="121"/>
        <v>0.45</v>
      </c>
      <c r="AE91" s="555">
        <f t="shared" si="122"/>
        <v>1957.7235772357724</v>
      </c>
      <c r="AF91" s="538">
        <f t="shared" si="123"/>
        <v>6.4574999999999994E-2</v>
      </c>
      <c r="AH91" s="177">
        <f t="shared" si="124"/>
        <v>2.592614663549289</v>
      </c>
      <c r="AI91" s="177">
        <f t="shared" si="125"/>
        <v>2.592614663549289</v>
      </c>
      <c r="AJ91" s="177">
        <f t="shared" si="126"/>
        <v>2.5130478989253993</v>
      </c>
      <c r="AL91" s="555">
        <f t="shared" si="127"/>
        <v>361.2</v>
      </c>
      <c r="AM91" s="469">
        <f t="shared" si="128"/>
        <v>226.79162261966945</v>
      </c>
      <c r="AO91">
        <f t="shared" si="159"/>
        <v>361.2</v>
      </c>
      <c r="AP91">
        <f t="shared" si="129"/>
        <v>226.79162261966945</v>
      </c>
      <c r="AR91" s="5">
        <f t="shared" si="160"/>
        <v>4.4093339447418849</v>
      </c>
      <c r="AS91" s="5">
        <f t="shared" si="130"/>
        <v>1.9444609976619669</v>
      </c>
      <c r="AT91" s="5">
        <f t="shared" si="161"/>
        <v>2.4648729470799182</v>
      </c>
      <c r="AU91" s="177">
        <f t="shared" si="162"/>
        <v>0.44098746478041878</v>
      </c>
      <c r="AW91" s="5">
        <f t="shared" si="131"/>
        <v>4.6051229968782526</v>
      </c>
      <c r="AX91" s="5">
        <f t="shared" si="132"/>
        <v>24.718858641642232</v>
      </c>
      <c r="AY91" s="5">
        <f t="shared" si="133"/>
        <v>15.170308270746586</v>
      </c>
      <c r="AZ91" s="5">
        <f t="shared" si="134"/>
        <v>42.046854534706092</v>
      </c>
      <c r="BA91" s="5">
        <f t="shared" si="135"/>
        <v>4.0269481391290523</v>
      </c>
      <c r="BB91" s="469">
        <f t="shared" si="136"/>
        <v>244.55761056996533</v>
      </c>
      <c r="BC91" s="5"/>
      <c r="BD91" s="177">
        <f t="shared" si="163"/>
        <v>0.99400934647372285</v>
      </c>
      <c r="BE91" s="177">
        <f t="shared" si="137"/>
        <v>1.119149535885686</v>
      </c>
      <c r="BF91" s="177">
        <f t="shared" si="138"/>
        <v>1.8373376111677187</v>
      </c>
      <c r="BG91" s="177"/>
      <c r="BH91" s="538">
        <f t="shared" si="139"/>
        <v>0.10868600389648293</v>
      </c>
      <c r="BI91" s="538">
        <f t="shared" si="140"/>
        <v>8.3493626665092621E-2</v>
      </c>
      <c r="BJ91" s="538">
        <f t="shared" si="141"/>
        <v>1.1339581130983472E-2</v>
      </c>
      <c r="BK91" s="538">
        <f t="shared" si="142"/>
        <v>4.1157236506527133E-2</v>
      </c>
      <c r="BL91">
        <f t="shared" si="143"/>
        <v>3.48E-3</v>
      </c>
      <c r="BM91">
        <f t="shared" si="144"/>
        <v>1.5875413583376862E-5</v>
      </c>
      <c r="BN91">
        <f t="shared" si="145"/>
        <v>0.25325064940981556</v>
      </c>
      <c r="BO91" s="469">
        <f t="shared" si="164"/>
        <v>253.25064940981557</v>
      </c>
      <c r="BP91" s="177">
        <f t="shared" si="146"/>
        <v>0.32507999999999998</v>
      </c>
      <c r="BQ91" s="177">
        <f t="shared" si="147"/>
        <v>0.56114999999999993</v>
      </c>
      <c r="BR91" s="538"/>
      <c r="BT91" s="469">
        <f t="shared" si="165"/>
        <v>886.2299999999999</v>
      </c>
      <c r="BU91" s="538">
        <f t="shared" si="148"/>
        <v>4.7426619882101645E-2</v>
      </c>
      <c r="BV91" s="538">
        <f t="shared" si="149"/>
        <v>0.30059896408155512</v>
      </c>
      <c r="BW91" s="538">
        <f t="shared" si="150"/>
        <v>0.81019427937875976</v>
      </c>
      <c r="BX91" s="538">
        <f t="shared" si="151"/>
        <v>0</v>
      </c>
      <c r="BY91" s="538">
        <f t="shared" si="152"/>
        <v>1.2764969975909612</v>
      </c>
      <c r="BZ91" s="538">
        <f t="shared" si="166"/>
        <v>1.1582198633424166</v>
      </c>
      <c r="CA91" s="641">
        <f t="shared" si="153"/>
        <v>7.6220704508742632E-2</v>
      </c>
      <c r="CB91" s="469">
        <f t="shared" si="167"/>
        <v>1352.717702099704</v>
      </c>
      <c r="CC91" s="177">
        <f t="shared" si="168"/>
        <v>2.4921983515095194</v>
      </c>
      <c r="CD91" s="5">
        <f t="shared" si="169"/>
        <v>10.586599999999999</v>
      </c>
      <c r="CE91" s="177">
        <f t="shared" si="170"/>
        <v>0.80944745193491896</v>
      </c>
      <c r="CF91" s="5">
        <f t="shared" si="171"/>
        <v>80.944745193491897</v>
      </c>
      <c r="CG91">
        <f t="shared" si="172"/>
        <v>86</v>
      </c>
      <c r="CI91" s="571">
        <f t="shared" si="154"/>
        <v>-50</v>
      </c>
      <c r="CJ91">
        <f t="shared" si="155"/>
        <v>-50</v>
      </c>
    </row>
    <row r="92" spans="5:88" x14ac:dyDescent="0.2">
      <c r="E92" s="174">
        <v>87</v>
      </c>
      <c r="F92" s="221">
        <f t="shared" si="173"/>
        <v>0.3654</v>
      </c>
      <c r="G92" s="221">
        <f t="shared" si="156"/>
        <v>0.63075000000000003</v>
      </c>
      <c r="H92" s="221">
        <f t="shared" si="105"/>
        <v>5.6637000000000004</v>
      </c>
      <c r="I92" s="221">
        <f t="shared" si="174"/>
        <v>5.0460000000000003</v>
      </c>
      <c r="J92" s="551">
        <f t="shared" si="106"/>
        <v>12</v>
      </c>
      <c r="K92" s="451">
        <f t="shared" si="107"/>
        <v>16.399999999999999</v>
      </c>
      <c r="L92" s="451">
        <f t="shared" si="108"/>
        <v>28.4</v>
      </c>
      <c r="M92" s="451"/>
      <c r="N92" s="221">
        <f t="shared" si="109"/>
        <v>0.57746478873239437</v>
      </c>
      <c r="O92" s="176">
        <f t="shared" si="157"/>
        <v>6.7612354549719109</v>
      </c>
      <c r="P92" s="176">
        <f t="shared" si="110"/>
        <v>11.390692542350877</v>
      </c>
      <c r="Q92" s="221">
        <f t="shared" si="111"/>
        <v>0.43620873903044588</v>
      </c>
      <c r="R92" s="221">
        <f t="shared" si="112"/>
        <v>0.84515443187148886</v>
      </c>
      <c r="S92" s="451">
        <f t="shared" si="113"/>
        <v>15.5</v>
      </c>
      <c r="T92" s="221">
        <f t="shared" si="114"/>
        <v>3.4344566395663958</v>
      </c>
      <c r="U92" s="221">
        <f t="shared" si="115"/>
        <v>2.575842479674797</v>
      </c>
      <c r="V92" s="221">
        <f t="shared" si="116"/>
        <v>1.8847627900059489</v>
      </c>
      <c r="W92" s="201">
        <f t="shared" si="117"/>
        <v>350</v>
      </c>
      <c r="X92" s="451">
        <f t="shared" si="158"/>
        <v>224.18482235967312</v>
      </c>
      <c r="Z92" s="221">
        <f t="shared" si="118"/>
        <v>2.1998658618376927</v>
      </c>
      <c r="AA92" s="177">
        <f t="shared" si="119"/>
        <v>1.2072434607645877</v>
      </c>
      <c r="AB92" s="177">
        <f t="shared" si="120"/>
        <v>0.46476039334599145</v>
      </c>
      <c r="AC92" s="177"/>
      <c r="AD92" s="177">
        <f t="shared" si="121"/>
        <v>0.45</v>
      </c>
      <c r="AE92" s="555">
        <f t="shared" si="122"/>
        <v>1980.4878048780488</v>
      </c>
      <c r="AF92" s="538">
        <f t="shared" si="123"/>
        <v>6.4574999999999994E-2</v>
      </c>
      <c r="AH92" s="177">
        <f t="shared" si="124"/>
        <v>2.6076444396829728</v>
      </c>
      <c r="AI92" s="177">
        <f t="shared" si="125"/>
        <v>2.6076444396829728</v>
      </c>
      <c r="AJ92" s="177">
        <f t="shared" si="126"/>
        <v>2.524181066431832</v>
      </c>
      <c r="AL92" s="555">
        <f t="shared" si="127"/>
        <v>365.4</v>
      </c>
      <c r="AM92" s="469">
        <f t="shared" si="128"/>
        <v>224.18482235967312</v>
      </c>
      <c r="AO92">
        <f t="shared" si="159"/>
        <v>365.4</v>
      </c>
      <c r="AP92">
        <f t="shared" si="129"/>
        <v>224.18482235967312</v>
      </c>
      <c r="AR92" s="5">
        <f t="shared" si="160"/>
        <v>4.4606052696807472</v>
      </c>
      <c r="AS92" s="5">
        <f t="shared" si="130"/>
        <v>1.9557333297622295</v>
      </c>
      <c r="AT92" s="5">
        <f t="shared" si="161"/>
        <v>2.5048719399185178</v>
      </c>
      <c r="AU92" s="177">
        <f t="shared" si="162"/>
        <v>0.43844572911563739</v>
      </c>
      <c r="AW92" s="5">
        <f t="shared" si="131"/>
        <v>4.6051229968782526</v>
      </c>
      <c r="AX92" s="5">
        <f t="shared" si="132"/>
        <v>25.288560337829917</v>
      </c>
      <c r="AY92" s="5">
        <f t="shared" si="133"/>
        <v>15.170308270746586</v>
      </c>
      <c r="AZ92" s="5">
        <f t="shared" si="134"/>
        <v>43.015704836829435</v>
      </c>
      <c r="BA92" s="5">
        <f t="shared" si="135"/>
        <v>4.139880712182924</v>
      </c>
      <c r="BB92" s="469">
        <f t="shared" si="136"/>
        <v>251.36775939764217</v>
      </c>
      <c r="BC92" s="5"/>
      <c r="BD92" s="177">
        <f t="shared" si="163"/>
        <v>0.99688639347957164</v>
      </c>
      <c r="BE92" s="177">
        <f t="shared" si="137"/>
        <v>1.1281935530300053</v>
      </c>
      <c r="BF92" s="177">
        <f t="shared" si="138"/>
        <v>1.85218541507817</v>
      </c>
      <c r="BG92" s="177"/>
      <c r="BH92" s="538">
        <f t="shared" si="139"/>
        <v>0.10931607296551782</v>
      </c>
      <c r="BI92" s="538">
        <f t="shared" si="140"/>
        <v>8.3012391379227363E-2</v>
      </c>
      <c r="BJ92" s="538">
        <f t="shared" si="141"/>
        <v>1.1209241117983656E-2</v>
      </c>
      <c r="BK92" s="538">
        <f t="shared" si="142"/>
        <v>4.0684164822544035E-2</v>
      </c>
      <c r="BL92">
        <f t="shared" si="143"/>
        <v>3.48E-3</v>
      </c>
      <c r="BM92">
        <f t="shared" si="144"/>
        <v>1.5692937565177118E-5</v>
      </c>
      <c r="BN92">
        <f t="shared" si="145"/>
        <v>0.25281657405063529</v>
      </c>
      <c r="BO92" s="469">
        <f t="shared" si="164"/>
        <v>252.8165740506353</v>
      </c>
      <c r="BP92" s="177">
        <f t="shared" si="146"/>
        <v>0.32885999999999999</v>
      </c>
      <c r="BQ92" s="177">
        <f t="shared" si="147"/>
        <v>0.56767500000000004</v>
      </c>
      <c r="BR92" s="538"/>
      <c r="BT92" s="469">
        <f t="shared" si="165"/>
        <v>896.53500000000008</v>
      </c>
      <c r="BU92" s="538">
        <f t="shared" si="148"/>
        <v>4.7701559112225955E-2</v>
      </c>
      <c r="BV92" s="538">
        <f t="shared" si="149"/>
        <v>0.30547696634363219</v>
      </c>
      <c r="BW92" s="538">
        <f t="shared" si="150"/>
        <v>0.82334179483879033</v>
      </c>
      <c r="BX92" s="538">
        <f t="shared" si="151"/>
        <v>0</v>
      </c>
      <c r="BY92" s="538">
        <f t="shared" si="152"/>
        <v>1.2987619017889902</v>
      </c>
      <c r="BZ92" s="538">
        <f t="shared" si="166"/>
        <v>1.1765203202946486</v>
      </c>
      <c r="CA92" s="641">
        <f t="shared" si="153"/>
        <v>7.6220704508742604E-2</v>
      </c>
      <c r="CB92" s="469">
        <f t="shared" si="167"/>
        <v>1374.9826062977329</v>
      </c>
      <c r="CC92" s="177">
        <f t="shared" si="168"/>
        <v>2.5243341803483683</v>
      </c>
      <c r="CD92" s="5">
        <f t="shared" si="169"/>
        <v>10.709700000000002</v>
      </c>
      <c r="CE92" s="177">
        <f t="shared" si="170"/>
        <v>0.80925437051561866</v>
      </c>
      <c r="CF92" s="5">
        <f t="shared" si="171"/>
        <v>80.925437051561872</v>
      </c>
      <c r="CG92">
        <f t="shared" si="172"/>
        <v>87</v>
      </c>
      <c r="CI92" s="571">
        <f t="shared" si="154"/>
        <v>-50</v>
      </c>
      <c r="CJ92">
        <f t="shared" si="155"/>
        <v>-50</v>
      </c>
    </row>
    <row r="93" spans="5:88" x14ac:dyDescent="0.2">
      <c r="E93" s="174">
        <v>88</v>
      </c>
      <c r="F93" s="221">
        <f t="shared" si="173"/>
        <v>0.36959999999999998</v>
      </c>
      <c r="G93" s="221">
        <f t="shared" si="156"/>
        <v>0.63800000000000001</v>
      </c>
      <c r="H93" s="221">
        <f t="shared" si="105"/>
        <v>5.7287999999999997</v>
      </c>
      <c r="I93" s="221">
        <f t="shared" si="174"/>
        <v>5.1040000000000001</v>
      </c>
      <c r="J93" s="551">
        <f t="shared" si="106"/>
        <v>12</v>
      </c>
      <c r="K93" s="451">
        <f t="shared" si="107"/>
        <v>16.399999999999999</v>
      </c>
      <c r="L93" s="451">
        <f t="shared" si="108"/>
        <v>28.4</v>
      </c>
      <c r="M93" s="451"/>
      <c r="N93" s="221">
        <f t="shared" si="109"/>
        <v>0.57746478873239437</v>
      </c>
      <c r="O93" s="176">
        <f t="shared" si="157"/>
        <v>6.7612354549719109</v>
      </c>
      <c r="P93" s="176">
        <f t="shared" si="110"/>
        <v>11.390692542350877</v>
      </c>
      <c r="Q93" s="221">
        <f t="shared" si="111"/>
        <v>0.43620873903044588</v>
      </c>
      <c r="R93" s="221">
        <f t="shared" si="112"/>
        <v>0.84515443187148886</v>
      </c>
      <c r="S93" s="451">
        <f t="shared" si="113"/>
        <v>15.5</v>
      </c>
      <c r="T93" s="221">
        <f t="shared" si="114"/>
        <v>3.4739331526648591</v>
      </c>
      <c r="U93" s="221">
        <f t="shared" si="115"/>
        <v>2.6054498644986444</v>
      </c>
      <c r="V93" s="221">
        <f t="shared" si="116"/>
        <v>1.9064267301209594</v>
      </c>
      <c r="W93" s="201">
        <f t="shared" si="117"/>
        <v>350</v>
      </c>
      <c r="X93" s="451">
        <f t="shared" si="158"/>
        <v>221.63726756013148</v>
      </c>
      <c r="Z93" s="221">
        <f t="shared" si="118"/>
        <v>2.1998658618376927</v>
      </c>
      <c r="AA93" s="177">
        <f t="shared" si="119"/>
        <v>1.2072434607645877</v>
      </c>
      <c r="AB93" s="177">
        <f t="shared" si="120"/>
        <v>0.46476039334599145</v>
      </c>
      <c r="AC93" s="177"/>
      <c r="AD93" s="177">
        <f t="shared" si="121"/>
        <v>0.45</v>
      </c>
      <c r="AE93" s="555">
        <f t="shared" si="122"/>
        <v>2003.2520325203252</v>
      </c>
      <c r="AF93" s="538">
        <f t="shared" si="123"/>
        <v>6.4574999999999994E-2</v>
      </c>
      <c r="AH93" s="177">
        <f t="shared" si="124"/>
        <v>2.6225880831667512</v>
      </c>
      <c r="AI93" s="177">
        <f t="shared" si="125"/>
        <v>2.6225880831667512</v>
      </c>
      <c r="AJ93" s="177">
        <f t="shared" si="126"/>
        <v>2.5352504319753715</v>
      </c>
      <c r="AL93" s="555">
        <f t="shared" si="127"/>
        <v>369.59999999999997</v>
      </c>
      <c r="AM93" s="469">
        <f t="shared" si="128"/>
        <v>221.63726756013148</v>
      </c>
      <c r="AO93">
        <f t="shared" si="159"/>
        <v>369.59999999999997</v>
      </c>
      <c r="AP93">
        <f t="shared" si="129"/>
        <v>221.63726756013148</v>
      </c>
      <c r="AR93" s="5">
        <f t="shared" si="160"/>
        <v>4.5118765946196042</v>
      </c>
      <c r="AS93" s="5">
        <f t="shared" si="130"/>
        <v>1.9669410623750634</v>
      </c>
      <c r="AT93" s="5">
        <f t="shared" si="161"/>
        <v>2.5449355322445406</v>
      </c>
      <c r="AU93" s="177">
        <f t="shared" si="162"/>
        <v>0.43594744251663115</v>
      </c>
      <c r="AW93" s="5">
        <f t="shared" si="131"/>
        <v>4.6051229968782526</v>
      </c>
      <c r="AX93" s="5">
        <f t="shared" si="132"/>
        <v>25.864751070967749</v>
      </c>
      <c r="AY93" s="5">
        <f t="shared" si="133"/>
        <v>15.170308270746586</v>
      </c>
      <c r="AZ93" s="5">
        <f t="shared" si="134"/>
        <v>43.995588090422395</v>
      </c>
      <c r="BA93" s="5">
        <f t="shared" si="135"/>
        <v>4.2544409928547307</v>
      </c>
      <c r="BB93" s="469">
        <f t="shared" si="136"/>
        <v>258.27557068239497</v>
      </c>
      <c r="BC93" s="5"/>
      <c r="BD93" s="177">
        <f t="shared" si="163"/>
        <v>0.99973874421071285</v>
      </c>
      <c r="BE93" s="177">
        <f t="shared" si="137"/>
        <v>1.1371800771997687</v>
      </c>
      <c r="BF93" s="177">
        <f t="shared" si="138"/>
        <v>1.8669388312404767</v>
      </c>
      <c r="BG93" s="177"/>
      <c r="BH93" s="538">
        <f t="shared" si="139"/>
        <v>0.10994253123436144</v>
      </c>
      <c r="BI93" s="538">
        <f t="shared" si="140"/>
        <v>8.2539382449815499E-2</v>
      </c>
      <c r="BJ93" s="538">
        <f t="shared" si="141"/>
        <v>1.1081863378006573E-2</v>
      </c>
      <c r="BK93" s="538">
        <f t="shared" si="142"/>
        <v>4.0221844767742411E-2</v>
      </c>
      <c r="BL93">
        <f t="shared" si="143"/>
        <v>3.48E-3</v>
      </c>
      <c r="BM93">
        <f t="shared" si="144"/>
        <v>1.5514608729209205E-5</v>
      </c>
      <c r="BN93">
        <f t="shared" si="145"/>
        <v>0.25240093725635054</v>
      </c>
      <c r="BO93" s="469">
        <f t="shared" si="164"/>
        <v>252.40093725635055</v>
      </c>
      <c r="BP93" s="177">
        <f t="shared" si="146"/>
        <v>0.33263999999999999</v>
      </c>
      <c r="BQ93" s="177">
        <f t="shared" si="147"/>
        <v>0.57420000000000004</v>
      </c>
      <c r="BR93" s="538"/>
      <c r="BT93" s="469">
        <f t="shared" si="165"/>
        <v>906.84000000000015</v>
      </c>
      <c r="BU93" s="538">
        <f t="shared" si="148"/>
        <v>4.7974922720448628E-2</v>
      </c>
      <c r="BV93" s="538">
        <f t="shared" si="149"/>
        <v>0.31036284671521724</v>
      </c>
      <c r="BW93" s="538">
        <f t="shared" si="150"/>
        <v>0.83651054390245361</v>
      </c>
      <c r="BX93" s="538">
        <f t="shared" si="151"/>
        <v>0</v>
      </c>
      <c r="BY93" s="538">
        <f t="shared" si="152"/>
        <v>1.3211325536080967</v>
      </c>
      <c r="BZ93" s="538">
        <f t="shared" si="166"/>
        <v>1.1948483133381194</v>
      </c>
      <c r="CA93" s="641">
        <f t="shared" si="153"/>
        <v>7.6220704508742632E-2</v>
      </c>
      <c r="CB93" s="469">
        <f t="shared" si="167"/>
        <v>1397.3532581168392</v>
      </c>
      <c r="CC93" s="177">
        <f t="shared" si="168"/>
        <v>2.5565941953731897</v>
      </c>
      <c r="CD93" s="5">
        <f t="shared" si="169"/>
        <v>10.832799999999999</v>
      </c>
      <c r="CE93" s="177">
        <f t="shared" si="170"/>
        <v>0.80905826222842547</v>
      </c>
      <c r="CF93" s="5">
        <f t="shared" si="171"/>
        <v>80.905826222842549</v>
      </c>
      <c r="CG93">
        <f t="shared" si="172"/>
        <v>88</v>
      </c>
      <c r="CI93" s="571">
        <f t="shared" si="154"/>
        <v>-50</v>
      </c>
      <c r="CJ93">
        <f t="shared" si="155"/>
        <v>-50</v>
      </c>
    </row>
    <row r="94" spans="5:88" x14ac:dyDescent="0.2">
      <c r="E94" s="174">
        <v>89</v>
      </c>
      <c r="F94" s="221">
        <f t="shared" si="173"/>
        <v>0.37379999999999997</v>
      </c>
      <c r="G94" s="221">
        <f t="shared" si="156"/>
        <v>0.64524999999999999</v>
      </c>
      <c r="H94" s="221">
        <f t="shared" si="105"/>
        <v>5.7938999999999998</v>
      </c>
      <c r="I94" s="221">
        <f t="shared" si="174"/>
        <v>5.1619999999999999</v>
      </c>
      <c r="J94" s="551">
        <f t="shared" si="106"/>
        <v>12</v>
      </c>
      <c r="K94" s="451">
        <f t="shared" si="107"/>
        <v>16.399999999999999</v>
      </c>
      <c r="L94" s="451">
        <f t="shared" si="108"/>
        <v>28.4</v>
      </c>
      <c r="M94" s="451"/>
      <c r="N94" s="221">
        <f t="shared" si="109"/>
        <v>0.57746478873239437</v>
      </c>
      <c r="O94" s="176">
        <f t="shared" si="157"/>
        <v>6.7612354549719109</v>
      </c>
      <c r="P94" s="176">
        <f t="shared" si="110"/>
        <v>11.390692542350877</v>
      </c>
      <c r="Q94" s="221">
        <f t="shared" si="111"/>
        <v>0.43620873903044588</v>
      </c>
      <c r="R94" s="221">
        <f t="shared" si="112"/>
        <v>0.84515443187148886</v>
      </c>
      <c r="S94" s="451">
        <f t="shared" si="113"/>
        <v>15.5</v>
      </c>
      <c r="T94" s="221">
        <f t="shared" si="114"/>
        <v>3.5134096657633238</v>
      </c>
      <c r="U94" s="221">
        <f t="shared" si="115"/>
        <v>2.6350572493224931</v>
      </c>
      <c r="V94" s="221">
        <f t="shared" si="116"/>
        <v>1.9280906702359708</v>
      </c>
      <c r="W94" s="201">
        <f t="shared" si="117"/>
        <v>350</v>
      </c>
      <c r="X94" s="451">
        <f t="shared" si="158"/>
        <v>219.1469611830513</v>
      </c>
      <c r="Z94" s="221">
        <f t="shared" si="118"/>
        <v>2.1998658618376927</v>
      </c>
      <c r="AA94" s="177">
        <f t="shared" si="119"/>
        <v>1.2072434607645877</v>
      </c>
      <c r="AB94" s="177">
        <f t="shared" si="120"/>
        <v>0.46476039334599145</v>
      </c>
      <c r="AC94" s="177"/>
      <c r="AD94" s="177">
        <f t="shared" si="121"/>
        <v>0.45</v>
      </c>
      <c r="AE94" s="555">
        <f t="shared" si="122"/>
        <v>2026.0162601626016</v>
      </c>
      <c r="AF94" s="538">
        <f t="shared" si="123"/>
        <v>6.4574999999999994E-2</v>
      </c>
      <c r="AH94" s="177">
        <f t="shared" si="124"/>
        <v>2.6374470580709266</v>
      </c>
      <c r="AI94" s="177">
        <f t="shared" si="125"/>
        <v>2.6374470580709266</v>
      </c>
      <c r="AJ94" s="177">
        <f t="shared" si="126"/>
        <v>2.5462570800525386</v>
      </c>
      <c r="AL94" s="555">
        <f t="shared" si="127"/>
        <v>373.79999999999995</v>
      </c>
      <c r="AM94" s="469">
        <f t="shared" si="128"/>
        <v>219.1469611830513</v>
      </c>
      <c r="AO94">
        <f t="shared" si="159"/>
        <v>373.79999999999995</v>
      </c>
      <c r="AP94">
        <f t="shared" si="129"/>
        <v>219.1469611830513</v>
      </c>
      <c r="AR94" s="5">
        <f t="shared" si="160"/>
        <v>4.5631479195584639</v>
      </c>
      <c r="AS94" s="5">
        <f t="shared" si="130"/>
        <v>1.9780852935531947</v>
      </c>
      <c r="AT94" s="5">
        <f t="shared" si="161"/>
        <v>2.5850626260052691</v>
      </c>
      <c r="AU94" s="177">
        <f t="shared" si="162"/>
        <v>0.43349138104306661</v>
      </c>
      <c r="AW94" s="5">
        <f t="shared" si="131"/>
        <v>4.6051229968782526</v>
      </c>
      <c r="AX94" s="5">
        <f t="shared" si="132"/>
        <v>26.447430841055724</v>
      </c>
      <c r="AY94" s="5">
        <f t="shared" si="133"/>
        <v>15.170308270746586</v>
      </c>
      <c r="AZ94" s="5">
        <f t="shared" si="134"/>
        <v>44.986504295484991</v>
      </c>
      <c r="BA94" s="5">
        <f t="shared" si="135"/>
        <v>4.3706308062115928</v>
      </c>
      <c r="BB94" s="469">
        <f t="shared" si="136"/>
        <v>265.28115392825111</v>
      </c>
      <c r="BC94" s="5"/>
      <c r="BD94" s="177">
        <f t="shared" si="163"/>
        <v>1.002566887720407</v>
      </c>
      <c r="BE94" s="177">
        <f t="shared" si="137"/>
        <v>1.1461102173681257</v>
      </c>
      <c r="BF94" s="177">
        <f t="shared" si="138"/>
        <v>1.8815996802854054</v>
      </c>
      <c r="BG94" s="177"/>
      <c r="BH94" s="538">
        <f t="shared" si="139"/>
        <v>0.11056544007887215</v>
      </c>
      <c r="BI94" s="538">
        <f t="shared" si="140"/>
        <v>8.2074368144153961E-2</v>
      </c>
      <c r="BJ94" s="538">
        <f t="shared" si="141"/>
        <v>1.0957348059152565E-2</v>
      </c>
      <c r="BK94" s="538">
        <f t="shared" si="142"/>
        <v>3.9769913927655415E-2</v>
      </c>
      <c r="BL94">
        <f t="shared" si="143"/>
        <v>3.48E-3</v>
      </c>
      <c r="BM94">
        <f t="shared" si="144"/>
        <v>1.5340287282813592E-5</v>
      </c>
      <c r="BN94">
        <f t="shared" si="145"/>
        <v>0.25200310337489296</v>
      </c>
      <c r="BO94" s="469">
        <f t="shared" si="164"/>
        <v>252.00310337489296</v>
      </c>
      <c r="BP94" s="177">
        <f t="shared" si="146"/>
        <v>0.33642</v>
      </c>
      <c r="BQ94" s="177">
        <f t="shared" si="147"/>
        <v>0.58072500000000005</v>
      </c>
      <c r="BR94" s="538"/>
      <c r="BT94" s="469">
        <f t="shared" si="165"/>
        <v>917.1450000000001</v>
      </c>
      <c r="BU94" s="538">
        <f t="shared" si="148"/>
        <v>4.8246737488962396E-2</v>
      </c>
      <c r="BV94" s="538">
        <f t="shared" si="149"/>
        <v>0.3152564712853469</v>
      </c>
      <c r="BW94" s="538">
        <f t="shared" si="150"/>
        <v>0.8497001656440335</v>
      </c>
      <c r="BX94" s="538">
        <f t="shared" si="151"/>
        <v>0</v>
      </c>
      <c r="BY94" s="538">
        <f t="shared" si="152"/>
        <v>1.3436090578488442</v>
      </c>
      <c r="BZ94" s="538">
        <f t="shared" si="166"/>
        <v>1.2132033744183428</v>
      </c>
      <c r="CA94" s="641">
        <f t="shared" si="153"/>
        <v>7.6220704508742632E-2</v>
      </c>
      <c r="CB94" s="469">
        <f t="shared" si="167"/>
        <v>1419.8297623575868</v>
      </c>
      <c r="CC94" s="177">
        <f t="shared" si="168"/>
        <v>2.5889778657324798</v>
      </c>
      <c r="CD94" s="5">
        <f t="shared" si="169"/>
        <v>10.9559</v>
      </c>
      <c r="CE94" s="177">
        <f t="shared" si="170"/>
        <v>0.80885926832294308</v>
      </c>
      <c r="CF94" s="5">
        <f t="shared" si="171"/>
        <v>80.885926832294302</v>
      </c>
      <c r="CG94">
        <f t="shared" si="172"/>
        <v>88.999999999999986</v>
      </c>
      <c r="CI94" s="571">
        <f t="shared" si="154"/>
        <v>-50</v>
      </c>
      <c r="CJ94">
        <f t="shared" si="155"/>
        <v>-50</v>
      </c>
    </row>
    <row r="95" spans="5:88" x14ac:dyDescent="0.2">
      <c r="E95" s="174">
        <v>90</v>
      </c>
      <c r="F95" s="221">
        <f t="shared" si="173"/>
        <v>0.378</v>
      </c>
      <c r="G95" s="221">
        <f t="shared" si="156"/>
        <v>0.65249999999999997</v>
      </c>
      <c r="H95" s="221">
        <f t="shared" si="105"/>
        <v>5.859</v>
      </c>
      <c r="I95" s="221">
        <f t="shared" si="174"/>
        <v>5.22</v>
      </c>
      <c r="J95" s="551">
        <f t="shared" si="106"/>
        <v>12</v>
      </c>
      <c r="K95" s="451">
        <f t="shared" si="107"/>
        <v>16.399999999999999</v>
      </c>
      <c r="L95" s="451">
        <f t="shared" si="108"/>
        <v>28.4</v>
      </c>
      <c r="M95" s="451"/>
      <c r="N95" s="221">
        <f t="shared" si="109"/>
        <v>0.57746478873239437</v>
      </c>
      <c r="O95" s="176">
        <f t="shared" si="157"/>
        <v>6.7612354549719109</v>
      </c>
      <c r="P95" s="176">
        <f t="shared" si="110"/>
        <v>11.390692542350877</v>
      </c>
      <c r="Q95" s="221">
        <f t="shared" si="111"/>
        <v>0.43620873903044588</v>
      </c>
      <c r="R95" s="221">
        <f t="shared" si="112"/>
        <v>0.84515443187148886</v>
      </c>
      <c r="S95" s="451">
        <f t="shared" si="113"/>
        <v>15.5</v>
      </c>
      <c r="T95" s="221">
        <f t="shared" si="114"/>
        <v>3.5528861788617885</v>
      </c>
      <c r="U95" s="221">
        <f t="shared" si="115"/>
        <v>2.6646646341463418</v>
      </c>
      <c r="V95" s="221">
        <f t="shared" si="116"/>
        <v>1.949754610350982</v>
      </c>
      <c r="W95" s="201">
        <f t="shared" si="117"/>
        <v>350</v>
      </c>
      <c r="X95" s="451">
        <f t="shared" si="158"/>
        <v>216.71199494768405</v>
      </c>
      <c r="Z95" s="221">
        <f t="shared" si="118"/>
        <v>2.1998658618376927</v>
      </c>
      <c r="AA95" s="177">
        <f t="shared" si="119"/>
        <v>1.2072434607645877</v>
      </c>
      <c r="AB95" s="177">
        <f t="shared" si="120"/>
        <v>0.46476039334599145</v>
      </c>
      <c r="AC95" s="177"/>
      <c r="AD95" s="177">
        <f t="shared" si="121"/>
        <v>0.45</v>
      </c>
      <c r="AE95" s="555">
        <f t="shared" si="122"/>
        <v>2048.7804878048782</v>
      </c>
      <c r="AF95" s="538">
        <f t="shared" si="123"/>
        <v>6.4574999999999994E-2</v>
      </c>
      <c r="AH95" s="177">
        <f t="shared" si="124"/>
        <v>2.6522227874531419</v>
      </c>
      <c r="AI95" s="177">
        <f t="shared" si="125"/>
        <v>2.6522227874531419</v>
      </c>
      <c r="AJ95" s="177">
        <f t="shared" si="126"/>
        <v>2.557202064780105</v>
      </c>
      <c r="AL95" s="555">
        <f t="shared" si="127"/>
        <v>378</v>
      </c>
      <c r="AM95" s="469">
        <f t="shared" si="128"/>
        <v>216.71199494768405</v>
      </c>
      <c r="AO95">
        <f t="shared" si="159"/>
        <v>378</v>
      </c>
      <c r="AP95">
        <f t="shared" si="129"/>
        <v>216.71199494768405</v>
      </c>
      <c r="AR95" s="5">
        <f t="shared" si="160"/>
        <v>4.6144192444973235</v>
      </c>
      <c r="AS95" s="5">
        <f t="shared" si="130"/>
        <v>1.9891670905898566</v>
      </c>
      <c r="AT95" s="5">
        <f t="shared" si="161"/>
        <v>2.6252521539074669</v>
      </c>
      <c r="AU95" s="177">
        <f t="shared" si="162"/>
        <v>0.43107636848600839</v>
      </c>
      <c r="AW95" s="5">
        <f t="shared" si="131"/>
        <v>4.6051229968782526</v>
      </c>
      <c r="AX95" s="5">
        <f t="shared" si="132"/>
        <v>27.036599648093851</v>
      </c>
      <c r="AY95" s="5">
        <f t="shared" si="133"/>
        <v>15.170308270746586</v>
      </c>
      <c r="AZ95" s="5">
        <f t="shared" si="134"/>
        <v>45.988453452017218</v>
      </c>
      <c r="BA95" s="5">
        <f t="shared" si="135"/>
        <v>4.4884519464723498</v>
      </c>
      <c r="BB95" s="469">
        <f t="shared" si="136"/>
        <v>272.38461678834102</v>
      </c>
      <c r="BC95" s="5"/>
      <c r="BD95" s="177">
        <f t="shared" si="163"/>
        <v>1.0053712980133747</v>
      </c>
      <c r="BE95" s="177">
        <f t="shared" si="137"/>
        <v>1.1549850466100446</v>
      </c>
      <c r="BF95" s="177">
        <f t="shared" si="138"/>
        <v>1.8961697239087216</v>
      </c>
      <c r="BG95" s="177"/>
      <c r="BH95" s="538">
        <f t="shared" si="139"/>
        <v>0.11118485915560077</v>
      </c>
      <c r="BI95" s="538">
        <f t="shared" si="140"/>
        <v>8.1617125766684243E-2</v>
      </c>
      <c r="BJ95" s="538">
        <f t="shared" si="141"/>
        <v>1.0835599747384203E-2</v>
      </c>
      <c r="BK95" s="538">
        <f t="shared" si="142"/>
        <v>3.9328025995125908E-2</v>
      </c>
      <c r="BL95">
        <f t="shared" si="143"/>
        <v>3.48E-3</v>
      </c>
      <c r="BM95">
        <f t="shared" si="144"/>
        <v>1.5169839646337884E-5</v>
      </c>
      <c r="BN95">
        <f t="shared" si="145"/>
        <v>0.25162246473617461</v>
      </c>
      <c r="BO95" s="469">
        <f t="shared" si="164"/>
        <v>251.62246473617461</v>
      </c>
      <c r="BP95" s="177">
        <f t="shared" si="146"/>
        <v>0.3402</v>
      </c>
      <c r="BQ95" s="177">
        <f t="shared" si="147"/>
        <v>0.58724999999999994</v>
      </c>
      <c r="BR95" s="538"/>
      <c r="BT95" s="469">
        <f t="shared" si="165"/>
        <v>927.44999999999993</v>
      </c>
      <c r="BU95" s="538">
        <f t="shared" si="148"/>
        <v>4.8517029449716698E-2</v>
      </c>
      <c r="BV95" s="538">
        <f t="shared" si="149"/>
        <v>0.32015770989427367</v>
      </c>
      <c r="BW95" s="538">
        <f t="shared" si="150"/>
        <v>0.86291030924833856</v>
      </c>
      <c r="BX95" s="538">
        <f t="shared" si="151"/>
        <v>0</v>
      </c>
      <c r="BY95" s="538">
        <f t="shared" si="152"/>
        <v>1.3661915339282891</v>
      </c>
      <c r="BZ95" s="538">
        <f t="shared" si="166"/>
        <v>1.231585048592329</v>
      </c>
      <c r="CA95" s="641">
        <f t="shared" si="153"/>
        <v>7.622070450874259E-2</v>
      </c>
      <c r="CB95" s="469">
        <f t="shared" si="167"/>
        <v>1442.4122384370316</v>
      </c>
      <c r="CC95" s="177">
        <f t="shared" si="168"/>
        <v>2.621484703173206</v>
      </c>
      <c r="CD95" s="5">
        <f t="shared" si="169"/>
        <v>11.079000000000001</v>
      </c>
      <c r="CE95" s="177">
        <f t="shared" si="170"/>
        <v>0.80865752125061408</v>
      </c>
      <c r="CF95" s="5">
        <f t="shared" si="171"/>
        <v>80.865752125061405</v>
      </c>
      <c r="CG95">
        <f t="shared" si="172"/>
        <v>90</v>
      </c>
      <c r="CI95" s="571">
        <f t="shared" si="154"/>
        <v>-50</v>
      </c>
      <c r="CJ95">
        <f t="shared" si="155"/>
        <v>-50</v>
      </c>
    </row>
    <row r="96" spans="5:88" x14ac:dyDescent="0.2">
      <c r="E96" s="174">
        <v>91</v>
      </c>
      <c r="F96" s="221">
        <f t="shared" si="173"/>
        <v>0.38219999999999998</v>
      </c>
      <c r="G96" s="221">
        <f t="shared" si="156"/>
        <v>0.65974999999999995</v>
      </c>
      <c r="H96" s="221">
        <f t="shared" si="105"/>
        <v>5.9241000000000001</v>
      </c>
      <c r="I96" s="221">
        <f t="shared" si="174"/>
        <v>5.2779999999999996</v>
      </c>
      <c r="J96" s="551">
        <f t="shared" si="106"/>
        <v>12</v>
      </c>
      <c r="K96" s="451">
        <f t="shared" si="107"/>
        <v>16.399999999999999</v>
      </c>
      <c r="L96" s="451">
        <f t="shared" si="108"/>
        <v>28.4</v>
      </c>
      <c r="M96" s="451"/>
      <c r="N96" s="221">
        <f t="shared" si="109"/>
        <v>0.57746478873239437</v>
      </c>
      <c r="O96" s="176">
        <f t="shared" si="157"/>
        <v>6.7612354549719109</v>
      </c>
      <c r="P96" s="176">
        <f t="shared" si="110"/>
        <v>11.390692542350877</v>
      </c>
      <c r="Q96" s="221">
        <f t="shared" si="111"/>
        <v>0.43620873903044588</v>
      </c>
      <c r="R96" s="221">
        <f t="shared" si="112"/>
        <v>0.84515443187148886</v>
      </c>
      <c r="S96" s="451">
        <f t="shared" si="113"/>
        <v>15.5</v>
      </c>
      <c r="T96" s="221">
        <f t="shared" si="114"/>
        <v>3.5923626919602527</v>
      </c>
      <c r="U96" s="221">
        <f t="shared" si="115"/>
        <v>2.6942720189701896</v>
      </c>
      <c r="V96" s="221">
        <f t="shared" si="116"/>
        <v>1.9714185504659927</v>
      </c>
      <c r="W96" s="201">
        <f t="shared" si="117"/>
        <v>350</v>
      </c>
      <c r="X96" s="451">
        <f t="shared" si="158"/>
        <v>214.33054445375348</v>
      </c>
      <c r="Z96" s="221">
        <f t="shared" si="118"/>
        <v>2.1998658618376927</v>
      </c>
      <c r="AA96" s="177">
        <f t="shared" si="119"/>
        <v>1.2072434607645877</v>
      </c>
      <c r="AB96" s="177">
        <f t="shared" si="120"/>
        <v>0.46476039334599145</v>
      </c>
      <c r="AC96" s="177"/>
      <c r="AD96" s="177">
        <f t="shared" si="121"/>
        <v>0.45</v>
      </c>
      <c r="AE96" s="555">
        <f t="shared" si="122"/>
        <v>2071.5447154471544</v>
      </c>
      <c r="AF96" s="538">
        <f t="shared" si="123"/>
        <v>6.4574999999999994E-2</v>
      </c>
      <c r="AH96" s="177">
        <f t="shared" si="124"/>
        <v>2.6669166549490151</v>
      </c>
      <c r="AI96" s="177">
        <f t="shared" si="125"/>
        <v>2.6669166549490151</v>
      </c>
      <c r="AJ96" s="177">
        <f t="shared" si="126"/>
        <v>2.5680864110733443</v>
      </c>
      <c r="AL96" s="555">
        <f t="shared" si="127"/>
        <v>382.2</v>
      </c>
      <c r="AM96" s="469">
        <f t="shared" si="128"/>
        <v>214.33054445375348</v>
      </c>
      <c r="AO96">
        <f t="shared" si="159"/>
        <v>382.2</v>
      </c>
      <c r="AP96">
        <f t="shared" si="129"/>
        <v>214.33054445375348</v>
      </c>
      <c r="AR96" s="5">
        <f t="shared" si="160"/>
        <v>4.6656905694361823</v>
      </c>
      <c r="AS96" s="5">
        <f t="shared" si="130"/>
        <v>2.0001874912117614</v>
      </c>
      <c r="AT96" s="5">
        <f t="shared" si="161"/>
        <v>2.6655030782244209</v>
      </c>
      <c r="AU96" s="177">
        <f t="shared" si="162"/>
        <v>0.42870127400100405</v>
      </c>
      <c r="AW96" s="5">
        <f t="shared" si="131"/>
        <v>4.6051229968782526</v>
      </c>
      <c r="AX96" s="5">
        <f t="shared" si="132"/>
        <v>27.632257492082118</v>
      </c>
      <c r="AY96" s="5">
        <f t="shared" si="133"/>
        <v>15.170308270746586</v>
      </c>
      <c r="AZ96" s="5">
        <f t="shared" si="134"/>
        <v>47.001435560019083</v>
      </c>
      <c r="BA96" s="5">
        <f t="shared" si="135"/>
        <v>4.6079061778669406</v>
      </c>
      <c r="BB96" s="469">
        <f t="shared" si="136"/>
        <v>279.58606511646087</v>
      </c>
      <c r="BC96" s="5"/>
      <c r="BD96" s="177">
        <f t="shared" si="163"/>
        <v>1.0081524346702564</v>
      </c>
      <c r="BE96" s="177">
        <f t="shared" si="137"/>
        <v>1.163805603734253</v>
      </c>
      <c r="BF96" s="177">
        <f t="shared" si="138"/>
        <v>1.9106506675503914</v>
      </c>
      <c r="BG96" s="177"/>
      <c r="BH96" s="538">
        <f t="shared" si="139"/>
        <v>0.11180084646847223</v>
      </c>
      <c r="BI96" s="538">
        <f t="shared" si="140"/>
        <v>8.1167441210856769E-2</v>
      </c>
      <c r="BJ96" s="538">
        <f t="shared" si="141"/>
        <v>1.0716527222687672E-2</v>
      </c>
      <c r="BK96" s="538">
        <f t="shared" si="142"/>
        <v>3.8895849885289359E-2</v>
      </c>
      <c r="BL96">
        <f t="shared" si="143"/>
        <v>3.48E-3</v>
      </c>
      <c r="BM96">
        <f t="shared" si="144"/>
        <v>1.5003138111762744E-5</v>
      </c>
      <c r="BN96">
        <f t="shared" si="145"/>
        <v>0.25125844013583692</v>
      </c>
      <c r="BO96" s="469">
        <f t="shared" si="164"/>
        <v>251.25844013583693</v>
      </c>
      <c r="BP96" s="177">
        <f t="shared" si="146"/>
        <v>0.34398000000000001</v>
      </c>
      <c r="BQ96" s="177">
        <f t="shared" si="147"/>
        <v>0.59377499999999994</v>
      </c>
      <c r="BR96" s="538"/>
      <c r="BT96" s="469">
        <f t="shared" si="165"/>
        <v>937.75499999999988</v>
      </c>
      <c r="BU96" s="538">
        <f t="shared" si="148"/>
        <v>4.8785823913515151E-2</v>
      </c>
      <c r="BV96" s="538">
        <f t="shared" si="149"/>
        <v>0.3250664359879798</v>
      </c>
      <c r="BW96" s="538">
        <f t="shared" si="150"/>
        <v>0.87614063361858141</v>
      </c>
      <c r="BX96" s="538">
        <f t="shared" si="151"/>
        <v>0</v>
      </c>
      <c r="BY96" s="538">
        <f t="shared" si="152"/>
        <v>1.3888801154624266</v>
      </c>
      <c r="BZ96" s="538">
        <f t="shared" si="166"/>
        <v>1.2499928935200764</v>
      </c>
      <c r="CA96" s="641">
        <f t="shared" si="153"/>
        <v>7.6220704508742604E-2</v>
      </c>
      <c r="CB96" s="469">
        <f t="shared" si="167"/>
        <v>1465.1008199711694</v>
      </c>
      <c r="CC96" s="177">
        <f t="shared" si="168"/>
        <v>2.654114260107006</v>
      </c>
      <c r="CD96" s="5">
        <f t="shared" si="169"/>
        <v>11.2021</v>
      </c>
      <c r="CE96" s="177">
        <f t="shared" si="170"/>
        <v>0.80845314526144541</v>
      </c>
      <c r="CF96" s="5">
        <f t="shared" si="171"/>
        <v>80.845314526144534</v>
      </c>
      <c r="CG96">
        <f t="shared" si="172"/>
        <v>91</v>
      </c>
      <c r="CI96" s="571">
        <f t="shared" si="154"/>
        <v>-50</v>
      </c>
      <c r="CJ96">
        <f t="shared" si="155"/>
        <v>-50</v>
      </c>
    </row>
    <row r="97" spans="5:88" x14ac:dyDescent="0.2">
      <c r="E97" s="174">
        <v>92</v>
      </c>
      <c r="F97" s="221">
        <f t="shared" si="173"/>
        <v>0.38640000000000002</v>
      </c>
      <c r="G97" s="221">
        <f t="shared" si="156"/>
        <v>0.66700000000000004</v>
      </c>
      <c r="H97" s="221">
        <f t="shared" si="105"/>
        <v>5.9892000000000003</v>
      </c>
      <c r="I97" s="221">
        <f t="shared" si="174"/>
        <v>5.3360000000000003</v>
      </c>
      <c r="J97" s="551">
        <f t="shared" si="106"/>
        <v>12</v>
      </c>
      <c r="K97" s="451">
        <f t="shared" si="107"/>
        <v>16.399999999999999</v>
      </c>
      <c r="L97" s="451">
        <f t="shared" si="108"/>
        <v>28.4</v>
      </c>
      <c r="M97" s="451"/>
      <c r="N97" s="221">
        <f t="shared" si="109"/>
        <v>0.57746478873239437</v>
      </c>
      <c r="O97" s="176">
        <f t="shared" si="157"/>
        <v>6.7612354549719109</v>
      </c>
      <c r="P97" s="176">
        <f t="shared" si="110"/>
        <v>11.390692542350877</v>
      </c>
      <c r="Q97" s="221">
        <f t="shared" si="111"/>
        <v>0.43620873903044588</v>
      </c>
      <c r="R97" s="221">
        <f t="shared" si="112"/>
        <v>0.84515443187148886</v>
      </c>
      <c r="S97" s="451">
        <f t="shared" si="113"/>
        <v>15.5</v>
      </c>
      <c r="T97" s="221">
        <f t="shared" si="114"/>
        <v>3.6318392050587169</v>
      </c>
      <c r="U97" s="221">
        <f t="shared" si="115"/>
        <v>2.7238794037940379</v>
      </c>
      <c r="V97" s="221">
        <f t="shared" si="116"/>
        <v>1.9930824905810034</v>
      </c>
      <c r="W97" s="201">
        <f t="shared" si="117"/>
        <v>350</v>
      </c>
      <c r="X97" s="451">
        <f t="shared" si="158"/>
        <v>212.00086462273444</v>
      </c>
      <c r="Z97" s="221">
        <f t="shared" si="118"/>
        <v>2.1998658618376927</v>
      </c>
      <c r="AA97" s="177">
        <f t="shared" si="119"/>
        <v>1.2072434607645877</v>
      </c>
      <c r="AB97" s="177">
        <f t="shared" si="120"/>
        <v>0.46476039334599145</v>
      </c>
      <c r="AC97" s="177"/>
      <c r="AD97" s="177">
        <f t="shared" si="121"/>
        <v>0.45</v>
      </c>
      <c r="AE97" s="555">
        <f t="shared" si="122"/>
        <v>2094.3089430894311</v>
      </c>
      <c r="AF97" s="538">
        <f t="shared" si="123"/>
        <v>6.4574999999999994E-2</v>
      </c>
      <c r="AH97" s="177">
        <f t="shared" si="124"/>
        <v>2.6815300062843179</v>
      </c>
      <c r="AI97" s="177">
        <f t="shared" si="125"/>
        <v>2.6815300062843179</v>
      </c>
      <c r="AJ97" s="177">
        <f t="shared" si="126"/>
        <v>2.5789111157661617</v>
      </c>
      <c r="AL97" s="555">
        <f t="shared" si="127"/>
        <v>386.40000000000003</v>
      </c>
      <c r="AM97" s="469">
        <f t="shared" si="128"/>
        <v>212.00086462273444</v>
      </c>
      <c r="AO97">
        <f t="shared" si="159"/>
        <v>386.40000000000003</v>
      </c>
      <c r="AP97">
        <f t="shared" si="129"/>
        <v>212.00086462273444</v>
      </c>
      <c r="AR97" s="5">
        <f t="shared" si="160"/>
        <v>4.7169618943750402</v>
      </c>
      <c r="AS97" s="5">
        <f t="shared" si="130"/>
        <v>2.0111475047132381</v>
      </c>
      <c r="AT97" s="5">
        <f t="shared" si="161"/>
        <v>2.7058143896618021</v>
      </c>
      <c r="AU97" s="177">
        <f t="shared" si="162"/>
        <v>0.42636500988306142</v>
      </c>
      <c r="AW97" s="5">
        <f t="shared" si="131"/>
        <v>4.6051229968782526</v>
      </c>
      <c r="AX97" s="5">
        <f t="shared" si="132"/>
        <v>28.234404373020539</v>
      </c>
      <c r="AY97" s="5">
        <f t="shared" si="133"/>
        <v>15.170308270746586</v>
      </c>
      <c r="AZ97" s="5">
        <f t="shared" si="134"/>
        <v>48.025450619490591</v>
      </c>
      <c r="BA97" s="5">
        <f t="shared" si="135"/>
        <v>4.7289952354626292</v>
      </c>
      <c r="BB97" s="469">
        <f t="shared" si="136"/>
        <v>286.88560301664671</v>
      </c>
      <c r="BC97" s="5"/>
      <c r="BD97" s="177">
        <f t="shared" si="163"/>
        <v>1.0109107434396067</v>
      </c>
      <c r="BE97" s="177">
        <f t="shared" si="137"/>
        <v>1.1725728948198089</v>
      </c>
      <c r="BF97" s="177">
        <f t="shared" si="138"/>
        <v>1.9250441629172093</v>
      </c>
      <c r="BG97" s="177"/>
      <c r="BH97" s="538">
        <f t="shared" si="139"/>
        <v>0.11241345843217801</v>
      </c>
      <c r="BI97" s="538">
        <f t="shared" si="140"/>
        <v>8.0725108537859636E-2</v>
      </c>
      <c r="BJ97" s="538">
        <f t="shared" si="141"/>
        <v>1.0600043231136723E-2</v>
      </c>
      <c r="BK97" s="538">
        <f t="shared" si="142"/>
        <v>3.847306890827535E-2</v>
      </c>
      <c r="BL97">
        <f t="shared" si="143"/>
        <v>3.48E-3</v>
      </c>
      <c r="BM97">
        <f t="shared" si="144"/>
        <v>1.4840060523591412E-5</v>
      </c>
      <c r="BN97">
        <f t="shared" si="145"/>
        <v>0.25091047341655437</v>
      </c>
      <c r="BO97" s="469">
        <f t="shared" si="164"/>
        <v>250.91047341655437</v>
      </c>
      <c r="BP97" s="177">
        <f t="shared" si="146"/>
        <v>0.34776000000000001</v>
      </c>
      <c r="BQ97" s="177">
        <f t="shared" si="147"/>
        <v>0.60030000000000006</v>
      </c>
      <c r="BR97" s="538"/>
      <c r="BT97" s="469">
        <f t="shared" si="165"/>
        <v>948.06000000000017</v>
      </c>
      <c r="BU97" s="538">
        <f t="shared" si="148"/>
        <v>4.9053145497677683E-2</v>
      </c>
      <c r="BV97" s="538">
        <f t="shared" si="149"/>
        <v>0.32998252647986553</v>
      </c>
      <c r="BW97" s="538">
        <f t="shared" si="150"/>
        <v>0.88939080700358852</v>
      </c>
      <c r="BX97" s="538">
        <f t="shared" si="151"/>
        <v>0</v>
      </c>
      <c r="BY97" s="538">
        <f t="shared" si="152"/>
        <v>1.4116749498716574</v>
      </c>
      <c r="BZ97" s="538">
        <f t="shared" si="166"/>
        <v>1.2684264789811317</v>
      </c>
      <c r="CA97" s="641">
        <f t="shared" si="153"/>
        <v>7.6220704508742604E-2</v>
      </c>
      <c r="CB97" s="469">
        <f t="shared" si="167"/>
        <v>1487.8956543803999</v>
      </c>
      <c r="CC97" s="177">
        <f t="shared" si="168"/>
        <v>2.6868661277969546</v>
      </c>
      <c r="CD97" s="5">
        <f t="shared" si="169"/>
        <v>11.325200000000001</v>
      </c>
      <c r="CE97" s="177">
        <f t="shared" si="170"/>
        <v>0.80824625695515484</v>
      </c>
      <c r="CF97" s="5">
        <f t="shared" si="171"/>
        <v>80.824625695515479</v>
      </c>
      <c r="CG97">
        <f t="shared" si="172"/>
        <v>92</v>
      </c>
      <c r="CI97" s="571">
        <f t="shared" si="154"/>
        <v>-50</v>
      </c>
      <c r="CJ97">
        <f t="shared" si="155"/>
        <v>-50</v>
      </c>
    </row>
    <row r="98" spans="5:88" x14ac:dyDescent="0.2">
      <c r="E98" s="174">
        <v>93</v>
      </c>
      <c r="F98" s="221">
        <f t="shared" si="173"/>
        <v>0.3906</v>
      </c>
      <c r="G98" s="221">
        <f t="shared" si="156"/>
        <v>0.67425000000000002</v>
      </c>
      <c r="H98" s="221">
        <f t="shared" si="105"/>
        <v>6.0543000000000005</v>
      </c>
      <c r="I98" s="221">
        <f t="shared" si="174"/>
        <v>5.3940000000000001</v>
      </c>
      <c r="J98" s="551">
        <f t="shared" si="106"/>
        <v>12</v>
      </c>
      <c r="K98" s="451">
        <f t="shared" si="107"/>
        <v>16.399999999999999</v>
      </c>
      <c r="L98" s="451">
        <f t="shared" si="108"/>
        <v>28.4</v>
      </c>
      <c r="M98" s="451"/>
      <c r="N98" s="221">
        <f t="shared" si="109"/>
        <v>0.57746478873239437</v>
      </c>
      <c r="O98" s="176">
        <f t="shared" si="157"/>
        <v>6.7612354549719109</v>
      </c>
      <c r="P98" s="176">
        <f t="shared" si="110"/>
        <v>11.390692542350877</v>
      </c>
      <c r="Q98" s="221">
        <f t="shared" si="111"/>
        <v>0.43620873903044588</v>
      </c>
      <c r="R98" s="221">
        <f t="shared" si="112"/>
        <v>0.84515443187148886</v>
      </c>
      <c r="S98" s="451">
        <f t="shared" si="113"/>
        <v>15.5</v>
      </c>
      <c r="T98" s="221">
        <f t="shared" si="114"/>
        <v>3.6713157181571812</v>
      </c>
      <c r="U98" s="221">
        <f t="shared" si="115"/>
        <v>2.7534867886178858</v>
      </c>
      <c r="V98" s="221">
        <f t="shared" si="116"/>
        <v>2.0147464306960141</v>
      </c>
      <c r="W98" s="201">
        <f t="shared" si="117"/>
        <v>350</v>
      </c>
      <c r="X98" s="451">
        <f t="shared" si="158"/>
        <v>209.72128543324268</v>
      </c>
      <c r="Z98" s="221">
        <f t="shared" si="118"/>
        <v>2.1998658618376927</v>
      </c>
      <c r="AA98" s="177">
        <f t="shared" si="119"/>
        <v>1.2072434607645877</v>
      </c>
      <c r="AB98" s="177">
        <f t="shared" si="120"/>
        <v>0.46476039334599145</v>
      </c>
      <c r="AC98" s="177"/>
      <c r="AD98" s="177">
        <f t="shared" si="121"/>
        <v>0.45</v>
      </c>
      <c r="AE98" s="555">
        <f t="shared" si="122"/>
        <v>2117.0731707317073</v>
      </c>
      <c r="AF98" s="538">
        <f t="shared" si="123"/>
        <v>6.4574999999999994E-2</v>
      </c>
      <c r="AH98" s="177">
        <f t="shared" si="124"/>
        <v>2.6960641507133887</v>
      </c>
      <c r="AI98" s="177">
        <f t="shared" si="125"/>
        <v>2.6960641507133887</v>
      </c>
      <c r="AJ98" s="177">
        <f t="shared" si="126"/>
        <v>2.5896771486765844</v>
      </c>
      <c r="AL98" s="555">
        <f t="shared" si="127"/>
        <v>390.6</v>
      </c>
      <c r="AM98" s="469">
        <f t="shared" si="128"/>
        <v>209.72128543324268</v>
      </c>
      <c r="AO98">
        <f t="shared" si="159"/>
        <v>390.6</v>
      </c>
      <c r="AP98">
        <f t="shared" si="129"/>
        <v>209.72128543324268</v>
      </c>
      <c r="AR98" s="5">
        <f t="shared" si="160"/>
        <v>4.7682332193138999</v>
      </c>
      <c r="AS98" s="5">
        <f t="shared" si="130"/>
        <v>2.0220481130350416</v>
      </c>
      <c r="AT98" s="5">
        <f t="shared" si="161"/>
        <v>2.7461851062788583</v>
      </c>
      <c r="AU98" s="177">
        <f t="shared" si="162"/>
        <v>0.42406652947357171</v>
      </c>
      <c r="AW98" s="5">
        <f t="shared" si="131"/>
        <v>4.6051229968782526</v>
      </c>
      <c r="AX98" s="5">
        <f t="shared" si="132"/>
        <v>28.843040290909101</v>
      </c>
      <c r="AY98" s="5">
        <f t="shared" si="133"/>
        <v>15.170308270746586</v>
      </c>
      <c r="AZ98" s="5">
        <f t="shared" si="134"/>
        <v>49.060498630431724</v>
      </c>
      <c r="BA98" s="5">
        <f t="shared" si="135"/>
        <v>4.8517208259586804</v>
      </c>
      <c r="BB98" s="469">
        <f t="shared" si="136"/>
        <v>294.28333289085418</v>
      </c>
      <c r="BC98" s="5"/>
      <c r="BD98" s="177">
        <f t="shared" si="163"/>
        <v>1.0136466567994473</v>
      </c>
      <c r="BE98" s="177">
        <f t="shared" si="137"/>
        <v>1.1812878946640986</v>
      </c>
      <c r="BF98" s="177">
        <f t="shared" si="138"/>
        <v>1.9393518103600174</v>
      </c>
      <c r="BG98" s="177"/>
      <c r="BH98" s="538">
        <f t="shared" si="139"/>
        <v>0.11302274993247663</v>
      </c>
      <c r="BI98" s="538">
        <f t="shared" si="140"/>
        <v>8.0289929580329586E-2</v>
      </c>
      <c r="BJ98" s="538">
        <f t="shared" si="141"/>
        <v>1.0486064271662134E-2</v>
      </c>
      <c r="BK98" s="538">
        <f t="shared" si="142"/>
        <v>3.8059379995283145E-2</v>
      </c>
      <c r="BL98">
        <f t="shared" si="143"/>
        <v>3.48E-3</v>
      </c>
      <c r="BM98">
        <f t="shared" si="144"/>
        <v>1.4680489980326989E-5</v>
      </c>
      <c r="BN98">
        <f t="shared" si="145"/>
        <v>0.25057803213964108</v>
      </c>
      <c r="BO98" s="469">
        <f t="shared" si="164"/>
        <v>250.5780321396411</v>
      </c>
      <c r="BP98" s="177">
        <f t="shared" si="146"/>
        <v>0.35154000000000002</v>
      </c>
      <c r="BQ98" s="177">
        <f t="shared" si="147"/>
        <v>0.60682500000000006</v>
      </c>
      <c r="BR98" s="538"/>
      <c r="BT98" s="469">
        <f t="shared" si="165"/>
        <v>958.36500000000012</v>
      </c>
      <c r="BU98" s="538">
        <f t="shared" si="148"/>
        <v>4.9319018152353435E-2</v>
      </c>
      <c r="BV98" s="538">
        <f t="shared" si="149"/>
        <v>0.33490586161918517</v>
      </c>
      <c r="BW98" s="538">
        <f t="shared" si="150"/>
        <v>0.90266050664320241</v>
      </c>
      <c r="BX98" s="538">
        <f t="shared" si="151"/>
        <v>0</v>
      </c>
      <c r="BY98" s="538">
        <f t="shared" si="152"/>
        <v>1.4345761980079266</v>
      </c>
      <c r="BZ98" s="538">
        <f t="shared" si="166"/>
        <v>1.2868853864147409</v>
      </c>
      <c r="CA98" s="641">
        <f t="shared" si="153"/>
        <v>7.6220704508742632E-2</v>
      </c>
      <c r="CB98" s="469">
        <f t="shared" si="167"/>
        <v>1510.7969025166692</v>
      </c>
      <c r="CC98" s="177">
        <f t="shared" si="168"/>
        <v>2.7197399346563107</v>
      </c>
      <c r="CD98" s="5">
        <f t="shared" si="169"/>
        <v>11.4483</v>
      </c>
      <c r="CE98" s="177">
        <f t="shared" si="170"/>
        <v>0.80803696579061868</v>
      </c>
      <c r="CF98" s="5">
        <f t="shared" si="171"/>
        <v>80.803696579061864</v>
      </c>
      <c r="CG98">
        <f t="shared" si="172"/>
        <v>93</v>
      </c>
      <c r="CI98" s="571">
        <f t="shared" si="154"/>
        <v>-50</v>
      </c>
      <c r="CJ98">
        <f t="shared" si="155"/>
        <v>-50</v>
      </c>
    </row>
    <row r="99" spans="5:88" x14ac:dyDescent="0.2">
      <c r="E99" s="174">
        <v>94</v>
      </c>
      <c r="F99" s="221">
        <f t="shared" si="173"/>
        <v>0.39479999999999998</v>
      </c>
      <c r="G99" s="221">
        <f t="shared" si="156"/>
        <v>0.68149999999999999</v>
      </c>
      <c r="H99" s="221">
        <f t="shared" si="105"/>
        <v>6.1193999999999997</v>
      </c>
      <c r="I99" s="221">
        <f t="shared" si="174"/>
        <v>5.452</v>
      </c>
      <c r="J99" s="551">
        <f t="shared" si="106"/>
        <v>12</v>
      </c>
      <c r="K99" s="451">
        <f t="shared" si="107"/>
        <v>16.399999999999999</v>
      </c>
      <c r="L99" s="451">
        <f t="shared" si="108"/>
        <v>28.4</v>
      </c>
      <c r="M99" s="451"/>
      <c r="N99" s="221">
        <f t="shared" si="109"/>
        <v>0.57746478873239437</v>
      </c>
      <c r="O99" s="176">
        <f t="shared" si="157"/>
        <v>6.7612354549719109</v>
      </c>
      <c r="P99" s="176">
        <f t="shared" si="110"/>
        <v>11.390692542350877</v>
      </c>
      <c r="Q99" s="221">
        <f t="shared" si="111"/>
        <v>0.43620873903044588</v>
      </c>
      <c r="R99" s="221">
        <f t="shared" si="112"/>
        <v>0.84515443187148886</v>
      </c>
      <c r="S99" s="451">
        <f t="shared" si="113"/>
        <v>15.5</v>
      </c>
      <c r="T99" s="221">
        <f t="shared" si="114"/>
        <v>3.7107922312556458</v>
      </c>
      <c r="U99" s="221">
        <f t="shared" si="115"/>
        <v>2.7830941734417345</v>
      </c>
      <c r="V99" s="221">
        <f t="shared" si="116"/>
        <v>2.0364103708110255</v>
      </c>
      <c r="W99" s="201">
        <f t="shared" si="117"/>
        <v>350</v>
      </c>
      <c r="X99" s="451">
        <f t="shared" si="158"/>
        <v>207.49020792863365</v>
      </c>
      <c r="Z99" s="221">
        <f t="shared" si="118"/>
        <v>2.1998658618376927</v>
      </c>
      <c r="AA99" s="177">
        <f t="shared" si="119"/>
        <v>1.2072434607645877</v>
      </c>
      <c r="AB99" s="177">
        <f t="shared" si="120"/>
        <v>0.46476039334599145</v>
      </c>
      <c r="AC99" s="177"/>
      <c r="AD99" s="177">
        <f t="shared" si="121"/>
        <v>0.45</v>
      </c>
      <c r="AE99" s="555">
        <f t="shared" si="122"/>
        <v>2139.8373983739839</v>
      </c>
      <c r="AF99" s="538">
        <f t="shared" si="123"/>
        <v>6.4574999999999994E-2</v>
      </c>
      <c r="AH99" s="177">
        <f t="shared" si="124"/>
        <v>2.710520362388122</v>
      </c>
      <c r="AI99" s="177">
        <f t="shared" si="125"/>
        <v>2.710520362388122</v>
      </c>
      <c r="AJ99" s="177">
        <f t="shared" si="126"/>
        <v>2.6003854536208313</v>
      </c>
      <c r="AL99" s="555">
        <f t="shared" si="127"/>
        <v>394.8</v>
      </c>
      <c r="AM99" s="469">
        <f t="shared" si="128"/>
        <v>207.49020792863365</v>
      </c>
      <c r="AO99">
        <f t="shared" si="159"/>
        <v>394.8</v>
      </c>
      <c r="AP99">
        <f t="shared" si="129"/>
        <v>207.49020792863365</v>
      </c>
      <c r="AR99" s="5">
        <f t="shared" si="160"/>
        <v>4.8195045442527604</v>
      </c>
      <c r="AS99" s="5">
        <f t="shared" si="130"/>
        <v>2.0328902717910915</v>
      </c>
      <c r="AT99" s="5">
        <f t="shared" si="161"/>
        <v>2.7866142724616689</v>
      </c>
      <c r="AU99" s="177">
        <f t="shared" si="162"/>
        <v>0.42180482519003015</v>
      </c>
      <c r="AW99" s="5">
        <f t="shared" si="131"/>
        <v>4.6051229968782526</v>
      </c>
      <c r="AX99" s="5">
        <f t="shared" si="132"/>
        <v>29.458165245747804</v>
      </c>
      <c r="AY99" s="5">
        <f t="shared" si="133"/>
        <v>15.170308270746586</v>
      </c>
      <c r="AZ99" s="5">
        <f t="shared" si="134"/>
        <v>50.106579592842486</v>
      </c>
      <c r="BA99" s="5">
        <f t="shared" si="135"/>
        <v>4.9760846284510736</v>
      </c>
      <c r="BB99" s="469">
        <f t="shared" si="136"/>
        <v>301.7793554848422</v>
      </c>
      <c r="BC99" s="5"/>
      <c r="BD99" s="177">
        <f t="shared" si="163"/>
        <v>1.0163605944902501</v>
      </c>
      <c r="BE99" s="177">
        <f t="shared" si="137"/>
        <v>1.1899515481484826</v>
      </c>
      <c r="BF99" s="177">
        <f t="shared" si="138"/>
        <v>1.9535751611157195</v>
      </c>
      <c r="BG99" s="177"/>
      <c r="BH99" s="538">
        <f t="shared" si="139"/>
        <v>0.11362877438358321</v>
      </c>
      <c r="BI99" s="538">
        <f t="shared" si="140"/>
        <v>7.9861713569312376E-2</v>
      </c>
      <c r="BJ99" s="538">
        <f t="shared" si="141"/>
        <v>1.0374510396431681E-2</v>
      </c>
      <c r="BK99" s="538">
        <f t="shared" si="142"/>
        <v>3.7654492974056715E-2</v>
      </c>
      <c r="BL99">
        <f t="shared" si="143"/>
        <v>3.48E-3</v>
      </c>
      <c r="BM99">
        <f t="shared" si="144"/>
        <v>1.4524314555004357E-5</v>
      </c>
      <c r="BN99">
        <f t="shared" si="145"/>
        <v>0.25026060634031588</v>
      </c>
      <c r="BO99" s="469">
        <f t="shared" si="164"/>
        <v>250.26060634031589</v>
      </c>
      <c r="BP99" s="177">
        <f t="shared" si="146"/>
        <v>0.35531999999999997</v>
      </c>
      <c r="BQ99" s="177">
        <f t="shared" si="147"/>
        <v>0.61335000000000006</v>
      </c>
      <c r="BR99" s="538"/>
      <c r="BT99" s="469">
        <f t="shared" si="165"/>
        <v>968.67000000000007</v>
      </c>
      <c r="BU99" s="538">
        <f t="shared" si="148"/>
        <v>4.9583465185563579E-2</v>
      </c>
      <c r="BV99" s="538">
        <f t="shared" si="149"/>
        <v>0.33983632486583287</v>
      </c>
      <c r="BW99" s="538">
        <f t="shared" si="150"/>
        <v>0.91594941843079425</v>
      </c>
      <c r="BX99" s="538">
        <f t="shared" si="151"/>
        <v>0</v>
      </c>
      <c r="BY99" s="538">
        <f t="shared" si="152"/>
        <v>1.4575840338022481</v>
      </c>
      <c r="BZ99" s="538">
        <f t="shared" si="166"/>
        <v>1.3053692084821906</v>
      </c>
      <c r="CA99" s="641">
        <f t="shared" si="153"/>
        <v>7.6220704508742604E-2</v>
      </c>
      <c r="CB99" s="469">
        <f t="shared" si="167"/>
        <v>1533.8047383109908</v>
      </c>
      <c r="CC99" s="177">
        <f t="shared" si="168"/>
        <v>2.7527353446513065</v>
      </c>
      <c r="CD99" s="5">
        <f t="shared" si="169"/>
        <v>11.571400000000001</v>
      </c>
      <c r="CE99" s="177">
        <f t="shared" si="170"/>
        <v>0.80782537455713244</v>
      </c>
      <c r="CF99" s="5">
        <f t="shared" si="171"/>
        <v>80.782537455713239</v>
      </c>
      <c r="CG99">
        <f t="shared" si="172"/>
        <v>94</v>
      </c>
      <c r="CI99" s="571">
        <f t="shared" si="154"/>
        <v>-50</v>
      </c>
      <c r="CJ99">
        <f t="shared" si="155"/>
        <v>-50</v>
      </c>
    </row>
    <row r="100" spans="5:88" x14ac:dyDescent="0.2">
      <c r="E100" s="174">
        <v>95</v>
      </c>
      <c r="F100" s="221">
        <f t="shared" si="173"/>
        <v>0.39899999999999997</v>
      </c>
      <c r="G100" s="221">
        <f t="shared" si="156"/>
        <v>0.68874999999999997</v>
      </c>
      <c r="H100" s="221">
        <f t="shared" si="105"/>
        <v>6.1844999999999999</v>
      </c>
      <c r="I100" s="221">
        <f t="shared" si="174"/>
        <v>5.51</v>
      </c>
      <c r="J100" s="551">
        <f t="shared" si="106"/>
        <v>12</v>
      </c>
      <c r="K100" s="451">
        <f t="shared" si="107"/>
        <v>16.399999999999999</v>
      </c>
      <c r="L100" s="451">
        <f t="shared" si="108"/>
        <v>28.4</v>
      </c>
      <c r="M100" s="451"/>
      <c r="N100" s="221">
        <f t="shared" si="109"/>
        <v>0.57746478873239437</v>
      </c>
      <c r="O100" s="176">
        <f t="shared" si="157"/>
        <v>6.7612354549719109</v>
      </c>
      <c r="P100" s="176">
        <f t="shared" si="110"/>
        <v>11.390692542350877</v>
      </c>
      <c r="Q100" s="221">
        <f t="shared" si="111"/>
        <v>0.43620873903044588</v>
      </c>
      <c r="R100" s="221">
        <f t="shared" si="112"/>
        <v>0.84515443187148886</v>
      </c>
      <c r="S100" s="451">
        <f t="shared" si="113"/>
        <v>15.5</v>
      </c>
      <c r="T100" s="221">
        <f t="shared" si="114"/>
        <v>3.7502687443541096</v>
      </c>
      <c r="U100" s="221">
        <f t="shared" si="115"/>
        <v>2.8127015582655823</v>
      </c>
      <c r="V100" s="221">
        <f t="shared" si="116"/>
        <v>2.058074310926036</v>
      </c>
      <c r="W100" s="201">
        <f t="shared" si="117"/>
        <v>350</v>
      </c>
      <c r="X100" s="451">
        <f t="shared" si="158"/>
        <v>205.30610047675336</v>
      </c>
      <c r="Z100" s="221">
        <f t="shared" si="118"/>
        <v>2.1998658618376927</v>
      </c>
      <c r="AA100" s="177">
        <f t="shared" si="119"/>
        <v>1.2072434607645877</v>
      </c>
      <c r="AB100" s="177">
        <f t="shared" si="120"/>
        <v>0.46476039334599145</v>
      </c>
      <c r="AC100" s="177"/>
      <c r="AD100" s="177">
        <f t="shared" si="121"/>
        <v>0.45</v>
      </c>
      <c r="AE100" s="555">
        <f t="shared" si="122"/>
        <v>2162.6016260162601</v>
      </c>
      <c r="AF100" s="538">
        <f t="shared" si="123"/>
        <v>6.4574999999999994E-2</v>
      </c>
      <c r="AH100" s="177">
        <f t="shared" si="124"/>
        <v>2.7248998816615932</v>
      </c>
      <c r="AI100" s="177">
        <f t="shared" si="125"/>
        <v>2.7248998816615932</v>
      </c>
      <c r="AJ100" s="177">
        <f t="shared" si="126"/>
        <v>2.611036949378958</v>
      </c>
      <c r="AL100" s="555">
        <f t="shared" si="127"/>
        <v>398.99999999999994</v>
      </c>
      <c r="AM100" s="469">
        <f t="shared" si="128"/>
        <v>205.30610047675336</v>
      </c>
      <c r="AO100">
        <f t="shared" si="159"/>
        <v>398.99999999999994</v>
      </c>
      <c r="AP100">
        <f t="shared" si="129"/>
        <v>205.30610047675336</v>
      </c>
      <c r="AR100" s="5">
        <f t="shared" si="160"/>
        <v>4.8707758691916183</v>
      </c>
      <c r="AS100" s="5">
        <f t="shared" si="130"/>
        <v>2.0436749112461952</v>
      </c>
      <c r="AT100" s="5">
        <f t="shared" si="161"/>
        <v>2.8271009579454232</v>
      </c>
      <c r="AU100" s="177">
        <f t="shared" si="162"/>
        <v>0.4195789266701313</v>
      </c>
      <c r="AW100" s="5">
        <f t="shared" si="131"/>
        <v>4.6051229968782526</v>
      </c>
      <c r="AX100" s="5">
        <f t="shared" si="132"/>
        <v>30.079779237536666</v>
      </c>
      <c r="AY100" s="5">
        <f t="shared" si="133"/>
        <v>15.170308270746586</v>
      </c>
      <c r="AZ100" s="5">
        <f t="shared" si="134"/>
        <v>51.163693506722886</v>
      </c>
      <c r="BA100" s="5">
        <f t="shared" si="135"/>
        <v>5.1020882951686337</v>
      </c>
      <c r="BB100" s="469">
        <f t="shared" si="136"/>
        <v>309.37376993234028</v>
      </c>
      <c r="BC100" s="5"/>
      <c r="BD100" s="177">
        <f t="shared" si="163"/>
        <v>1.0190529640210955</v>
      </c>
      <c r="BE100" s="177">
        <f t="shared" si="137"/>
        <v>1.1985647715272942</v>
      </c>
      <c r="BF100" s="177">
        <f t="shared" si="138"/>
        <v>1.967715719423466</v>
      </c>
      <c r="BG100" s="177"/>
      <c r="BH100" s="538">
        <f t="shared" si="139"/>
        <v>0.11423158378281982</v>
      </c>
      <c r="BI100" s="538">
        <f t="shared" si="140"/>
        <v>7.9440276782878197E-2</v>
      </c>
      <c r="BJ100" s="538">
        <f t="shared" si="141"/>
        <v>1.0265305023837667E-2</v>
      </c>
      <c r="BK100" s="538">
        <f t="shared" si="142"/>
        <v>3.7258129890119285E-2</v>
      </c>
      <c r="BL100">
        <f t="shared" si="143"/>
        <v>3.48E-3</v>
      </c>
      <c r="BM100">
        <f t="shared" si="144"/>
        <v>1.4371427033372735E-5</v>
      </c>
      <c r="BN100">
        <f t="shared" si="145"/>
        <v>0.24995770736053874</v>
      </c>
      <c r="BO100" s="469">
        <f t="shared" si="164"/>
        <v>249.95770736053873</v>
      </c>
      <c r="BP100" s="177">
        <f t="shared" si="146"/>
        <v>0.35909999999999997</v>
      </c>
      <c r="BQ100" s="177">
        <f t="shared" si="147"/>
        <v>0.61987499999999995</v>
      </c>
      <c r="BR100" s="538"/>
      <c r="BT100" s="469">
        <f t="shared" si="165"/>
        <v>978.97499999999991</v>
      </c>
      <c r="BU100" s="538">
        <f t="shared" si="148"/>
        <v>4.9846509287048646E-2</v>
      </c>
      <c r="BV100" s="538">
        <f t="shared" si="149"/>
        <v>0.34477380277110597</v>
      </c>
      <c r="BW100" s="538">
        <f t="shared" si="150"/>
        <v>0.92925723659188997</v>
      </c>
      <c r="BX100" s="538">
        <f t="shared" si="151"/>
        <v>0</v>
      </c>
      <c r="BY100" s="538">
        <f t="shared" si="152"/>
        <v>1.480698643931436</v>
      </c>
      <c r="BZ100" s="538">
        <f t="shared" si="166"/>
        <v>1.3238775486500445</v>
      </c>
      <c r="CA100" s="641">
        <f t="shared" si="153"/>
        <v>7.6220704508742618E-2</v>
      </c>
      <c r="CB100" s="469">
        <f t="shared" si="167"/>
        <v>1556.9193484401787</v>
      </c>
      <c r="CC100" s="177">
        <f t="shared" si="168"/>
        <v>2.7858520558007176</v>
      </c>
      <c r="CD100" s="5">
        <f t="shared" si="169"/>
        <v>11.6945</v>
      </c>
      <c r="CE100" s="177">
        <f t="shared" si="170"/>
        <v>0.80761157981067688</v>
      </c>
      <c r="CF100" s="5">
        <f t="shared" si="171"/>
        <v>80.761157981067683</v>
      </c>
      <c r="CG100">
        <f t="shared" si="172"/>
        <v>95</v>
      </c>
      <c r="CI100" s="571">
        <f t="shared" si="154"/>
        <v>-50</v>
      </c>
      <c r="CJ100">
        <f t="shared" si="155"/>
        <v>-50</v>
      </c>
    </row>
    <row r="101" spans="5:88" x14ac:dyDescent="0.2">
      <c r="E101" s="174">
        <v>96</v>
      </c>
      <c r="F101" s="221">
        <f t="shared" si="173"/>
        <v>0.40319999999999995</v>
      </c>
      <c r="G101" s="221">
        <f t="shared" si="156"/>
        <v>0.69599999999999995</v>
      </c>
      <c r="H101" s="221">
        <f t="shared" si="105"/>
        <v>6.2495999999999992</v>
      </c>
      <c r="I101" s="221">
        <f t="shared" si="174"/>
        <v>5.5679999999999996</v>
      </c>
      <c r="J101" s="551">
        <f t="shared" si="106"/>
        <v>12</v>
      </c>
      <c r="K101" s="451">
        <f t="shared" si="107"/>
        <v>16.399999999999999</v>
      </c>
      <c r="L101" s="451">
        <f t="shared" si="108"/>
        <v>28.4</v>
      </c>
      <c r="M101" s="451"/>
      <c r="N101" s="221">
        <f t="shared" si="109"/>
        <v>0.57746478873239437</v>
      </c>
      <c r="O101" s="176">
        <f t="shared" si="157"/>
        <v>6.7612354549719109</v>
      </c>
      <c r="P101" s="176">
        <f t="shared" si="110"/>
        <v>11.390692542350877</v>
      </c>
      <c r="Q101" s="221">
        <f t="shared" si="111"/>
        <v>0.43620873903044588</v>
      </c>
      <c r="R101" s="221">
        <f t="shared" si="112"/>
        <v>0.84515443187148886</v>
      </c>
      <c r="S101" s="451">
        <f t="shared" si="113"/>
        <v>15.5</v>
      </c>
      <c r="T101" s="221">
        <f t="shared" si="114"/>
        <v>3.7897452574525738</v>
      </c>
      <c r="U101" s="221">
        <f t="shared" si="115"/>
        <v>2.8423089430894306</v>
      </c>
      <c r="V101" s="221">
        <f t="shared" si="116"/>
        <v>2.0797382510410469</v>
      </c>
      <c r="W101" s="201">
        <f t="shared" si="117"/>
        <v>350</v>
      </c>
      <c r="X101" s="451">
        <f t="shared" si="158"/>
        <v>203.16749526345382</v>
      </c>
      <c r="Z101" s="221">
        <f t="shared" si="118"/>
        <v>2.1998658618376927</v>
      </c>
      <c r="AA101" s="177">
        <f t="shared" si="119"/>
        <v>1.2072434607645877</v>
      </c>
      <c r="AB101" s="177">
        <f t="shared" ref="AB101:AB105" si="175">0.5*AA101*Z101*Nps*W101/1000*(Pout/Pout_total)</f>
        <v>0.46476039334599145</v>
      </c>
      <c r="AC101" s="177"/>
      <c r="AD101" s="177">
        <f t="shared" si="121"/>
        <v>0.45</v>
      </c>
      <c r="AE101" s="555">
        <f t="shared" ref="AE101:AE105" si="176">MAX(10, F101/(0.5*AD101/1000000*Isw_min*Nps)/1000*Pout_total/Pout)</f>
        <v>2185.3658536585363</v>
      </c>
      <c r="AF101" s="538">
        <f t="shared" si="123"/>
        <v>6.4574999999999994E-2</v>
      </c>
      <c r="AH101" s="177">
        <f t="shared" si="124"/>
        <v>2.7392039163300885</v>
      </c>
      <c r="AI101" s="177">
        <f t="shared" ref="AI101:AI105" si="177">MAX(IF(F101&gt;AB101,T101,AH101),Isw_min)</f>
        <v>2.7392039163300885</v>
      </c>
      <c r="AJ101" s="177">
        <f t="shared" ref="AJ101:AJ105" si="178">IF(F101&gt;AF101, (AI101-Isw_min)/1.08*0.8+1.2, AE101*0.2/350+1)</f>
        <v>2.6216325306148804</v>
      </c>
      <c r="AL101" s="555">
        <f t="shared" si="127"/>
        <v>403.19999999999993</v>
      </c>
      <c r="AM101" s="469">
        <f t="shared" si="128"/>
        <v>203.16749526345382</v>
      </c>
      <c r="AO101">
        <f t="shared" si="159"/>
        <v>403.19999999999993</v>
      </c>
      <c r="AP101">
        <f t="shared" si="129"/>
        <v>203.16749526345382</v>
      </c>
      <c r="AR101" s="5">
        <f t="shared" si="160"/>
        <v>4.922047194130478</v>
      </c>
      <c r="AS101" s="5">
        <f t="shared" si="130"/>
        <v>2.0544029372475663</v>
      </c>
      <c r="AT101" s="5">
        <f t="shared" si="161"/>
        <v>2.8676442568829117</v>
      </c>
      <c r="AU101" s="177">
        <f t="shared" si="162"/>
        <v>0.41738789902247053</v>
      </c>
      <c r="AW101" s="5">
        <f t="shared" si="131"/>
        <v>4.6051229968782526</v>
      </c>
      <c r="AX101" s="5">
        <f t="shared" si="132"/>
        <v>30.707882266275657</v>
      </c>
      <c r="AY101" s="5">
        <f t="shared" si="133"/>
        <v>15.170308270746586</v>
      </c>
      <c r="AZ101" s="5">
        <f t="shared" si="134"/>
        <v>52.231840372072924</v>
      </c>
      <c r="BA101" s="5">
        <f t="shared" si="135"/>
        <v>5.2297334521820193</v>
      </c>
      <c r="BB101" s="469">
        <f t="shared" si="136"/>
        <v>317.06667379758784</v>
      </c>
      <c r="BC101" s="5"/>
      <c r="BD101" s="177">
        <f t="shared" si="163"/>
        <v>1.0217241611506165</v>
      </c>
      <c r="BE101" s="177">
        <f t="shared" si="137"/>
        <v>1.2071284536454412</v>
      </c>
      <c r="BF101" s="177">
        <f t="shared" si="138"/>
        <v>1.9817749445236259</v>
      </c>
      <c r="BG101" s="177"/>
      <c r="BH101" s="538">
        <f t="shared" si="139"/>
        <v>0.1148312287626824</v>
      </c>
      <c r="BI101" s="538">
        <f t="shared" si="140"/>
        <v>7.9025442214921096E-2</v>
      </c>
      <c r="BJ101" s="538">
        <f t="shared" si="141"/>
        <v>1.0158374763172691E-2</v>
      </c>
      <c r="BK101" s="538">
        <f t="shared" si="142"/>
        <v>3.6870024370430535E-2</v>
      </c>
      <c r="BL101">
        <f t="shared" si="143"/>
        <v>3.48E-3</v>
      </c>
      <c r="BM101">
        <f t="shared" si="144"/>
        <v>1.4221724668441768E-5</v>
      </c>
      <c r="BN101">
        <f t="shared" ref="BN101:BN105" si="179">(BI101+BJ101+BK101+BL101+BM101+BH101*(1+RdsonTC*(Ta-25)))/(1-BH101*RdsonTC*ThetaJA)</f>
        <v>0.24966886675382738</v>
      </c>
      <c r="BO101" s="469">
        <f t="shared" si="164"/>
        <v>249.66886675382739</v>
      </c>
      <c r="BP101" s="177">
        <f t="shared" si="146"/>
        <v>0.36287999999999998</v>
      </c>
      <c r="BQ101" s="177">
        <f t="shared" si="147"/>
        <v>0.62639999999999996</v>
      </c>
      <c r="BR101" s="538"/>
      <c r="BT101" s="469">
        <f t="shared" si="165"/>
        <v>989.28</v>
      </c>
      <c r="BU101" s="538">
        <f t="shared" si="148"/>
        <v>5.0108172550988685E-2</v>
      </c>
      <c r="BV101" s="538">
        <f t="shared" si="149"/>
        <v>0.34971818486410416</v>
      </c>
      <c r="BW101" s="538">
        <f t="shared" si="150"/>
        <v>0.94258366337798893</v>
      </c>
      <c r="BX101" s="538">
        <f t="shared" si="151"/>
        <v>0</v>
      </c>
      <c r="BY101" s="538">
        <f t="shared" ref="BY101:BY164" si="180">(BX101+(BU101+BV101+BW101)*(1+Ltc*(Ta-25)))/(1-(BU101+BV101+BW101)*Ltc*ThetaCa)</f>
        <v>1.5039202275029517</v>
      </c>
      <c r="BZ101" s="538">
        <f t="shared" si="166"/>
        <v>1.3424100207930818</v>
      </c>
      <c r="CA101" s="641">
        <f t="shared" si="153"/>
        <v>7.6220704508742604E-2</v>
      </c>
      <c r="CB101" s="469">
        <f t="shared" si="167"/>
        <v>1580.1409320116943</v>
      </c>
      <c r="CC101" s="177">
        <f t="shared" si="168"/>
        <v>2.8190897987655217</v>
      </c>
      <c r="CD101" s="5">
        <f t="shared" si="169"/>
        <v>11.817599999999999</v>
      </c>
      <c r="CE101" s="177">
        <f t="shared" si="170"/>
        <v>0.80739567227807973</v>
      </c>
      <c r="CF101" s="5">
        <f t="shared" si="171"/>
        <v>80.739567227807967</v>
      </c>
      <c r="CG101">
        <f t="shared" si="172"/>
        <v>96</v>
      </c>
      <c r="CI101" s="571">
        <f t="shared" si="154"/>
        <v>-50</v>
      </c>
      <c r="CJ101">
        <f t="shared" si="155"/>
        <v>-50</v>
      </c>
    </row>
    <row r="102" spans="5:88" x14ac:dyDescent="0.2">
      <c r="E102" s="174">
        <v>97</v>
      </c>
      <c r="F102" s="221">
        <f t="shared" si="173"/>
        <v>0.40739999999999998</v>
      </c>
      <c r="G102" s="221">
        <f t="shared" si="156"/>
        <v>0.70324999999999993</v>
      </c>
      <c r="H102" s="221">
        <f t="shared" si="105"/>
        <v>6.3147000000000002</v>
      </c>
      <c r="I102" s="221">
        <f t="shared" si="174"/>
        <v>5.6259999999999994</v>
      </c>
      <c r="J102" s="551">
        <f t="shared" si="106"/>
        <v>12</v>
      </c>
      <c r="K102" s="451">
        <f t="shared" si="107"/>
        <v>16.399999999999999</v>
      </c>
      <c r="L102" s="451">
        <f t="shared" si="108"/>
        <v>28.4</v>
      </c>
      <c r="M102" s="451"/>
      <c r="N102" s="221">
        <f t="shared" si="109"/>
        <v>0.57746478873239437</v>
      </c>
      <c r="O102" s="176">
        <f t="shared" ref="O102:O105" si="181">N102*J102*Isw_max*0.5*Efficiency*Pout/(Pout+Pout2)</f>
        <v>6.7612354549719109</v>
      </c>
      <c r="P102" s="176">
        <f t="shared" si="110"/>
        <v>11.390692542350877</v>
      </c>
      <c r="Q102" s="221">
        <f t="shared" si="111"/>
        <v>0.43620873903044588</v>
      </c>
      <c r="R102" s="221">
        <f t="shared" si="112"/>
        <v>0.84515443187148886</v>
      </c>
      <c r="S102" s="451">
        <f t="shared" si="113"/>
        <v>15.5</v>
      </c>
      <c r="T102" s="221">
        <f t="shared" si="114"/>
        <v>3.8292217705510385</v>
      </c>
      <c r="U102" s="221">
        <f t="shared" si="115"/>
        <v>2.8719163279132789</v>
      </c>
      <c r="V102" s="221">
        <f t="shared" si="116"/>
        <v>2.1014021911560583</v>
      </c>
      <c r="W102" s="201">
        <f t="shared" si="117"/>
        <v>350</v>
      </c>
      <c r="X102" s="451">
        <f t="shared" si="158"/>
        <v>201.07298500300581</v>
      </c>
      <c r="Z102" s="221">
        <f t="shared" si="118"/>
        <v>2.1998658618376927</v>
      </c>
      <c r="AA102" s="177">
        <f t="shared" si="119"/>
        <v>1.2072434607645877</v>
      </c>
      <c r="AB102" s="177">
        <f t="shared" si="175"/>
        <v>0.46476039334599145</v>
      </c>
      <c r="AC102" s="177"/>
      <c r="AD102" s="177">
        <f t="shared" si="121"/>
        <v>0.45</v>
      </c>
      <c r="AE102" s="555">
        <f t="shared" si="176"/>
        <v>2208.1300813008133</v>
      </c>
      <c r="AF102" s="538">
        <f t="shared" si="123"/>
        <v>6.4574999999999994E-2</v>
      </c>
      <c r="AH102" s="177">
        <f t="shared" si="124"/>
        <v>2.7534336428170598</v>
      </c>
      <c r="AI102" s="177">
        <f t="shared" si="177"/>
        <v>2.7534336428170598</v>
      </c>
      <c r="AJ102" s="177">
        <f t="shared" si="178"/>
        <v>2.632173068753378</v>
      </c>
      <c r="AL102" s="555">
        <f t="shared" si="127"/>
        <v>407.4</v>
      </c>
      <c r="AM102" s="469">
        <f t="shared" si="128"/>
        <v>201.07298500300581</v>
      </c>
      <c r="AO102">
        <f t="shared" si="159"/>
        <v>407.4</v>
      </c>
      <c r="AP102">
        <f t="shared" si="129"/>
        <v>201.07298500300581</v>
      </c>
      <c r="AR102" s="5">
        <f t="shared" si="160"/>
        <v>4.9733185190693376</v>
      </c>
      <c r="AS102" s="5">
        <f t="shared" si="130"/>
        <v>2.065075232112795</v>
      </c>
      <c r="AT102" s="5">
        <f t="shared" si="161"/>
        <v>2.9082432869565427</v>
      </c>
      <c r="AU102" s="177">
        <f t="shared" si="162"/>
        <v>0.41523084117669479</v>
      </c>
      <c r="AW102" s="5">
        <f t="shared" si="131"/>
        <v>4.6051229968782526</v>
      </c>
      <c r="AX102" s="5">
        <f t="shared" si="132"/>
        <v>31.342474331964816</v>
      </c>
      <c r="AY102" s="5">
        <f t="shared" si="133"/>
        <v>15.170308270746586</v>
      </c>
      <c r="AZ102" s="5">
        <f t="shared" si="134"/>
        <v>53.311020188892584</v>
      </c>
      <c r="BA102" s="5">
        <f t="shared" si="135"/>
        <v>5.3590217000867248</v>
      </c>
      <c r="BB102" s="469">
        <f t="shared" si="136"/>
        <v>324.85816311631464</v>
      </c>
      <c r="BC102" s="5"/>
      <c r="BD102" s="177">
        <f t="shared" si="163"/>
        <v>1.0243745703442413</v>
      </c>
      <c r="BE102" s="177">
        <f t="shared" si="137"/>
        <v>1.2156434570894239</v>
      </c>
      <c r="BF102" s="177">
        <f t="shared" si="138"/>
        <v>1.9957542525474377</v>
      </c>
      <c r="BG102" s="177"/>
      <c r="BH102" s="538">
        <f t="shared" si="139"/>
        <v>0.11542775864047437</v>
      </c>
      <c r="BI102" s="538">
        <f t="shared" si="140"/>
        <v>7.8617039262787541E-2</v>
      </c>
      <c r="BJ102" s="538">
        <f t="shared" si="141"/>
        <v>1.0053649250150291E-2</v>
      </c>
      <c r="BK102" s="538">
        <f t="shared" si="142"/>
        <v>3.6489921026405477E-2</v>
      </c>
      <c r="BL102">
        <f t="shared" si="143"/>
        <v>3.48E-3</v>
      </c>
      <c r="BM102">
        <f t="shared" si="144"/>
        <v>1.4075108950210407E-5</v>
      </c>
      <c r="BN102">
        <f t="shared" si="179"/>
        <v>0.24939363525692726</v>
      </c>
      <c r="BO102" s="469">
        <f t="shared" si="164"/>
        <v>249.39363525692727</v>
      </c>
      <c r="BP102" s="177">
        <f t="shared" si="146"/>
        <v>0.36665999999999999</v>
      </c>
      <c r="BQ102" s="177">
        <f t="shared" si="147"/>
        <v>0.63292499999999996</v>
      </c>
      <c r="BR102" s="538"/>
      <c r="BT102" s="469">
        <f t="shared" si="165"/>
        <v>999.58499999999992</v>
      </c>
      <c r="BU102" s="538">
        <f t="shared" si="148"/>
        <v>5.0368476497661546E-2</v>
      </c>
      <c r="BV102" s="538">
        <f t="shared" si="149"/>
        <v>0.35466936354343825</v>
      </c>
      <c r="BW102" s="538">
        <f t="shared" si="150"/>
        <v>0.95592840877468355</v>
      </c>
      <c r="BX102" s="538">
        <f t="shared" si="151"/>
        <v>0</v>
      </c>
      <c r="BY102" s="538">
        <f t="shared" si="180"/>
        <v>1.5272489957568089</v>
      </c>
      <c r="BZ102" s="538">
        <f t="shared" si="166"/>
        <v>1.3609662488157834</v>
      </c>
      <c r="CA102" s="641">
        <f t="shared" si="153"/>
        <v>7.622070450874259E-2</v>
      </c>
      <c r="CB102" s="469">
        <f t="shared" si="167"/>
        <v>1603.4697002655516</v>
      </c>
      <c r="CC102" s="177">
        <f t="shared" si="168"/>
        <v>2.8524483355224786</v>
      </c>
      <c r="CD102" s="5">
        <f t="shared" si="169"/>
        <v>11.9407</v>
      </c>
      <c r="CE102" s="177">
        <f t="shared" si="170"/>
        <v>0.80717773723170516</v>
      </c>
      <c r="CF102" s="5">
        <f t="shared" si="171"/>
        <v>80.717773723170509</v>
      </c>
      <c r="CG102">
        <f t="shared" si="172"/>
        <v>97</v>
      </c>
      <c r="CI102" s="571">
        <f t="shared" si="154"/>
        <v>-50</v>
      </c>
      <c r="CJ102">
        <f t="shared" si="155"/>
        <v>-50</v>
      </c>
    </row>
    <row r="103" spans="5:88" x14ac:dyDescent="0.2">
      <c r="E103" s="174">
        <v>98</v>
      </c>
      <c r="F103" s="221">
        <f t="shared" si="173"/>
        <v>0.41159999999999997</v>
      </c>
      <c r="G103" s="221">
        <f t="shared" si="156"/>
        <v>0.71050000000000002</v>
      </c>
      <c r="H103" s="221">
        <f t="shared" si="105"/>
        <v>6.3797999999999995</v>
      </c>
      <c r="I103" s="221">
        <f t="shared" si="174"/>
        <v>5.6840000000000002</v>
      </c>
      <c r="J103" s="551">
        <f t="shared" si="106"/>
        <v>12</v>
      </c>
      <c r="K103" s="451">
        <f t="shared" si="107"/>
        <v>16.399999999999999</v>
      </c>
      <c r="L103" s="451">
        <f t="shared" si="108"/>
        <v>28.4</v>
      </c>
      <c r="M103" s="451"/>
      <c r="N103" s="221">
        <f t="shared" si="109"/>
        <v>0.57746478873239437</v>
      </c>
      <c r="O103" s="176">
        <f t="shared" si="181"/>
        <v>6.7612354549719109</v>
      </c>
      <c r="P103" s="176">
        <f t="shared" si="110"/>
        <v>11.390692542350877</v>
      </c>
      <c r="Q103" s="221">
        <f t="shared" si="111"/>
        <v>0.43620873903044588</v>
      </c>
      <c r="R103" s="221">
        <f t="shared" si="112"/>
        <v>0.84515443187148886</v>
      </c>
      <c r="S103" s="451">
        <f t="shared" si="113"/>
        <v>15.5</v>
      </c>
      <c r="T103" s="221">
        <f t="shared" si="114"/>
        <v>3.8686982836495032</v>
      </c>
      <c r="U103" s="221">
        <f t="shared" si="115"/>
        <v>2.9015237127371276</v>
      </c>
      <c r="V103" s="221">
        <f t="shared" si="116"/>
        <v>2.1230661312710692</v>
      </c>
      <c r="W103" s="201">
        <f t="shared" si="117"/>
        <v>350</v>
      </c>
      <c r="X103" s="451">
        <f t="shared" si="158"/>
        <v>199.02121984991388</v>
      </c>
      <c r="Z103" s="221">
        <f t="shared" si="118"/>
        <v>2.1998658618376927</v>
      </c>
      <c r="AA103" s="177">
        <f t="shared" si="119"/>
        <v>1.2072434607645877</v>
      </c>
      <c r="AB103" s="177">
        <f t="shared" si="175"/>
        <v>0.46476039334599145</v>
      </c>
      <c r="AC103" s="177"/>
      <c r="AD103" s="177">
        <f t="shared" si="121"/>
        <v>0.45</v>
      </c>
      <c r="AE103" s="555">
        <f t="shared" si="176"/>
        <v>2230.8943089430895</v>
      </c>
      <c r="AF103" s="538">
        <f t="shared" si="123"/>
        <v>6.4574999999999994E-2</v>
      </c>
      <c r="AH103" s="177">
        <f t="shared" si="124"/>
        <v>2.7675902073022942</v>
      </c>
      <c r="AI103" s="177">
        <f t="shared" si="177"/>
        <v>2.7675902073022942</v>
      </c>
      <c r="AJ103" s="177">
        <f t="shared" si="178"/>
        <v>2.6426594128165144</v>
      </c>
      <c r="AL103" s="555">
        <f t="shared" si="127"/>
        <v>411.59999999999997</v>
      </c>
      <c r="AM103" s="469">
        <f t="shared" si="128"/>
        <v>199.02121984991388</v>
      </c>
      <c r="AO103">
        <f t="shared" si="159"/>
        <v>411.59999999999997</v>
      </c>
      <c r="AP103">
        <f t="shared" si="129"/>
        <v>199.02121984991388</v>
      </c>
      <c r="AR103" s="5">
        <f t="shared" si="160"/>
        <v>5.0245898440081982</v>
      </c>
      <c r="AS103" s="5">
        <f t="shared" si="130"/>
        <v>2.0756926554767205</v>
      </c>
      <c r="AT103" s="5">
        <f t="shared" si="161"/>
        <v>2.9488971885314776</v>
      </c>
      <c r="AU103" s="177">
        <f t="shared" si="162"/>
        <v>0.4131068843264839</v>
      </c>
      <c r="AW103" s="5">
        <f t="shared" si="131"/>
        <v>4.6051229968782526</v>
      </c>
      <c r="AX103" s="5">
        <f t="shared" si="132"/>
        <v>31.983555434604106</v>
      </c>
      <c r="AY103" s="5">
        <f t="shared" si="133"/>
        <v>15.170308270746586</v>
      </c>
      <c r="AZ103" s="5">
        <f t="shared" si="134"/>
        <v>54.401232957181904</v>
      </c>
      <c r="BA103" s="5">
        <f t="shared" si="135"/>
        <v>5.4899546146614249</v>
      </c>
      <c r="BB103" s="469">
        <f t="shared" si="136"/>
        <v>332.74833243524102</v>
      </c>
      <c r="BC103" s="5"/>
      <c r="BD103" s="177">
        <f t="shared" si="163"/>
        <v>1.0270045652091273</v>
      </c>
      <c r="BE103" s="177">
        <f t="shared" si="137"/>
        <v>1.2241106192762141</v>
      </c>
      <c r="BF103" s="177">
        <f t="shared" si="138"/>
        <v>2.0096550183046564</v>
      </c>
      <c r="BG103" s="177"/>
      <c r="BH103" s="538">
        <f t="shared" si="139"/>
        <v>0.11602122146564275</v>
      </c>
      <c r="BI103" s="538">
        <f t="shared" si="140"/>
        <v>7.821490343248097E-2</v>
      </c>
      <c r="BJ103" s="538">
        <f t="shared" si="141"/>
        <v>9.9510609924956927E-3</v>
      </c>
      <c r="BK103" s="538">
        <f t="shared" si="142"/>
        <v>3.6117574893482961E-2</v>
      </c>
      <c r="BL103">
        <f t="shared" si="143"/>
        <v>3.48E-3</v>
      </c>
      <c r="BM103">
        <f t="shared" si="144"/>
        <v>1.3931485389493972E-5</v>
      </c>
      <c r="BN103">
        <f t="shared" si="179"/>
        <v>0.2491315818236135</v>
      </c>
      <c r="BO103" s="469">
        <f t="shared" si="164"/>
        <v>249.13158182361349</v>
      </c>
      <c r="BP103" s="177">
        <f t="shared" si="146"/>
        <v>0.37043999999999999</v>
      </c>
      <c r="BQ103" s="177">
        <f t="shared" si="147"/>
        <v>0.63945000000000007</v>
      </c>
      <c r="BR103" s="538"/>
      <c r="BT103" s="469">
        <f t="shared" si="165"/>
        <v>1009.89</v>
      </c>
      <c r="BU103" s="538">
        <f t="shared" si="148"/>
        <v>5.0627442094098654E-2</v>
      </c>
      <c r="BV103" s="538">
        <f t="shared" si="149"/>
        <v>0.35962723397395113</v>
      </c>
      <c r="BW103" s="538">
        <f t="shared" si="150"/>
        <v>0.96929119022330135</v>
      </c>
      <c r="BX103" s="538">
        <f t="shared" si="151"/>
        <v>0</v>
      </c>
      <c r="BY103" s="538">
        <f t="shared" si="180"/>
        <v>1.5506851717836223</v>
      </c>
      <c r="BZ103" s="538">
        <f t="shared" si="166"/>
        <v>1.3795458662913511</v>
      </c>
      <c r="CA103" s="641">
        <f t="shared" si="153"/>
        <v>7.622070450874259E-2</v>
      </c>
      <c r="CB103" s="469">
        <f t="shared" si="167"/>
        <v>1626.9058762923648</v>
      </c>
      <c r="CC103" s="177">
        <f t="shared" si="168"/>
        <v>2.8859274581159782</v>
      </c>
      <c r="CD103" s="5">
        <f t="shared" si="169"/>
        <v>12.063800000000001</v>
      </c>
      <c r="CE103" s="177">
        <f t="shared" si="170"/>
        <v>0.8069578548370625</v>
      </c>
      <c r="CF103" s="5">
        <f t="shared" si="171"/>
        <v>80.695785483706246</v>
      </c>
      <c r="CG103">
        <f t="shared" si="172"/>
        <v>98</v>
      </c>
      <c r="CI103" s="571">
        <f t="shared" si="154"/>
        <v>-50</v>
      </c>
      <c r="CJ103">
        <f t="shared" si="155"/>
        <v>-50</v>
      </c>
    </row>
    <row r="104" spans="5:88" x14ac:dyDescent="0.2">
      <c r="E104" s="174">
        <v>99</v>
      </c>
      <c r="F104" s="221">
        <f t="shared" ref="F104:F105" si="182">IF(PLOT_TYPE=1, E104/100*Iout_max, min_I*EXP(O104*rr/100))</f>
        <v>0.4158</v>
      </c>
      <c r="G104" s="221">
        <f t="shared" si="156"/>
        <v>0.71775</v>
      </c>
      <c r="H104" s="221">
        <f t="shared" si="105"/>
        <v>6.4448999999999996</v>
      </c>
      <c r="I104" s="221">
        <f t="shared" si="174"/>
        <v>5.742</v>
      </c>
      <c r="J104" s="551">
        <f t="shared" si="106"/>
        <v>12</v>
      </c>
      <c r="K104" s="451">
        <f t="shared" si="107"/>
        <v>16.399999999999999</v>
      </c>
      <c r="L104" s="451">
        <f t="shared" si="108"/>
        <v>28.4</v>
      </c>
      <c r="M104" s="451"/>
      <c r="N104" s="221">
        <f t="shared" si="109"/>
        <v>0.57746478873239437</v>
      </c>
      <c r="O104" s="176">
        <f t="shared" si="181"/>
        <v>6.7612354549719109</v>
      </c>
      <c r="P104" s="176">
        <f t="shared" si="110"/>
        <v>11.390692542350877</v>
      </c>
      <c r="Q104" s="221">
        <f t="shared" si="111"/>
        <v>0.43620873903044588</v>
      </c>
      <c r="R104" s="221">
        <f t="shared" si="112"/>
        <v>0.84515443187148886</v>
      </c>
      <c r="S104" s="451">
        <f t="shared" si="113"/>
        <v>15.5</v>
      </c>
      <c r="T104" s="221">
        <f t="shared" si="114"/>
        <v>3.908174796747967</v>
      </c>
      <c r="U104" s="221">
        <f t="shared" si="115"/>
        <v>2.9311310975609755</v>
      </c>
      <c r="V104" s="221">
        <f t="shared" si="116"/>
        <v>2.1447300713860797</v>
      </c>
      <c r="W104" s="201">
        <f t="shared" si="117"/>
        <v>350</v>
      </c>
      <c r="X104" s="451">
        <f t="shared" si="158"/>
        <v>197.01090449789461</v>
      </c>
      <c r="Z104" s="221">
        <f t="shared" si="118"/>
        <v>2.1998658618376927</v>
      </c>
      <c r="AA104" s="177">
        <f t="shared" si="119"/>
        <v>1.2072434607645877</v>
      </c>
      <c r="AB104" s="177">
        <f t="shared" si="175"/>
        <v>0.46476039334599145</v>
      </c>
      <c r="AC104" s="177"/>
      <c r="AD104" s="177">
        <f t="shared" si="121"/>
        <v>0.45</v>
      </c>
      <c r="AE104" s="555">
        <f t="shared" si="176"/>
        <v>2253.6585365853657</v>
      </c>
      <c r="AF104" s="538">
        <f t="shared" si="123"/>
        <v>6.4574999999999994E-2</v>
      </c>
      <c r="AH104" s="177">
        <f t="shared" si="124"/>
        <v>2.7816747267993587</v>
      </c>
      <c r="AI104" s="177">
        <f t="shared" si="177"/>
        <v>2.7816747267993587</v>
      </c>
      <c r="AJ104" s="177">
        <f t="shared" si="178"/>
        <v>2.6530923902217474</v>
      </c>
      <c r="AL104" s="555">
        <f t="shared" si="127"/>
        <v>415.8</v>
      </c>
      <c r="AM104" s="469">
        <f t="shared" si="128"/>
        <v>197.01090449789461</v>
      </c>
      <c r="AO104">
        <f t="shared" si="159"/>
        <v>415.8</v>
      </c>
      <c r="AP104">
        <f t="shared" si="129"/>
        <v>197.01090449789461</v>
      </c>
      <c r="AR104" s="5">
        <f t="shared" si="160"/>
        <v>5.0758611689470552</v>
      </c>
      <c r="AS104" s="5">
        <f t="shared" si="130"/>
        <v>2.0862560450995189</v>
      </c>
      <c r="AT104" s="5">
        <f t="shared" si="161"/>
        <v>2.9896051238475363</v>
      </c>
      <c r="AU104" s="177">
        <f t="shared" si="162"/>
        <v>0.41101519045925661</v>
      </c>
      <c r="AW104" s="5">
        <f t="shared" si="131"/>
        <v>4.6051229968782526</v>
      </c>
      <c r="AX104" s="5">
        <f t="shared" si="132"/>
        <v>32.631125574193568</v>
      </c>
      <c r="AY104" s="5">
        <f t="shared" si="133"/>
        <v>15.170308270746586</v>
      </c>
      <c r="AZ104" s="5">
        <f t="shared" si="134"/>
        <v>55.502478676940839</v>
      </c>
      <c r="BA104" s="5">
        <f t="shared" si="135"/>
        <v>5.6225337475027057</v>
      </c>
      <c r="BB104" s="469">
        <f t="shared" si="136"/>
        <v>340.73727485016235</v>
      </c>
      <c r="BC104" s="5"/>
      <c r="BD104" s="177">
        <f t="shared" si="163"/>
        <v>1.0296145089080944</v>
      </c>
      <c r="BE104" s="177">
        <f t="shared" si="137"/>
        <v>1.2325307534840821</v>
      </c>
      <c r="BF104" s="177">
        <f t="shared" si="138"/>
        <v>2.0234785769758861</v>
      </c>
      <c r="BG104" s="177"/>
      <c r="BH104" s="538">
        <f t="shared" si="139"/>
        <v>0.11661166406494619</v>
      </c>
      <c r="BI104" s="538">
        <f t="shared" si="140"/>
        <v>7.7818876060285938E-2</v>
      </c>
      <c r="BJ104" s="538">
        <f t="shared" si="141"/>
        <v>9.8505452248947301E-3</v>
      </c>
      <c r="BK104" s="538">
        <f t="shared" si="142"/>
        <v>3.5752750904659916E-2</v>
      </c>
      <c r="BL104">
        <f t="shared" si="143"/>
        <v>3.48E-3</v>
      </c>
      <c r="BM104">
        <f t="shared" si="144"/>
        <v>1.3790763314852623E-5</v>
      </c>
      <c r="BN104">
        <f t="shared" si="179"/>
        <v>0.24888229271628654</v>
      </c>
      <c r="BO104" s="469">
        <f t="shared" si="164"/>
        <v>248.88229271628654</v>
      </c>
      <c r="BP104" s="177">
        <f t="shared" si="146"/>
        <v>0.37422</v>
      </c>
      <c r="BQ104" s="177">
        <f t="shared" si="147"/>
        <v>0.64597499999999997</v>
      </c>
      <c r="BR104" s="538"/>
      <c r="BT104" s="469">
        <f t="shared" si="165"/>
        <v>1020.1949999999999</v>
      </c>
      <c r="BU104" s="538">
        <f t="shared" si="148"/>
        <v>5.0885089773794703E-2</v>
      </c>
      <c r="BV104" s="538">
        <f t="shared" si="149"/>
        <v>0.36459169398816943</v>
      </c>
      <c r="BW104" s="538">
        <f t="shared" si="150"/>
        <v>0.9826717323552856</v>
      </c>
      <c r="BX104" s="538">
        <f t="shared" si="151"/>
        <v>0</v>
      </c>
      <c r="BY104" s="538">
        <f t="shared" si="180"/>
        <v>1.5742289902578739</v>
      </c>
      <c r="BZ104" s="538">
        <f t="shared" si="166"/>
        <v>1.3981485161172498</v>
      </c>
      <c r="CA104" s="641">
        <f t="shared" si="153"/>
        <v>7.6220704508742604E-2</v>
      </c>
      <c r="CB104" s="469">
        <f t="shared" si="167"/>
        <v>1650.4496947666164</v>
      </c>
      <c r="CC104" s="177">
        <f t="shared" si="168"/>
        <v>2.9195269874829033</v>
      </c>
      <c r="CD104" s="5">
        <f t="shared" si="169"/>
        <v>12.1869</v>
      </c>
      <c r="CE104" s="177">
        <f t="shared" si="170"/>
        <v>0.80673610047551236</v>
      </c>
      <c r="CF104" s="5">
        <f t="shared" si="171"/>
        <v>80.673610047551236</v>
      </c>
      <c r="CG104">
        <f t="shared" si="172"/>
        <v>99</v>
      </c>
      <c r="CI104" s="571">
        <f t="shared" si="154"/>
        <v>-50</v>
      </c>
      <c r="CJ104">
        <f t="shared" si="155"/>
        <v>-50</v>
      </c>
    </row>
    <row r="105" spans="5:88" x14ac:dyDescent="0.2">
      <c r="E105" s="174">
        <v>100</v>
      </c>
      <c r="F105" s="221">
        <f t="shared" si="182"/>
        <v>0.42</v>
      </c>
      <c r="G105" s="221">
        <f t="shared" si="156"/>
        <v>0.72499999999999998</v>
      </c>
      <c r="H105" s="221">
        <f t="shared" si="105"/>
        <v>6.51</v>
      </c>
      <c r="I105" s="221">
        <f t="shared" si="174"/>
        <v>5.8</v>
      </c>
      <c r="J105" s="551">
        <f t="shared" si="106"/>
        <v>12</v>
      </c>
      <c r="K105" s="451">
        <f t="shared" si="107"/>
        <v>16.399999999999999</v>
      </c>
      <c r="L105" s="451">
        <f t="shared" si="108"/>
        <v>28.4</v>
      </c>
      <c r="M105" s="451"/>
      <c r="N105" s="221">
        <f t="shared" si="109"/>
        <v>0.57746478873239437</v>
      </c>
      <c r="O105" s="176">
        <f t="shared" si="181"/>
        <v>6.7612354549719109</v>
      </c>
      <c r="P105" s="176">
        <f t="shared" si="110"/>
        <v>11.390692542350877</v>
      </c>
      <c r="Q105" s="221">
        <f t="shared" si="111"/>
        <v>0.43620873903044588</v>
      </c>
      <c r="R105" s="221">
        <f t="shared" si="112"/>
        <v>0.84515443187148886</v>
      </c>
      <c r="S105" s="451">
        <f t="shared" si="113"/>
        <v>15.5</v>
      </c>
      <c r="T105" s="221">
        <f t="shared" si="114"/>
        <v>3.9476513098464312</v>
      </c>
      <c r="U105" s="221">
        <f t="shared" si="115"/>
        <v>2.9607384823848233</v>
      </c>
      <c r="V105" s="221">
        <f t="shared" si="116"/>
        <v>2.1663940115010902</v>
      </c>
      <c r="W105" s="201">
        <f t="shared" si="117"/>
        <v>350</v>
      </c>
      <c r="X105" s="451">
        <f t="shared" si="158"/>
        <v>195.04079545291572</v>
      </c>
      <c r="Z105" s="221">
        <f t="shared" si="118"/>
        <v>2.1998658618376927</v>
      </c>
      <c r="AA105" s="177">
        <f t="shared" si="119"/>
        <v>1.2072434607645877</v>
      </c>
      <c r="AB105" s="177">
        <f t="shared" si="175"/>
        <v>0.46476039334599145</v>
      </c>
      <c r="AC105" s="177"/>
      <c r="AD105" s="177">
        <f t="shared" si="121"/>
        <v>0.45</v>
      </c>
      <c r="AE105" s="555">
        <f t="shared" si="176"/>
        <v>2276.4227642276423</v>
      </c>
      <c r="AF105" s="538">
        <f t="shared" si="123"/>
        <v>6.4574999999999994E-2</v>
      </c>
      <c r="AH105" s="177">
        <f t="shared" si="124"/>
        <v>2.7956882901841928</v>
      </c>
      <c r="AI105" s="177">
        <f t="shared" si="177"/>
        <v>2.7956882901841928</v>
      </c>
      <c r="AJ105" s="177">
        <f t="shared" si="178"/>
        <v>2.6634728075438465</v>
      </c>
      <c r="AL105" s="555">
        <f t="shared" si="127"/>
        <v>420</v>
      </c>
      <c r="AM105" s="469">
        <f t="shared" si="128"/>
        <v>195.04079545291572</v>
      </c>
      <c r="AO105">
        <f t="shared" si="159"/>
        <v>420</v>
      </c>
      <c r="AP105" s="3">
        <f t="shared" si="129"/>
        <v>195.04079545291572</v>
      </c>
      <c r="AR105" s="5">
        <f t="shared" si="160"/>
        <v>5.1271324938859122</v>
      </c>
      <c r="AS105" s="5">
        <f t="shared" si="130"/>
        <v>2.0967662176381445</v>
      </c>
      <c r="AT105" s="5">
        <f t="shared" si="161"/>
        <v>3.0303662762477677</v>
      </c>
      <c r="AU105" s="177">
        <f t="shared" si="162"/>
        <v>0.40895495096694517</v>
      </c>
      <c r="AW105" s="5">
        <f t="shared" si="131"/>
        <v>4.6051229968782526</v>
      </c>
      <c r="AX105" s="5">
        <f t="shared" si="132"/>
        <v>33.285184750733151</v>
      </c>
      <c r="AY105" s="5">
        <f t="shared" si="133"/>
        <v>15.170308270746586</v>
      </c>
      <c r="AZ105" s="5">
        <f t="shared" si="134"/>
        <v>56.614757348169412</v>
      </c>
      <c r="BA105" s="5">
        <f t="shared" si="135"/>
        <v>5.7567606266373472</v>
      </c>
      <c r="BB105" s="469">
        <f t="shared" si="136"/>
        <v>348.82508204268532</v>
      </c>
      <c r="BC105" s="5"/>
      <c r="BD105" s="177">
        <f t="shared" si="163"/>
        <v>1.0322047545537689</v>
      </c>
      <c r="BE105" s="177">
        <f t="shared" si="137"/>
        <v>1.2409046498291474</v>
      </c>
      <c r="BF105" s="177">
        <f t="shared" si="138"/>
        <v>2.0372262257158127</v>
      </c>
      <c r="BG105" s="177"/>
      <c r="BH105" s="538">
        <f t="shared" si="139"/>
        <v>0.1171991320855747</v>
      </c>
      <c r="BI105" s="538">
        <f t="shared" si="140"/>
        <v>7.7428804049741604E-2</v>
      </c>
      <c r="BJ105" s="538">
        <f t="shared" si="141"/>
        <v>9.7520397726457864E-3</v>
      </c>
      <c r="BK105" s="538">
        <f t="shared" si="142"/>
        <v>3.539522339561333E-2</v>
      </c>
      <c r="BL105">
        <f t="shared" si="143"/>
        <v>3.48E-3</v>
      </c>
      <c r="BM105">
        <f t="shared" si="144"/>
        <v>1.3652855681704101E-5</v>
      </c>
      <c r="BN105">
        <f t="shared" si="179"/>
        <v>0.24864537065136405</v>
      </c>
      <c r="BO105" s="469">
        <f t="shared" si="164"/>
        <v>248.64537065136406</v>
      </c>
      <c r="BP105" s="177">
        <f t="shared" si="146"/>
        <v>0.378</v>
      </c>
      <c r="BQ105" s="177">
        <f t="shared" si="147"/>
        <v>0.65249999999999997</v>
      </c>
      <c r="BR105" s="538"/>
      <c r="BT105" s="469">
        <f t="shared" si="165"/>
        <v>1030.5</v>
      </c>
      <c r="BU105" s="538">
        <f t="shared" si="148"/>
        <v>5.1141439455523505E-2</v>
      </c>
      <c r="BV105" s="538">
        <f t="shared" si="149"/>
        <v>0.36956264399222372</v>
      </c>
      <c r="BW105" s="538">
        <f t="shared" si="150"/>
        <v>0.99606976673863079</v>
      </c>
      <c r="BX105" s="538">
        <f t="shared" si="151"/>
        <v>0</v>
      </c>
      <c r="BY105" s="538">
        <f t="shared" si="180"/>
        <v>1.5978806971855877</v>
      </c>
      <c r="BZ105" s="538">
        <f t="shared" si="166"/>
        <v>1.416773850186378</v>
      </c>
      <c r="CA105" s="641">
        <f t="shared" si="153"/>
        <v>7.6220704508742632E-2</v>
      </c>
      <c r="CB105" s="469">
        <f t="shared" si="167"/>
        <v>1674.1014016943302</v>
      </c>
      <c r="CC105" s="177">
        <f t="shared" si="168"/>
        <v>2.9532467723456945</v>
      </c>
      <c r="CD105" s="5">
        <f t="shared" si="169"/>
        <v>12.309999999999999</v>
      </c>
      <c r="CE105" s="177">
        <f t="shared" si="170"/>
        <v>0.80651254504405601</v>
      </c>
      <c r="CF105" s="5">
        <f t="shared" si="171"/>
        <v>80.6512545044056</v>
      </c>
      <c r="CG105">
        <f t="shared" si="172"/>
        <v>100</v>
      </c>
      <c r="CI105" s="571">
        <f t="shared" si="154"/>
        <v>-50</v>
      </c>
      <c r="CJ105">
        <f t="shared" si="155"/>
        <v>-50</v>
      </c>
    </row>
    <row r="106" spans="5:88" x14ac:dyDescent="0.2">
      <c r="E106" s="174"/>
      <c r="F106" s="221"/>
      <c r="G106" s="221"/>
      <c r="H106" s="221"/>
      <c r="I106" s="221"/>
      <c r="J106" s="551"/>
      <c r="K106" s="451"/>
      <c r="L106" s="451"/>
      <c r="M106" s="451"/>
      <c r="N106" s="221"/>
      <c r="O106" s="176"/>
      <c r="P106" s="176"/>
      <c r="Q106" s="221"/>
      <c r="R106" s="221"/>
      <c r="S106" s="221"/>
      <c r="T106" s="221"/>
      <c r="U106" s="221"/>
      <c r="V106" s="221"/>
      <c r="W106" s="201"/>
      <c r="X106" s="451"/>
      <c r="Z106" s="221"/>
      <c r="AA106" s="177"/>
      <c r="AB106" s="177"/>
      <c r="AC106" s="177"/>
      <c r="AD106" s="177"/>
      <c r="AE106" s="555"/>
      <c r="AF106" s="538"/>
      <c r="AH106" s="177"/>
      <c r="AI106" s="177"/>
      <c r="AJ106" s="177"/>
      <c r="AL106" s="555"/>
      <c r="AM106" s="469"/>
      <c r="AP106" s="3"/>
      <c r="AR106" s="5"/>
      <c r="AS106" s="5"/>
      <c r="AT106" s="5"/>
      <c r="AU106" s="177"/>
      <c r="AW106" s="5"/>
      <c r="AX106" s="5"/>
      <c r="AY106" s="5"/>
      <c r="AZ106" s="5"/>
      <c r="BA106" s="5"/>
      <c r="BB106" s="5"/>
      <c r="BC106" s="5"/>
      <c r="BD106" s="177"/>
      <c r="BE106" s="177"/>
      <c r="BF106" s="177"/>
      <c r="BG106" s="177"/>
      <c r="BH106" s="538"/>
      <c r="BI106" s="538"/>
      <c r="BJ106" s="538"/>
      <c r="BK106" s="538"/>
      <c r="BO106" s="469"/>
      <c r="BP106" s="177"/>
      <c r="BQ106" s="177"/>
      <c r="BR106" s="538"/>
      <c r="BT106" s="469"/>
      <c r="BU106" s="538"/>
      <c r="BV106" s="538"/>
      <c r="BW106" s="538"/>
      <c r="BX106" s="538"/>
      <c r="BY106" s="538"/>
      <c r="BZ106" s="538"/>
      <c r="CA106" s="641"/>
      <c r="CB106" s="469"/>
      <c r="CC106" s="177"/>
      <c r="CD106" s="5"/>
      <c r="CE106" s="177"/>
      <c r="CF106" s="5"/>
    </row>
    <row r="107" spans="5:88" x14ac:dyDescent="0.2">
      <c r="G107" s="221"/>
      <c r="H107" s="221"/>
      <c r="I107" s="221"/>
      <c r="J107" s="551"/>
      <c r="K107" s="451"/>
      <c r="L107" s="451"/>
      <c r="M107" s="451"/>
      <c r="N107" s="221"/>
      <c r="O107" s="176"/>
      <c r="P107" s="176"/>
      <c r="Q107" s="221"/>
      <c r="R107" s="221"/>
      <c r="S107" s="221"/>
      <c r="T107" s="221"/>
      <c r="U107" s="221"/>
      <c r="V107" s="221"/>
      <c r="W107" s="201"/>
      <c r="X107" s="451"/>
      <c r="Z107" s="221"/>
      <c r="AA107" s="177"/>
      <c r="AB107" s="177"/>
      <c r="AC107" s="177"/>
      <c r="AD107" s="177"/>
      <c r="AE107" s="555"/>
      <c r="AF107" s="538"/>
      <c r="AH107" s="177"/>
      <c r="AI107" s="177"/>
      <c r="AJ107" s="177"/>
      <c r="AL107" s="555"/>
      <c r="AM107" s="469"/>
      <c r="AR107" s="5"/>
      <c r="AS107" s="5"/>
      <c r="AT107" s="5"/>
      <c r="AU107" s="177"/>
      <c r="AW107" s="5"/>
      <c r="AX107" s="5"/>
      <c r="AY107" s="5"/>
      <c r="AZ107" s="5"/>
      <c r="BA107" s="5"/>
      <c r="BB107" s="5"/>
      <c r="BC107" s="5"/>
      <c r="BD107" s="177"/>
      <c r="BE107" s="177"/>
      <c r="BF107" s="177"/>
      <c r="BG107" s="177"/>
      <c r="BH107" s="538"/>
      <c r="BI107" s="538"/>
      <c r="BJ107" s="538"/>
      <c r="BK107" s="538"/>
      <c r="BO107" s="469"/>
      <c r="BP107" s="177"/>
      <c r="BQ107" s="177"/>
      <c r="BR107" s="538"/>
      <c r="BT107" s="469"/>
      <c r="BU107" s="538"/>
      <c r="BV107" s="538"/>
      <c r="BW107" s="538"/>
      <c r="BX107" s="538"/>
      <c r="BY107" s="538"/>
      <c r="BZ107" s="538"/>
      <c r="CA107" s="641"/>
      <c r="CB107" s="469"/>
      <c r="CC107" s="177"/>
      <c r="CD107" s="5"/>
      <c r="CE107" s="177"/>
      <c r="CF107" s="5"/>
    </row>
    <row r="108" spans="5:88" x14ac:dyDescent="0.2">
      <c r="E108" s="453" t="s">
        <v>441</v>
      </c>
      <c r="G108" s="221"/>
      <c r="H108" s="221"/>
      <c r="I108" s="221"/>
      <c r="J108" s="551"/>
      <c r="K108" s="451"/>
      <c r="L108" s="451"/>
      <c r="M108" s="451"/>
      <c r="N108" s="221"/>
      <c r="O108" s="176"/>
      <c r="P108" s="176"/>
      <c r="Q108" s="221"/>
      <c r="R108" s="221"/>
      <c r="S108" s="221"/>
      <c r="T108" s="221"/>
      <c r="U108" s="221"/>
      <c r="V108" s="221"/>
      <c r="W108" s="201"/>
      <c r="X108" s="451"/>
      <c r="Z108" s="221"/>
      <c r="AA108" s="177"/>
      <c r="AB108" s="177"/>
      <c r="AC108" s="177"/>
      <c r="AD108" s="177"/>
      <c r="AE108" s="555"/>
      <c r="AF108" s="538"/>
      <c r="AH108" s="177"/>
      <c r="AI108" s="177"/>
      <c r="AJ108" s="177"/>
      <c r="AL108" s="555"/>
      <c r="AM108" s="469"/>
      <c r="AR108" s="5"/>
      <c r="AS108" s="5"/>
      <c r="AT108" s="5"/>
      <c r="AU108" s="177"/>
      <c r="AW108" s="543" t="s">
        <v>477</v>
      </c>
      <c r="AX108" s="543"/>
      <c r="AY108" s="543" t="s">
        <v>477</v>
      </c>
      <c r="AZ108" s="543"/>
      <c r="BA108" s="543"/>
      <c r="BB108" s="543"/>
      <c r="BC108" s="543"/>
      <c r="BD108" s="568" t="s">
        <v>478</v>
      </c>
      <c r="BE108" s="543"/>
      <c r="BF108" s="543"/>
      <c r="BG108" s="543"/>
      <c r="BH108" s="568" t="s">
        <v>502</v>
      </c>
      <c r="BI108" s="543"/>
      <c r="BJ108" s="543"/>
      <c r="BK108" s="543"/>
      <c r="BL108" s="543"/>
      <c r="BM108" s="543"/>
      <c r="BN108" s="543"/>
      <c r="BO108" s="543"/>
      <c r="BP108" s="568" t="s">
        <v>498</v>
      </c>
      <c r="BQ108" s="543"/>
      <c r="BR108" s="543"/>
      <c r="BS108" s="543"/>
      <c r="BT108" s="543"/>
      <c r="BU108" s="569" t="s">
        <v>499</v>
      </c>
      <c r="BV108" s="543"/>
      <c r="BW108" s="543"/>
      <c r="BX108" s="543"/>
      <c r="BY108" s="543"/>
      <c r="BZ108" s="543"/>
      <c r="CA108" s="543"/>
      <c r="CB108" s="543"/>
      <c r="CC108" s="568"/>
      <c r="CD108" s="543"/>
      <c r="CE108" s="543"/>
      <c r="CF108" s="543"/>
      <c r="CG108" s="543"/>
    </row>
    <row r="109" spans="5:88" ht="45" customHeight="1" thickBot="1" x14ac:dyDescent="0.25">
      <c r="E109" s="245" t="s">
        <v>25</v>
      </c>
      <c r="F109" s="613" t="s">
        <v>594</v>
      </c>
      <c r="G109" s="452" t="s">
        <v>593</v>
      </c>
      <c r="H109" s="614" t="s">
        <v>595</v>
      </c>
      <c r="I109" s="615" t="s">
        <v>596</v>
      </c>
      <c r="J109" s="246" t="s">
        <v>419</v>
      </c>
      <c r="K109" s="247" t="s">
        <v>425</v>
      </c>
      <c r="L109" s="537" t="s">
        <v>420</v>
      </c>
      <c r="M109" s="537"/>
      <c r="N109" s="248" t="s">
        <v>48</v>
      </c>
      <c r="O109" s="617" t="s">
        <v>604</v>
      </c>
      <c r="P109" s="617" t="s">
        <v>619</v>
      </c>
      <c r="Q109" s="537" t="s">
        <v>410</v>
      </c>
      <c r="R109" s="617" t="s">
        <v>598</v>
      </c>
      <c r="S109" s="537" t="s">
        <v>440</v>
      </c>
      <c r="T109" s="617" t="s">
        <v>421</v>
      </c>
      <c r="U109" s="537" t="s">
        <v>473</v>
      </c>
      <c r="V109" s="537" t="s">
        <v>472</v>
      </c>
      <c r="W109" s="556" t="s">
        <v>427</v>
      </c>
      <c r="X109" s="552" t="s">
        <v>432</v>
      </c>
      <c r="Z109" s="249" t="s">
        <v>424</v>
      </c>
      <c r="AA109" s="249" t="s">
        <v>471</v>
      </c>
      <c r="AB109" s="249" t="s">
        <v>601</v>
      </c>
      <c r="AC109" s="554"/>
      <c r="AD109" s="249" t="s">
        <v>470</v>
      </c>
      <c r="AE109" s="618" t="s">
        <v>433</v>
      </c>
      <c r="AF109" s="249" t="s">
        <v>602</v>
      </c>
      <c r="AG109" s="554"/>
      <c r="AH109" s="177"/>
      <c r="AI109" s="557" t="s">
        <v>437</v>
      </c>
      <c r="AJ109" s="557" t="s">
        <v>438</v>
      </c>
      <c r="AL109" s="553" t="s">
        <v>274</v>
      </c>
      <c r="AM109" s="553" t="s">
        <v>439</v>
      </c>
      <c r="AO109" s="249" t="s">
        <v>274</v>
      </c>
      <c r="AP109" s="249" t="s">
        <v>439</v>
      </c>
      <c r="AQ109" s="558"/>
      <c r="AR109" s="249" t="s">
        <v>474</v>
      </c>
      <c r="AS109" s="249" t="s">
        <v>468</v>
      </c>
      <c r="AT109" s="249" t="s">
        <v>469</v>
      </c>
      <c r="AU109" s="249" t="s">
        <v>48</v>
      </c>
      <c r="AV109" s="554"/>
      <c r="AW109" s="249" t="s">
        <v>605</v>
      </c>
      <c r="AX109" s="249"/>
      <c r="AY109" s="249" t="s">
        <v>606</v>
      </c>
      <c r="AZ109" s="249"/>
      <c r="BA109" s="249" t="s">
        <v>525</v>
      </c>
      <c r="BB109" s="249"/>
      <c r="BC109" s="554"/>
      <c r="BD109" s="567" t="s">
        <v>463</v>
      </c>
      <c r="BE109" s="249" t="s">
        <v>613</v>
      </c>
      <c r="BF109" s="249" t="s">
        <v>612</v>
      </c>
      <c r="BG109" s="554"/>
      <c r="BH109" s="567" t="s">
        <v>481</v>
      </c>
      <c r="BI109" s="249" t="s">
        <v>482</v>
      </c>
      <c r="BJ109" s="249" t="s">
        <v>480</v>
      </c>
      <c r="BK109" s="249" t="s">
        <v>476</v>
      </c>
      <c r="BL109" s="249" t="s">
        <v>485</v>
      </c>
      <c r="BM109" s="249" t="s">
        <v>793</v>
      </c>
      <c r="BN109" s="249" t="s">
        <v>686</v>
      </c>
      <c r="BO109" s="249" t="s">
        <v>500</v>
      </c>
      <c r="BP109" s="567" t="s">
        <v>615</v>
      </c>
      <c r="BQ109" s="249" t="s">
        <v>614</v>
      </c>
      <c r="BR109" s="249" t="s">
        <v>484</v>
      </c>
      <c r="BS109" s="249" t="s">
        <v>492</v>
      </c>
      <c r="BT109" s="249" t="s">
        <v>496</v>
      </c>
      <c r="BU109" s="567" t="s">
        <v>465</v>
      </c>
      <c r="BV109" s="249" t="s">
        <v>617</v>
      </c>
      <c r="BW109" s="249" t="s">
        <v>616</v>
      </c>
      <c r="BX109" s="249" t="s">
        <v>475</v>
      </c>
      <c r="BY109" s="249" t="s">
        <v>692</v>
      </c>
      <c r="BZ109" s="249" t="s">
        <v>800</v>
      </c>
      <c r="CA109" s="249" t="s">
        <v>493</v>
      </c>
      <c r="CB109" s="249" t="s">
        <v>495</v>
      </c>
      <c r="CC109" s="567" t="s">
        <v>491</v>
      </c>
      <c r="CD109" s="249" t="s">
        <v>223</v>
      </c>
      <c r="CE109" s="249" t="s">
        <v>47</v>
      </c>
      <c r="CF109" s="249" t="s">
        <v>494</v>
      </c>
      <c r="CG109" s="249" t="s">
        <v>618</v>
      </c>
      <c r="CI109" s="579" t="s">
        <v>507</v>
      </c>
    </row>
    <row r="110" spans="5:88" x14ac:dyDescent="0.2">
      <c r="E110" s="174">
        <v>0.1</v>
      </c>
      <c r="F110" s="221">
        <v>1.0000000000000001E-9</v>
      </c>
      <c r="G110" s="221">
        <f t="shared" ref="G110:G141" si="183">IF(PLOT_TYPE=1, E110/100*Iout2, min_I*EXP(Q110*rr/100))</f>
        <v>7.2499999999999995E-4</v>
      </c>
      <c r="H110" s="221">
        <f t="shared" ref="H110:H141" si="184">F110*Vout</f>
        <v>1.55E-8</v>
      </c>
      <c r="I110" s="221">
        <f t="shared" ref="I110:I141" si="185">Vout2*G110</f>
        <v>5.7999999999999996E-3</v>
      </c>
      <c r="J110" s="551">
        <f t="shared" ref="J110:J173" si="186">VIN_min</f>
        <v>9</v>
      </c>
      <c r="K110" s="451">
        <f t="shared" ref="K110:K173" si="187">(S110+Vfwd1)*Nps</f>
        <v>16.399999999999999</v>
      </c>
      <c r="L110" s="451">
        <f t="shared" ref="L110:L173" si="188">(Vout+Vfwd1)*Nps+J110</f>
        <v>25.4</v>
      </c>
      <c r="M110" s="451"/>
      <c r="N110" s="221">
        <f t="shared" ref="N110:N173" si="189">(Vout+Vfwd1)*Nps/((Vout+Vfwd1)*Nps+J110)</f>
        <v>0.64566929133858264</v>
      </c>
      <c r="O110" s="176">
        <f t="shared" ref="O110:O141" si="190">N110*J110*Isw_max*0.5*Efficiency*Pout/(Pout+Pout2)</f>
        <v>5.6698549287756563</v>
      </c>
      <c r="P110" s="176">
        <f t="shared" ref="P110:P141" si="191">N110*J110*Isw_max*0.5*Efficiency*(Pout2/Pout_total)</f>
        <v>9.552037446932033</v>
      </c>
      <c r="Q110" s="221">
        <f t="shared" ref="Q110:Q173" si="192">O110/Vout</f>
        <v>0.36579709217907458</v>
      </c>
      <c r="R110" s="221">
        <f t="shared" ref="R110:R141" si="193">O110/Vout2</f>
        <v>0.70873186609695704</v>
      </c>
      <c r="S110" s="221">
        <f t="shared" ref="S110:S141" si="194">MIN(Vout,O110/F110)</f>
        <v>15.5</v>
      </c>
      <c r="T110" s="221">
        <f t="shared" ref="T110:T141" si="195">MIN(2*(Vout*F110+Vout2*G110)/(Efficiency*J110*N110), Isw_max)</f>
        <v>2.2180125519421861E-3</v>
      </c>
      <c r="U110" s="221">
        <f t="shared" ref="U110:U173" si="196">L*T110/J110*1000000</f>
        <v>2.2180125519421861E-3</v>
      </c>
      <c r="V110" s="221">
        <f t="shared" ref="V110:V173" si="197">L*T110/K110*1000000</f>
        <v>1.2172020102121754E-3</v>
      </c>
      <c r="W110" s="201">
        <f t="shared" ref="W110:W173" si="198">IF(1/((350000*L)*(1/J110+1/K110))&gt;Isw_min, 350, 0.001/((Isw_min*L)*(1/J110+1/K110)))</f>
        <v>350</v>
      </c>
      <c r="X110" s="451">
        <f t="shared" ref="X110:X173" si="199">MIN(1/(U110+V110)*1000, 350)</f>
        <v>350</v>
      </c>
      <c r="Z110" s="221">
        <f t="shared" ref="Z110:Z173" si="200">1/((W110*1000*L)*(1/J110+1/K110))</f>
        <v>1.8447694038245221</v>
      </c>
      <c r="AA110" s="177">
        <f t="shared" ref="AA110:AA173" si="201">L*Z110/K110*1000000</f>
        <v>1.0123734533183355</v>
      </c>
      <c r="AB110" s="177">
        <f t="shared" ref="AB110:AB141" si="202">0.5*AA110*Z110*Nps*W110/1000*(Pout/(Pout+Pout2))</f>
        <v>0.17283982577713339</v>
      </c>
      <c r="AC110" s="177"/>
      <c r="AD110" s="177">
        <f t="shared" ref="AD110:AD173" si="203">L*Isw_min/K110*1000000</f>
        <v>0.45</v>
      </c>
      <c r="AE110" s="555">
        <f t="shared" ref="AE110:AE141" si="204">MAX(10, F110/(0.5*AD110/1000000*Isw_min*Nps)/1000*Pout_total/Pout)</f>
        <v>10</v>
      </c>
      <c r="AF110" s="538">
        <f t="shared" ref="AF110:AF141" si="205">0.5*AD110/1000000*Isw_min*Nps*W110*1000*(Pout/Pout_total)</f>
        <v>6.4574999999999994E-2</v>
      </c>
      <c r="AH110" s="177">
        <f t="shared" ref="AH110:AH141" si="206">SQRT((H110+I110)/(0.5*L*Fsw_DCM))</f>
        <v>6.0684013741755111E-2</v>
      </c>
      <c r="AI110" s="177">
        <f t="shared" ref="AI110:AI141" si="207">MAX(IF(F110&gt;AB110,T110,AH110),Isw_min)</f>
        <v>0.82</v>
      </c>
      <c r="AJ110" s="177">
        <f t="shared" ref="AJ110:AJ141" si="208">IF(F110&gt;AF110, (AI110-Isw_min)/1.08*0.8+1.2, AE110*0.2/350+1)</f>
        <v>1.0057142857142858</v>
      </c>
      <c r="AL110" s="555">
        <f t="shared" ref="AL110:AL141" si="209">F110*1000</f>
        <v>1.0000000000000002E-6</v>
      </c>
      <c r="AM110" s="469">
        <f t="shared" ref="AM110:AM141" si="210">IF(F110&gt;AF110, X110, AE110)</f>
        <v>10</v>
      </c>
      <c r="AO110" s="469">
        <f t="shared" ref="AO110:AO173" si="211">IF(H110&gt;O110, "",AL110)</f>
        <v>1.0000000000000002E-6</v>
      </c>
      <c r="AP110" s="469">
        <f t="shared" ref="AP110:AP173" si="212">IF(H110&gt;O110, "",AM110)</f>
        <v>10</v>
      </c>
      <c r="AR110" s="5">
        <f t="shared" si="160"/>
        <v>100</v>
      </c>
      <c r="AS110" s="5">
        <f t="shared" ref="AS110:AS114" si="213">L*AI110/J110*1000000</f>
        <v>0.82</v>
      </c>
      <c r="AT110" s="5">
        <f t="shared" ref="AT110:AT114" si="214">AR110-AS110</f>
        <v>99.18</v>
      </c>
      <c r="AU110" s="177">
        <f t="shared" ref="AU110:AU114" si="215">AS110/AR110</f>
        <v>8.199999999999999E-3</v>
      </c>
      <c r="AW110" s="5">
        <f t="shared" ref="AW110:AW169" si="216">F110*AS110/Vout_ripple*1000</f>
        <v>5.2903225806451607E-9</v>
      </c>
      <c r="AX110" s="5"/>
      <c r="AY110" s="5">
        <f t="shared" ref="AY110:AY169" si="217">G110*AS110/Vout_ripple2*1000</f>
        <v>7.4312499999999995E-3</v>
      </c>
      <c r="AZ110" s="5"/>
      <c r="BA110" s="5">
        <f t="shared" ref="BA110:BA169" si="218">H110/Efficiency/J110*AT110/Vinripple1</f>
        <v>3.1631481481481478E-7</v>
      </c>
      <c r="BB110" s="5"/>
      <c r="BC110" s="5"/>
      <c r="BD110" s="177">
        <f t="shared" ref="BD110:BD169" si="219">AI110*SQRT(AU110/3)</f>
        <v>4.2870658186378863E-2</v>
      </c>
      <c r="BE110" s="177">
        <f t="shared" ref="BE110:BE169" si="220">AI110*Npri_sec1*SQRT((1-AU110)/3)*(Pout/Pout_total)</f>
        <v>0.4714821735760536</v>
      </c>
      <c r="BF110" s="177">
        <f t="shared" ref="BF110:BF169" si="221">AI110*Npri_sec2*SQRT((1-AU110)/3)*(Pout2/Pout_total)</f>
        <v>0.77404484631343684</v>
      </c>
      <c r="BG110" s="177"/>
      <c r="BH110" s="538">
        <f t="shared" ref="BH110:BH169" si="222">Rdson*BD110^2</f>
        <v>2.0216826666666663E-4</v>
      </c>
      <c r="BI110" s="538">
        <f t="shared" ref="BI110:BI169" si="223">0.5*L110*AI110*AM110*1000*Trise</f>
        <v>1.0413999999999998E-3</v>
      </c>
      <c r="BJ110" s="538">
        <f t="shared" ref="BJ110:BJ169" si="224">Qg*Vdd*AM110*1000</f>
        <v>5.0000000000000001E-4</v>
      </c>
      <c r="BK110" s="538">
        <f t="shared" ref="BK110:BK169" si="225">0.5*(Coss+Csw)*L110^2*AM110*1000</f>
        <v>1.4516099999999999E-3</v>
      </c>
      <c r="BL110">
        <f t="shared" ref="BL110:BL169" si="226">J110*IQ</f>
        <v>2.6099999999999999E-3</v>
      </c>
      <c r="BM110">
        <f t="shared" ref="BM110:BM141" si="227">(J110-Vdd)*Qg*AM110</f>
        <v>3.9999999999999998E-7</v>
      </c>
      <c r="BN110">
        <f t="shared" ref="BN110:BN141" si="228">(BI110+BJ110+BK110+BL110+BM110+BH110*(1+RdsonTC*(Ta-25)))/(1-BH110*RdsonTC*ThetaJA)</f>
        <v>5.8057948230759897E-3</v>
      </c>
      <c r="BO110" s="469">
        <f t="shared" ref="BO110:BO169" si="229">SUM(BH110:BL110)*1000</f>
        <v>5.8051782666666654</v>
      </c>
      <c r="BP110" s="177">
        <f t="shared" ref="BP110:BP169" si="230">Vfwd2*F110</f>
        <v>9.000000000000001E-10</v>
      </c>
      <c r="BQ110" s="177">
        <f t="shared" ref="BQ110:BQ169" si="231">Vfwd2*G110</f>
        <v>6.5249999999999998E-4</v>
      </c>
      <c r="BR110" s="538"/>
      <c r="BT110" s="469">
        <f t="shared" ref="BT110:BT169" si="232">SUM(BP110:BS110)*1000</f>
        <v>0.65250089999999994</v>
      </c>
      <c r="BU110" s="538">
        <f t="shared" ref="BU110:BU169" si="233">Rdcr_pri*BD110^2</f>
        <v>8.8218879999999995E-5</v>
      </c>
      <c r="BV110" s="538">
        <f t="shared" ref="BV110:BV169" si="234">Rdcr_sec*BE110^2</f>
        <v>5.3350905599999977E-2</v>
      </c>
      <c r="BW110" s="538">
        <f t="shared" ref="BW110:BW169" si="235">Rdcr_sec2*BF110^2</f>
        <v>0.14379490178505411</v>
      </c>
      <c r="BX110" s="538">
        <f t="shared" ref="BX110:BX169" si="236">AI110^2.5*AM110^2.5*k_core</f>
        <v>0</v>
      </c>
      <c r="BY110" s="538">
        <f t="shared" si="180"/>
        <v>0.20039601936479881</v>
      </c>
      <c r="BZ110" s="538">
        <f t="shared" si="166"/>
        <v>0.1972340262650541</v>
      </c>
      <c r="CA110" s="641">
        <f t="shared" ref="CA110:CA141" si="237">0.5*Lleak*0.000000001*AI110^2*AM110*1000</f>
        <v>3.3619999999999999E-4</v>
      </c>
      <c r="CB110" s="469">
        <f t="shared" ref="CB110:CB169" si="238">SUM(BU110:CA110)*1000</f>
        <v>595.20027189490702</v>
      </c>
      <c r="CC110" s="177">
        <f t="shared" si="168"/>
        <v>0.20719051508787481</v>
      </c>
      <c r="CD110" s="5">
        <f t="shared" ref="CD110:CD169" si="239">MIN(H110+I110,O110+P110)</f>
        <v>5.8000154999999992E-3</v>
      </c>
      <c r="CE110" s="177">
        <f t="shared" ref="CE110:CE169" si="240">CD110/(CD110+CC110)</f>
        <v>2.723133035065637E-2</v>
      </c>
      <c r="CF110" s="5">
        <f t="shared" ref="CF110:CF169" si="241">CE110*100</f>
        <v>2.7231330350656369</v>
      </c>
      <c r="CG110">
        <f t="shared" ref="CG110:CG169" si="242">F110/Iout*100</f>
        <v>2.3809523809523809E-7</v>
      </c>
      <c r="CI110" s="571">
        <f t="shared" ref="CI110:CI141" si="243">IF(ABS(F110-Ioutmax_Vinmin)&lt;Iout/200, AM110, -50)</f>
        <v>-50</v>
      </c>
      <c r="CJ110">
        <f t="shared" ref="CJ110:CJ141" si="244">IF(ABS(F110-Ioutmax_Vinmin)&lt;Iout/200, (O110+P110)*CE110, -50)</f>
        <v>-50</v>
      </c>
    </row>
    <row r="111" spans="5:88" x14ac:dyDescent="0.2">
      <c r="E111" s="174">
        <v>1</v>
      </c>
      <c r="F111" s="221">
        <f t="shared" ref="F111:F142" si="245">IF(PLOT_TYPE=1, E111/100*Iout_max, min_I*EXP(O111*rr/100))</f>
        <v>4.1999999999999997E-3</v>
      </c>
      <c r="G111" s="221">
        <f t="shared" si="183"/>
        <v>7.2499999999999995E-3</v>
      </c>
      <c r="H111" s="221">
        <f t="shared" si="184"/>
        <v>6.5099999999999991E-2</v>
      </c>
      <c r="I111" s="221">
        <f t="shared" si="185"/>
        <v>5.7999999999999996E-2</v>
      </c>
      <c r="J111" s="551">
        <f t="shared" si="186"/>
        <v>9</v>
      </c>
      <c r="K111" s="451">
        <f t="shared" si="187"/>
        <v>16.399999999999999</v>
      </c>
      <c r="L111" s="451">
        <f t="shared" si="188"/>
        <v>25.4</v>
      </c>
      <c r="M111" s="451"/>
      <c r="N111" s="221">
        <f t="shared" si="189"/>
        <v>0.64566929133858264</v>
      </c>
      <c r="O111" s="176">
        <f t="shared" si="190"/>
        <v>5.6698549287756563</v>
      </c>
      <c r="P111" s="176">
        <f t="shared" si="191"/>
        <v>9.552037446932033</v>
      </c>
      <c r="Q111" s="221">
        <f t="shared" si="192"/>
        <v>0.36579709217907458</v>
      </c>
      <c r="R111" s="221">
        <f t="shared" si="193"/>
        <v>0.70873186609695704</v>
      </c>
      <c r="S111" s="221">
        <f t="shared" si="194"/>
        <v>15.5</v>
      </c>
      <c r="T111" s="221">
        <f t="shared" si="195"/>
        <v>4.7075278530563085E-2</v>
      </c>
      <c r="U111" s="221">
        <f t="shared" si="196"/>
        <v>4.7075278530563085E-2</v>
      </c>
      <c r="V111" s="221">
        <f t="shared" si="197"/>
        <v>2.5833994315552913E-2</v>
      </c>
      <c r="W111" s="201">
        <f t="shared" si="198"/>
        <v>350</v>
      </c>
      <c r="X111" s="451">
        <f t="shared" si="199"/>
        <v>350</v>
      </c>
      <c r="Z111" s="221">
        <f t="shared" si="200"/>
        <v>1.8447694038245221</v>
      </c>
      <c r="AA111" s="177">
        <f t="shared" si="201"/>
        <v>1.0123734533183355</v>
      </c>
      <c r="AB111" s="177">
        <f t="shared" si="202"/>
        <v>0.17283982577713339</v>
      </c>
      <c r="AC111" s="177"/>
      <c r="AD111" s="177">
        <f t="shared" si="203"/>
        <v>0.45</v>
      </c>
      <c r="AE111" s="555">
        <f t="shared" si="204"/>
        <v>22.764227642276424</v>
      </c>
      <c r="AF111" s="538">
        <f t="shared" si="205"/>
        <v>6.4574999999999994E-2</v>
      </c>
      <c r="AH111" s="177">
        <f t="shared" si="206"/>
        <v>0.27956882901841928</v>
      </c>
      <c r="AI111" s="177">
        <f t="shared" si="207"/>
        <v>0.82</v>
      </c>
      <c r="AJ111" s="177">
        <f t="shared" si="208"/>
        <v>1.0130081300813008</v>
      </c>
      <c r="AL111" s="555">
        <f t="shared" si="209"/>
        <v>4.2</v>
      </c>
      <c r="AM111" s="469">
        <f t="shared" si="210"/>
        <v>22.764227642276424</v>
      </c>
      <c r="AO111" s="469">
        <f t="shared" si="211"/>
        <v>4.2</v>
      </c>
      <c r="AP111" s="469">
        <f t="shared" si="212"/>
        <v>22.764227642276424</v>
      </c>
      <c r="AR111" s="5">
        <f t="shared" si="160"/>
        <v>43.928571428571431</v>
      </c>
      <c r="AS111" s="5">
        <f t="shared" si="213"/>
        <v>0.82</v>
      </c>
      <c r="AT111" s="5">
        <f t="shared" si="214"/>
        <v>43.10857142857143</v>
      </c>
      <c r="AU111" s="177">
        <f t="shared" si="215"/>
        <v>1.8666666666666665E-2</v>
      </c>
      <c r="AW111" s="5">
        <f t="shared" si="216"/>
        <v>2.2219354838709675E-2</v>
      </c>
      <c r="AX111" s="5"/>
      <c r="AY111" s="5">
        <f t="shared" si="217"/>
        <v>7.431249999999999E-2</v>
      </c>
      <c r="AZ111" s="5"/>
      <c r="BA111" s="5">
        <f t="shared" si="218"/>
        <v>0.57744197530864172</v>
      </c>
      <c r="BB111" s="5"/>
      <c r="BC111" s="5"/>
      <c r="BD111" s="177">
        <f t="shared" si="219"/>
        <v>6.4682472295222462E-2</v>
      </c>
      <c r="BE111" s="177">
        <f t="shared" si="220"/>
        <v>0.46898775155766181</v>
      </c>
      <c r="BF111" s="177">
        <f t="shared" si="221"/>
        <v>0.76994968722561297</v>
      </c>
      <c r="BG111" s="177"/>
      <c r="BH111" s="538">
        <f t="shared" si="222"/>
        <v>4.6022044444444442E-4</v>
      </c>
      <c r="BI111" s="538">
        <f t="shared" si="223"/>
        <v>2.3706666666666663E-3</v>
      </c>
      <c r="BJ111" s="538">
        <f t="shared" si="224"/>
        <v>1.1382113821138211E-3</v>
      </c>
      <c r="BK111" s="538">
        <f t="shared" si="225"/>
        <v>3.3044780487804879E-3</v>
      </c>
      <c r="BL111">
        <f t="shared" si="226"/>
        <v>2.6099999999999999E-3</v>
      </c>
      <c r="BM111">
        <f t="shared" si="227"/>
        <v>9.1056910569105698E-7</v>
      </c>
      <c r="BN111">
        <f t="shared" si="228"/>
        <v>9.8853264808255372E-3</v>
      </c>
      <c r="BO111" s="469">
        <f t="shared" si="229"/>
        <v>9.8835765420054198</v>
      </c>
      <c r="BP111" s="177">
        <f t="shared" si="230"/>
        <v>3.7799999999999999E-3</v>
      </c>
      <c r="BQ111" s="177">
        <f t="shared" si="231"/>
        <v>6.5249999999999996E-3</v>
      </c>
      <c r="BR111" s="538"/>
      <c r="BT111" s="469">
        <f t="shared" si="232"/>
        <v>10.305</v>
      </c>
      <c r="BU111" s="538">
        <f t="shared" si="233"/>
        <v>2.0082346666666664E-4</v>
      </c>
      <c r="BV111" s="538">
        <f t="shared" si="234"/>
        <v>5.2787882666666668E-2</v>
      </c>
      <c r="BW111" s="538">
        <f t="shared" si="235"/>
        <v>0.1422774050061166</v>
      </c>
      <c r="BX111" s="538">
        <f t="shared" si="236"/>
        <v>0</v>
      </c>
      <c r="BY111" s="538">
        <f t="shared" si="180"/>
        <v>0.19836482538259517</v>
      </c>
      <c r="BZ111" s="538">
        <f t="shared" si="166"/>
        <v>0.19526611113944994</v>
      </c>
      <c r="CA111" s="641">
        <f t="shared" si="237"/>
        <v>7.6533333333333336E-4</v>
      </c>
      <c r="CB111" s="469">
        <f t="shared" si="238"/>
        <v>589.66238099482837</v>
      </c>
      <c r="CC111" s="177">
        <f t="shared" si="168"/>
        <v>0.21932048519675404</v>
      </c>
      <c r="CD111" s="5">
        <f t="shared" si="239"/>
        <v>0.12309999999999999</v>
      </c>
      <c r="CE111" s="177">
        <f t="shared" si="240"/>
        <v>0.3594995198060858</v>
      </c>
      <c r="CF111" s="5">
        <f t="shared" si="241"/>
        <v>35.949951980608581</v>
      </c>
      <c r="CG111">
        <f t="shared" si="242"/>
        <v>1</v>
      </c>
      <c r="CI111" s="571">
        <f t="shared" si="243"/>
        <v>-50</v>
      </c>
      <c r="CJ111">
        <f t="shared" si="244"/>
        <v>-50</v>
      </c>
    </row>
    <row r="112" spans="5:88" x14ac:dyDescent="0.2">
      <c r="E112" s="174">
        <v>2</v>
      </c>
      <c r="F112" s="221">
        <f t="shared" si="245"/>
        <v>8.3999999999999995E-3</v>
      </c>
      <c r="G112" s="221">
        <f t="shared" si="183"/>
        <v>1.4499999999999999E-2</v>
      </c>
      <c r="H112" s="221">
        <f t="shared" si="184"/>
        <v>0.13019999999999998</v>
      </c>
      <c r="I112" s="221">
        <f t="shared" si="185"/>
        <v>0.11599999999999999</v>
      </c>
      <c r="J112" s="551">
        <f t="shared" si="186"/>
        <v>9</v>
      </c>
      <c r="K112" s="451">
        <f t="shared" si="187"/>
        <v>16.399999999999999</v>
      </c>
      <c r="L112" s="451">
        <f t="shared" si="188"/>
        <v>25.4</v>
      </c>
      <c r="M112" s="451"/>
      <c r="N112" s="221">
        <f t="shared" si="189"/>
        <v>0.64566929133858264</v>
      </c>
      <c r="O112" s="176">
        <f t="shared" si="190"/>
        <v>5.6698549287756563</v>
      </c>
      <c r="P112" s="176">
        <f t="shared" si="191"/>
        <v>9.552037446932033</v>
      </c>
      <c r="Q112" s="221">
        <f t="shared" si="192"/>
        <v>0.36579709217907458</v>
      </c>
      <c r="R112" s="221">
        <f t="shared" si="193"/>
        <v>0.70873186609695704</v>
      </c>
      <c r="S112" s="221">
        <f t="shared" si="194"/>
        <v>15.5</v>
      </c>
      <c r="T112" s="221">
        <f t="shared" si="195"/>
        <v>9.4150557061126169E-2</v>
      </c>
      <c r="U112" s="221">
        <f t="shared" si="196"/>
        <v>9.4150557061126169E-2</v>
      </c>
      <c r="V112" s="221">
        <f t="shared" si="197"/>
        <v>5.1667988631105825E-2</v>
      </c>
      <c r="W112" s="201">
        <f t="shared" si="198"/>
        <v>350</v>
      </c>
      <c r="X112" s="451">
        <f t="shared" si="199"/>
        <v>350</v>
      </c>
      <c r="Z112" s="221">
        <f t="shared" si="200"/>
        <v>1.8447694038245221</v>
      </c>
      <c r="AA112" s="177">
        <f t="shared" si="201"/>
        <v>1.0123734533183355</v>
      </c>
      <c r="AB112" s="177">
        <f t="shared" si="202"/>
        <v>0.17283982577713339</v>
      </c>
      <c r="AC112" s="177"/>
      <c r="AD112" s="177">
        <f t="shared" si="203"/>
        <v>0.45</v>
      </c>
      <c r="AE112" s="555">
        <f t="shared" si="204"/>
        <v>45.528455284552848</v>
      </c>
      <c r="AF112" s="538">
        <f t="shared" si="205"/>
        <v>6.4574999999999994E-2</v>
      </c>
      <c r="AH112" s="177">
        <f t="shared" si="206"/>
        <v>0.39537002961461343</v>
      </c>
      <c r="AI112" s="177">
        <f t="shared" si="207"/>
        <v>0.82</v>
      </c>
      <c r="AJ112" s="177">
        <f t="shared" si="208"/>
        <v>1.0260162601626017</v>
      </c>
      <c r="AL112" s="555">
        <f t="shared" si="209"/>
        <v>8.4</v>
      </c>
      <c r="AM112" s="469">
        <f t="shared" si="210"/>
        <v>45.528455284552848</v>
      </c>
      <c r="AO112" s="469">
        <f t="shared" si="211"/>
        <v>8.4</v>
      </c>
      <c r="AP112" s="469">
        <f t="shared" si="212"/>
        <v>45.528455284552848</v>
      </c>
      <c r="AR112" s="5">
        <f t="shared" si="160"/>
        <v>21.964285714285715</v>
      </c>
      <c r="AS112" s="5">
        <f t="shared" si="213"/>
        <v>0.82</v>
      </c>
      <c r="AT112" s="5">
        <f t="shared" si="214"/>
        <v>21.144285714285715</v>
      </c>
      <c r="AU112" s="177">
        <f t="shared" si="215"/>
        <v>3.7333333333333329E-2</v>
      </c>
      <c r="AW112" s="5">
        <f t="shared" si="216"/>
        <v>4.443870967741935E-2</v>
      </c>
      <c r="AX112" s="5"/>
      <c r="AY112" s="5">
        <f t="shared" si="217"/>
        <v>0.14862499999999998</v>
      </c>
      <c r="AZ112" s="5"/>
      <c r="BA112" s="5">
        <f t="shared" si="218"/>
        <v>0.56645802469135786</v>
      </c>
      <c r="BB112" s="5"/>
      <c r="BC112" s="5"/>
      <c r="BD112" s="177">
        <f t="shared" si="219"/>
        <v>9.1474829567725582E-2</v>
      </c>
      <c r="BE112" s="177">
        <f t="shared" si="220"/>
        <v>0.46450585452595633</v>
      </c>
      <c r="BF112" s="177">
        <f t="shared" si="221"/>
        <v>0.7625916374550642</v>
      </c>
      <c r="BG112" s="177"/>
      <c r="BH112" s="538">
        <f t="shared" si="222"/>
        <v>9.2044088888888862E-4</v>
      </c>
      <c r="BI112" s="538">
        <f t="shared" si="223"/>
        <v>4.7413333333333326E-3</v>
      </c>
      <c r="BJ112" s="538">
        <f t="shared" si="224"/>
        <v>2.2764227642276423E-3</v>
      </c>
      <c r="BK112" s="538">
        <f t="shared" si="225"/>
        <v>6.6089560975609758E-3</v>
      </c>
      <c r="BL112">
        <f t="shared" si="226"/>
        <v>2.6099999999999999E-3</v>
      </c>
      <c r="BM112">
        <f t="shared" si="227"/>
        <v>1.821138211382114E-6</v>
      </c>
      <c r="BN112">
        <f t="shared" si="228"/>
        <v>1.7161888677222965E-2</v>
      </c>
      <c r="BO112" s="469">
        <f t="shared" si="229"/>
        <v>17.15715308401084</v>
      </c>
      <c r="BP112" s="177">
        <f t="shared" si="230"/>
        <v>7.5599999999999999E-3</v>
      </c>
      <c r="BQ112" s="177">
        <f t="shared" si="231"/>
        <v>1.3049999999999999E-2</v>
      </c>
      <c r="BR112" s="538"/>
      <c r="BT112" s="469">
        <f t="shared" si="232"/>
        <v>20.61</v>
      </c>
      <c r="BU112" s="538">
        <f t="shared" si="233"/>
        <v>4.0164693333333322E-4</v>
      </c>
      <c r="BV112" s="538">
        <f t="shared" si="234"/>
        <v>5.1783765333333336E-2</v>
      </c>
      <c r="BW112" s="538">
        <f t="shared" si="235"/>
        <v>0.13957104132393505</v>
      </c>
      <c r="BX112" s="538">
        <f t="shared" si="236"/>
        <v>0</v>
      </c>
      <c r="BY112" s="538">
        <f t="shared" si="180"/>
        <v>0.19474392595861245</v>
      </c>
      <c r="BZ112" s="538">
        <f t="shared" si="166"/>
        <v>0.19175645359060173</v>
      </c>
      <c r="CA112" s="641">
        <f t="shared" si="237"/>
        <v>1.5306666666666667E-3</v>
      </c>
      <c r="CB112" s="469">
        <f t="shared" si="238"/>
        <v>579.78749980648263</v>
      </c>
      <c r="CC112" s="177">
        <f t="shared" si="168"/>
        <v>0.23404648130250211</v>
      </c>
      <c r="CD112" s="5">
        <f t="shared" si="239"/>
        <v>0.24619999999999997</v>
      </c>
      <c r="CE112" s="177">
        <f t="shared" si="240"/>
        <v>0.51265341774554563</v>
      </c>
      <c r="CF112" s="5">
        <f t="shared" si="241"/>
        <v>51.265341774554564</v>
      </c>
      <c r="CG112">
        <f t="shared" si="242"/>
        <v>2</v>
      </c>
      <c r="CI112" s="571">
        <f t="shared" si="243"/>
        <v>-50</v>
      </c>
      <c r="CJ112">
        <f t="shared" si="244"/>
        <v>-50</v>
      </c>
    </row>
    <row r="113" spans="5:88" x14ac:dyDescent="0.2">
      <c r="E113" s="174">
        <v>3</v>
      </c>
      <c r="F113" s="221">
        <f t="shared" si="245"/>
        <v>1.2599999999999998E-2</v>
      </c>
      <c r="G113" s="221">
        <f t="shared" si="183"/>
        <v>2.1749999999999999E-2</v>
      </c>
      <c r="H113" s="221">
        <f t="shared" si="184"/>
        <v>0.19529999999999997</v>
      </c>
      <c r="I113" s="221">
        <f t="shared" si="185"/>
        <v>0.17399999999999999</v>
      </c>
      <c r="J113" s="551">
        <f t="shared" si="186"/>
        <v>9</v>
      </c>
      <c r="K113" s="451">
        <f t="shared" si="187"/>
        <v>16.399999999999999</v>
      </c>
      <c r="L113" s="451">
        <f t="shared" si="188"/>
        <v>25.4</v>
      </c>
      <c r="M113" s="451"/>
      <c r="N113" s="221">
        <f t="shared" si="189"/>
        <v>0.64566929133858264</v>
      </c>
      <c r="O113" s="176">
        <f t="shared" si="190"/>
        <v>5.6698549287756563</v>
      </c>
      <c r="P113" s="176">
        <f t="shared" si="191"/>
        <v>9.552037446932033</v>
      </c>
      <c r="Q113" s="221">
        <f t="shared" si="192"/>
        <v>0.36579709217907458</v>
      </c>
      <c r="R113" s="221">
        <f t="shared" si="193"/>
        <v>0.70873186609695704</v>
      </c>
      <c r="S113" s="221">
        <f t="shared" si="194"/>
        <v>15.5</v>
      </c>
      <c r="T113" s="221">
        <f t="shared" si="195"/>
        <v>0.14122583559168925</v>
      </c>
      <c r="U113" s="221">
        <f t="shared" si="196"/>
        <v>0.14122583559168925</v>
      </c>
      <c r="V113" s="221">
        <f t="shared" si="197"/>
        <v>7.7501982946658735E-2</v>
      </c>
      <c r="W113" s="201">
        <f t="shared" si="198"/>
        <v>350</v>
      </c>
      <c r="X113" s="451">
        <f t="shared" si="199"/>
        <v>350</v>
      </c>
      <c r="Z113" s="221">
        <f t="shared" si="200"/>
        <v>1.8447694038245221</v>
      </c>
      <c r="AA113" s="177">
        <f t="shared" si="201"/>
        <v>1.0123734533183355</v>
      </c>
      <c r="AB113" s="177">
        <f t="shared" si="202"/>
        <v>0.17283982577713339</v>
      </c>
      <c r="AC113" s="177"/>
      <c r="AD113" s="177">
        <f t="shared" si="203"/>
        <v>0.45</v>
      </c>
      <c r="AE113" s="555">
        <f t="shared" si="204"/>
        <v>68.292682926829258</v>
      </c>
      <c r="AF113" s="538">
        <f t="shared" si="205"/>
        <v>6.4574999999999994E-2</v>
      </c>
      <c r="AH113" s="177">
        <f t="shared" si="206"/>
        <v>0.48422741607243847</v>
      </c>
      <c r="AI113" s="177">
        <f t="shared" si="207"/>
        <v>0.82</v>
      </c>
      <c r="AJ113" s="177">
        <f t="shared" si="208"/>
        <v>1.0390243902439025</v>
      </c>
      <c r="AL113" s="555">
        <f t="shared" si="209"/>
        <v>12.599999999999998</v>
      </c>
      <c r="AM113" s="469">
        <f t="shared" si="210"/>
        <v>68.292682926829258</v>
      </c>
      <c r="AO113" s="469">
        <f t="shared" si="211"/>
        <v>12.599999999999998</v>
      </c>
      <c r="AP113" s="469">
        <f t="shared" si="212"/>
        <v>68.292682926829258</v>
      </c>
      <c r="AR113" s="5">
        <f t="shared" si="160"/>
        <v>14.642857142857144</v>
      </c>
      <c r="AS113" s="5">
        <f t="shared" si="213"/>
        <v>0.82</v>
      </c>
      <c r="AT113" s="5">
        <f t="shared" si="214"/>
        <v>13.822857142857144</v>
      </c>
      <c r="AU113" s="177">
        <f t="shared" si="215"/>
        <v>5.5999999999999994E-2</v>
      </c>
      <c r="AW113" s="5">
        <f t="shared" si="216"/>
        <v>6.6658064516129004E-2</v>
      </c>
      <c r="AX113" s="5"/>
      <c r="AY113" s="5">
        <f t="shared" si="217"/>
        <v>0.22293749999999996</v>
      </c>
      <c r="AZ113" s="5"/>
      <c r="BA113" s="5">
        <f t="shared" si="218"/>
        <v>0.55547407407407401</v>
      </c>
      <c r="BB113" s="5"/>
      <c r="BC113" s="5"/>
      <c r="BD113" s="177">
        <f t="shared" si="219"/>
        <v>0.11203332837449159</v>
      </c>
      <c r="BE113" s="177">
        <f t="shared" si="220"/>
        <v>0.45998028943278274</v>
      </c>
      <c r="BF113" s="177">
        <f t="shared" si="221"/>
        <v>0.75516189666453148</v>
      </c>
      <c r="BG113" s="177"/>
      <c r="BH113" s="538">
        <f t="shared" si="222"/>
        <v>1.380661333333333E-3</v>
      </c>
      <c r="BI113" s="538">
        <f t="shared" si="223"/>
        <v>7.1119999999999968E-3</v>
      </c>
      <c r="BJ113" s="538">
        <f t="shared" si="224"/>
        <v>3.4146341463414625E-3</v>
      </c>
      <c r="BK113" s="538">
        <f t="shared" si="225"/>
        <v>9.9134341463414603E-3</v>
      </c>
      <c r="BL113">
        <f t="shared" si="226"/>
        <v>2.6099999999999999E-3</v>
      </c>
      <c r="BM113">
        <f t="shared" si="227"/>
        <v>2.7317073170731703E-6</v>
      </c>
      <c r="BN113">
        <f t="shared" si="228"/>
        <v>2.44396869040488E-2</v>
      </c>
      <c r="BO113" s="469">
        <f t="shared" si="229"/>
        <v>24.430729626016255</v>
      </c>
      <c r="BP113" s="177">
        <f t="shared" si="230"/>
        <v>1.1339999999999999E-2</v>
      </c>
      <c r="BQ113" s="177">
        <f t="shared" si="231"/>
        <v>1.9574999999999999E-2</v>
      </c>
      <c r="BR113" s="538"/>
      <c r="BT113" s="469">
        <f t="shared" si="232"/>
        <v>30.914999999999999</v>
      </c>
      <c r="BU113" s="538">
        <f t="shared" si="233"/>
        <v>6.0247039999999983E-4</v>
      </c>
      <c r="BV113" s="538">
        <f t="shared" si="234"/>
        <v>5.0779647999999983E-2</v>
      </c>
      <c r="BW113" s="538">
        <f t="shared" si="235"/>
        <v>0.13686467764175342</v>
      </c>
      <c r="BX113" s="538">
        <f t="shared" si="236"/>
        <v>0</v>
      </c>
      <c r="BY113" s="538">
        <f t="shared" si="180"/>
        <v>0.19112509092250138</v>
      </c>
      <c r="BZ113" s="538">
        <f t="shared" si="166"/>
        <v>0.1882467960417534</v>
      </c>
      <c r="CA113" s="641">
        <f t="shared" si="237"/>
        <v>2.2959999999999999E-3</v>
      </c>
      <c r="CB113" s="469">
        <f t="shared" si="238"/>
        <v>569.91468300600809</v>
      </c>
      <c r="CC113" s="177">
        <f t="shared" si="168"/>
        <v>0.24877577782655017</v>
      </c>
      <c r="CD113" s="5">
        <f t="shared" si="239"/>
        <v>0.36929999999999996</v>
      </c>
      <c r="CE113" s="177">
        <f t="shared" si="240"/>
        <v>0.59749955142820077</v>
      </c>
      <c r="CF113" s="5">
        <f t="shared" si="241"/>
        <v>59.749955142820077</v>
      </c>
      <c r="CG113">
        <f t="shared" si="242"/>
        <v>3</v>
      </c>
      <c r="CI113" s="571">
        <f t="shared" si="243"/>
        <v>-50</v>
      </c>
      <c r="CJ113">
        <f t="shared" si="244"/>
        <v>-50</v>
      </c>
    </row>
    <row r="114" spans="5:88" x14ac:dyDescent="0.2">
      <c r="E114" s="174">
        <v>4</v>
      </c>
      <c r="F114" s="221">
        <f t="shared" si="245"/>
        <v>1.6799999999999999E-2</v>
      </c>
      <c r="G114" s="221">
        <f t="shared" si="183"/>
        <v>2.8999999999999998E-2</v>
      </c>
      <c r="H114" s="221">
        <f t="shared" si="184"/>
        <v>0.26039999999999996</v>
      </c>
      <c r="I114" s="221">
        <f t="shared" si="185"/>
        <v>0.23199999999999998</v>
      </c>
      <c r="J114" s="551">
        <f t="shared" si="186"/>
        <v>9</v>
      </c>
      <c r="K114" s="451">
        <f t="shared" si="187"/>
        <v>16.399999999999999</v>
      </c>
      <c r="L114" s="451">
        <f t="shared" si="188"/>
        <v>25.4</v>
      </c>
      <c r="M114" s="451"/>
      <c r="N114" s="221">
        <f t="shared" si="189"/>
        <v>0.64566929133858264</v>
      </c>
      <c r="O114" s="176">
        <f t="shared" si="190"/>
        <v>5.6698549287756563</v>
      </c>
      <c r="P114" s="176">
        <f t="shared" si="191"/>
        <v>9.552037446932033</v>
      </c>
      <c r="Q114" s="221">
        <f t="shared" si="192"/>
        <v>0.36579709217907458</v>
      </c>
      <c r="R114" s="221">
        <f t="shared" si="193"/>
        <v>0.70873186609695704</v>
      </c>
      <c r="S114" s="221">
        <f t="shared" si="194"/>
        <v>15.5</v>
      </c>
      <c r="T114" s="221">
        <f t="shared" si="195"/>
        <v>0.18830111412225234</v>
      </c>
      <c r="U114" s="221">
        <f t="shared" si="196"/>
        <v>0.18830111412225234</v>
      </c>
      <c r="V114" s="221">
        <f t="shared" si="197"/>
        <v>0.10333597726221165</v>
      </c>
      <c r="W114" s="201">
        <f t="shared" si="198"/>
        <v>350</v>
      </c>
      <c r="X114" s="451">
        <f t="shared" si="199"/>
        <v>350</v>
      </c>
      <c r="Z114" s="221">
        <f t="shared" si="200"/>
        <v>1.8447694038245221</v>
      </c>
      <c r="AA114" s="177">
        <f t="shared" si="201"/>
        <v>1.0123734533183355</v>
      </c>
      <c r="AB114" s="177">
        <f t="shared" si="202"/>
        <v>0.17283982577713339</v>
      </c>
      <c r="AC114" s="177"/>
      <c r="AD114" s="177">
        <f t="shared" si="203"/>
        <v>0.45</v>
      </c>
      <c r="AE114" s="555">
        <f t="shared" si="204"/>
        <v>91.056910569105696</v>
      </c>
      <c r="AF114" s="538">
        <f t="shared" si="205"/>
        <v>6.4574999999999994E-2</v>
      </c>
      <c r="AH114" s="177">
        <f t="shared" si="206"/>
        <v>0.55913765803683857</v>
      </c>
      <c r="AI114" s="177">
        <f t="shared" si="207"/>
        <v>0.82</v>
      </c>
      <c r="AJ114" s="177">
        <f t="shared" si="208"/>
        <v>1.0520325203252032</v>
      </c>
      <c r="AL114" s="555">
        <f t="shared" si="209"/>
        <v>16.8</v>
      </c>
      <c r="AM114" s="469">
        <f t="shared" si="210"/>
        <v>91.056910569105696</v>
      </c>
      <c r="AO114" s="469">
        <f t="shared" si="211"/>
        <v>16.8</v>
      </c>
      <c r="AP114" s="469">
        <f t="shared" si="212"/>
        <v>91.056910569105696</v>
      </c>
      <c r="AR114" s="5">
        <f t="shared" si="160"/>
        <v>10.982142857142858</v>
      </c>
      <c r="AS114" s="5">
        <f t="shared" si="213"/>
        <v>0.82</v>
      </c>
      <c r="AT114" s="5">
        <f t="shared" si="214"/>
        <v>10.162142857142857</v>
      </c>
      <c r="AU114" s="177">
        <f t="shared" si="215"/>
        <v>7.4666666666666659E-2</v>
      </c>
      <c r="AW114" s="5">
        <f t="shared" si="216"/>
        <v>8.8877419354838699E-2</v>
      </c>
      <c r="AX114" s="5"/>
      <c r="AY114" s="5">
        <f t="shared" si="217"/>
        <v>0.29724999999999996</v>
      </c>
      <c r="AZ114" s="5"/>
      <c r="BA114" s="5">
        <f t="shared" si="218"/>
        <v>0.54449012345678993</v>
      </c>
      <c r="BB114" s="5"/>
      <c r="BC114" s="5"/>
      <c r="BD114" s="177">
        <f t="shared" si="219"/>
        <v>0.12936494459044492</v>
      </c>
      <c r="BE114" s="177">
        <f t="shared" si="220"/>
        <v>0.45540975444586651</v>
      </c>
      <c r="BF114" s="177">
        <f t="shared" si="221"/>
        <v>0.74765832760128448</v>
      </c>
      <c r="BG114" s="177"/>
      <c r="BH114" s="538">
        <f t="shared" si="222"/>
        <v>1.8408817777777777E-3</v>
      </c>
      <c r="BI114" s="538">
        <f t="shared" si="223"/>
        <v>9.4826666666666653E-3</v>
      </c>
      <c r="BJ114" s="538">
        <f t="shared" si="224"/>
        <v>4.5528455284552845E-3</v>
      </c>
      <c r="BK114" s="538">
        <f t="shared" si="225"/>
        <v>1.3217912195121952E-2</v>
      </c>
      <c r="BL114">
        <f t="shared" si="226"/>
        <v>2.6099999999999999E-3</v>
      </c>
      <c r="BM114">
        <f t="shared" si="227"/>
        <v>3.6422764227642279E-6</v>
      </c>
      <c r="BN114">
        <f t="shared" si="228"/>
        <v>3.1718721476266566E-2</v>
      </c>
      <c r="BO114" s="469">
        <f t="shared" si="229"/>
        <v>31.704306168021681</v>
      </c>
      <c r="BP114" s="177">
        <f t="shared" si="230"/>
        <v>1.512E-2</v>
      </c>
      <c r="BQ114" s="177">
        <f t="shared" si="231"/>
        <v>2.6099999999999998E-2</v>
      </c>
      <c r="BR114" s="538"/>
      <c r="BT114" s="469">
        <f t="shared" si="232"/>
        <v>41.22</v>
      </c>
      <c r="BU114" s="538">
        <f t="shared" si="233"/>
        <v>8.0329386666666655E-4</v>
      </c>
      <c r="BV114" s="538">
        <f t="shared" si="234"/>
        <v>4.9775530666666658E-2</v>
      </c>
      <c r="BW114" s="538">
        <f t="shared" si="235"/>
        <v>0.1341583139595719</v>
      </c>
      <c r="BX114" s="538">
        <f t="shared" si="236"/>
        <v>0</v>
      </c>
      <c r="BY114" s="538">
        <f t="shared" si="180"/>
        <v>0.18750831850930727</v>
      </c>
      <c r="BZ114" s="538">
        <f t="shared" si="166"/>
        <v>0.18473713849290521</v>
      </c>
      <c r="CA114" s="641">
        <f t="shared" si="237"/>
        <v>3.0613333333333334E-3</v>
      </c>
      <c r="CB114" s="469">
        <f t="shared" si="238"/>
        <v>560.04392882845104</v>
      </c>
      <c r="CC114" s="177">
        <f t="shared" si="168"/>
        <v>0.2635083733189072</v>
      </c>
      <c r="CD114" s="5">
        <f t="shared" si="239"/>
        <v>0.49239999999999995</v>
      </c>
      <c r="CE114" s="177">
        <f t="shared" si="240"/>
        <v>0.65140170076177117</v>
      </c>
      <c r="CF114" s="5">
        <f t="shared" si="241"/>
        <v>65.140170076177114</v>
      </c>
      <c r="CG114">
        <f t="shared" si="242"/>
        <v>4</v>
      </c>
      <c r="CI114" s="571">
        <f t="shared" si="243"/>
        <v>-50</v>
      </c>
      <c r="CJ114">
        <f t="shared" si="244"/>
        <v>-50</v>
      </c>
    </row>
    <row r="115" spans="5:88" x14ac:dyDescent="0.2">
      <c r="E115" s="174">
        <v>5</v>
      </c>
      <c r="F115" s="221">
        <f t="shared" si="245"/>
        <v>2.1000000000000001E-2</v>
      </c>
      <c r="G115" s="221">
        <f t="shared" si="183"/>
        <v>3.6249999999999998E-2</v>
      </c>
      <c r="H115" s="221">
        <f t="shared" si="184"/>
        <v>0.32550000000000001</v>
      </c>
      <c r="I115" s="221">
        <f t="shared" si="185"/>
        <v>0.28999999999999998</v>
      </c>
      <c r="J115" s="551">
        <f t="shared" si="186"/>
        <v>9</v>
      </c>
      <c r="K115" s="451">
        <f t="shared" si="187"/>
        <v>16.399999999999999</v>
      </c>
      <c r="L115" s="451">
        <f t="shared" si="188"/>
        <v>25.4</v>
      </c>
      <c r="M115" s="451"/>
      <c r="N115" s="221">
        <f t="shared" si="189"/>
        <v>0.64566929133858264</v>
      </c>
      <c r="O115" s="176">
        <f t="shared" si="190"/>
        <v>5.6698549287756563</v>
      </c>
      <c r="P115" s="176">
        <f t="shared" si="191"/>
        <v>9.552037446932033</v>
      </c>
      <c r="Q115" s="221">
        <f t="shared" si="192"/>
        <v>0.36579709217907458</v>
      </c>
      <c r="R115" s="221">
        <f t="shared" si="193"/>
        <v>0.70873186609695704</v>
      </c>
      <c r="S115" s="221">
        <f t="shared" si="194"/>
        <v>15.5</v>
      </c>
      <c r="T115" s="221">
        <f t="shared" si="195"/>
        <v>0.23537639265281543</v>
      </c>
      <c r="U115" s="221">
        <f t="shared" si="196"/>
        <v>0.23537639265281543</v>
      </c>
      <c r="V115" s="221">
        <f t="shared" si="197"/>
        <v>0.12916997157776458</v>
      </c>
      <c r="W115" s="201">
        <f t="shared" si="198"/>
        <v>350</v>
      </c>
      <c r="X115" s="451">
        <f t="shared" si="199"/>
        <v>350</v>
      </c>
      <c r="Z115" s="221">
        <f t="shared" si="200"/>
        <v>1.8447694038245221</v>
      </c>
      <c r="AA115" s="177">
        <f t="shared" si="201"/>
        <v>1.0123734533183355</v>
      </c>
      <c r="AB115" s="177">
        <f t="shared" si="202"/>
        <v>0.17283982577713339</v>
      </c>
      <c r="AC115" s="177"/>
      <c r="AD115" s="177">
        <f t="shared" si="203"/>
        <v>0.45</v>
      </c>
      <c r="AE115" s="555">
        <f t="shared" si="204"/>
        <v>113.82113821138213</v>
      </c>
      <c r="AF115" s="538">
        <f t="shared" si="205"/>
        <v>6.4574999999999994E-2</v>
      </c>
      <c r="AH115" s="177">
        <f t="shared" si="206"/>
        <v>0.62513490607520128</v>
      </c>
      <c r="AI115" s="177">
        <f t="shared" si="207"/>
        <v>0.82</v>
      </c>
      <c r="AJ115" s="177">
        <f t="shared" si="208"/>
        <v>1.065040650406504</v>
      </c>
      <c r="AL115" s="555">
        <f t="shared" si="209"/>
        <v>21</v>
      </c>
      <c r="AM115" s="469">
        <f t="shared" si="210"/>
        <v>113.82113821138213</v>
      </c>
      <c r="AO115" s="469">
        <f t="shared" si="211"/>
        <v>21</v>
      </c>
      <c r="AP115" s="469">
        <f t="shared" si="212"/>
        <v>113.82113821138213</v>
      </c>
      <c r="AR115" s="5">
        <f t="shared" si="160"/>
        <v>8.7857142857142847</v>
      </c>
      <c r="AS115" s="5">
        <f t="shared" ref="AS115:AS178" si="246">L*AI115/J115*1000000</f>
        <v>0.82</v>
      </c>
      <c r="AT115" s="5">
        <f t="shared" ref="AT115:AT178" si="247">AR115-AS115</f>
        <v>7.9657142857142844</v>
      </c>
      <c r="AU115" s="177">
        <f t="shared" ref="AU115:AU178" si="248">AS115/AR115</f>
        <v>9.3333333333333338E-2</v>
      </c>
      <c r="AW115" s="5">
        <f t="shared" si="216"/>
        <v>0.11109677419354838</v>
      </c>
      <c r="AX115" s="5"/>
      <c r="AY115" s="5">
        <f t="shared" si="217"/>
        <v>0.37156249999999991</v>
      </c>
      <c r="AZ115" s="5"/>
      <c r="BA115" s="5">
        <f t="shared" si="218"/>
        <v>0.53350617283950608</v>
      </c>
      <c r="BB115" s="5"/>
      <c r="BC115" s="5"/>
      <c r="BD115" s="177">
        <f t="shared" si="219"/>
        <v>0.14463440500486427</v>
      </c>
      <c r="BE115" s="177">
        <f t="shared" si="220"/>
        <v>0.45079288173419751</v>
      </c>
      <c r="BF115" s="177">
        <f t="shared" si="221"/>
        <v>0.74007868466070981</v>
      </c>
      <c r="BG115" s="177"/>
      <c r="BH115" s="538">
        <f t="shared" si="222"/>
        <v>2.3011022222222217E-3</v>
      </c>
      <c r="BI115" s="538">
        <f t="shared" si="223"/>
        <v>1.1853333333333332E-2</v>
      </c>
      <c r="BJ115" s="538">
        <f t="shared" si="224"/>
        <v>5.6910569105691061E-3</v>
      </c>
      <c r="BK115" s="538">
        <f t="shared" si="225"/>
        <v>1.6522390243902441E-2</v>
      </c>
      <c r="BL115">
        <f t="shared" si="226"/>
        <v>2.6099999999999999E-3</v>
      </c>
      <c r="BM115">
        <f t="shared" si="227"/>
        <v>4.5528455284552851E-6</v>
      </c>
      <c r="BN115">
        <f t="shared" si="228"/>
        <v>3.8998992708946766E-2</v>
      </c>
      <c r="BO115" s="469">
        <f t="shared" si="229"/>
        <v>38.977882710027096</v>
      </c>
      <c r="BP115" s="177">
        <f t="shared" si="230"/>
        <v>1.89E-2</v>
      </c>
      <c r="BQ115" s="177">
        <f t="shared" si="231"/>
        <v>3.2625000000000001E-2</v>
      </c>
      <c r="BR115" s="538"/>
      <c r="BT115" s="469">
        <f t="shared" si="232"/>
        <v>51.524999999999999</v>
      </c>
      <c r="BU115" s="538">
        <f t="shared" si="233"/>
        <v>1.0041173333333331E-3</v>
      </c>
      <c r="BV115" s="538">
        <f t="shared" si="234"/>
        <v>4.8771413333333326E-2</v>
      </c>
      <c r="BW115" s="538">
        <f t="shared" si="235"/>
        <v>0.13145195027739032</v>
      </c>
      <c r="BX115" s="538">
        <f t="shared" si="236"/>
        <v>0</v>
      </c>
      <c r="BY115" s="538">
        <f t="shared" si="180"/>
        <v>0.18389360695608642</v>
      </c>
      <c r="BZ115" s="538">
        <f t="shared" si="166"/>
        <v>0.18122748094405697</v>
      </c>
      <c r="CA115" s="641">
        <f t="shared" si="237"/>
        <v>3.8266666666666675E-3</v>
      </c>
      <c r="CB115" s="469">
        <f t="shared" si="238"/>
        <v>550.17523551086697</v>
      </c>
      <c r="CC115" s="177">
        <f t="shared" si="168"/>
        <v>0.27824426633169985</v>
      </c>
      <c r="CD115" s="5">
        <f t="shared" si="239"/>
        <v>0.61549999999999994</v>
      </c>
      <c r="CE115" s="177">
        <f t="shared" si="240"/>
        <v>0.68867574672816567</v>
      </c>
      <c r="CF115" s="5">
        <f t="shared" si="241"/>
        <v>68.867574672816573</v>
      </c>
      <c r="CG115">
        <f t="shared" si="242"/>
        <v>5</v>
      </c>
      <c r="CI115" s="571">
        <f t="shared" si="243"/>
        <v>-50</v>
      </c>
      <c r="CJ115">
        <f t="shared" si="244"/>
        <v>-50</v>
      </c>
    </row>
    <row r="116" spans="5:88" x14ac:dyDescent="0.2">
      <c r="E116" s="174">
        <v>6</v>
      </c>
      <c r="F116" s="221">
        <f t="shared" si="245"/>
        <v>2.5199999999999997E-2</v>
      </c>
      <c r="G116" s="221">
        <f t="shared" si="183"/>
        <v>4.3499999999999997E-2</v>
      </c>
      <c r="H116" s="221">
        <f t="shared" si="184"/>
        <v>0.39059999999999995</v>
      </c>
      <c r="I116" s="221">
        <f t="shared" si="185"/>
        <v>0.34799999999999998</v>
      </c>
      <c r="J116" s="551">
        <f t="shared" si="186"/>
        <v>9</v>
      </c>
      <c r="K116" s="451">
        <f t="shared" si="187"/>
        <v>16.399999999999999</v>
      </c>
      <c r="L116" s="451">
        <f t="shared" si="188"/>
        <v>25.4</v>
      </c>
      <c r="M116" s="451"/>
      <c r="N116" s="221">
        <f t="shared" si="189"/>
        <v>0.64566929133858264</v>
      </c>
      <c r="O116" s="176">
        <f t="shared" si="190"/>
        <v>5.6698549287756563</v>
      </c>
      <c r="P116" s="176">
        <f t="shared" si="191"/>
        <v>9.552037446932033</v>
      </c>
      <c r="Q116" s="221">
        <f t="shared" si="192"/>
        <v>0.36579709217907458</v>
      </c>
      <c r="R116" s="221">
        <f t="shared" si="193"/>
        <v>0.70873186609695704</v>
      </c>
      <c r="S116" s="221">
        <f t="shared" si="194"/>
        <v>15.5</v>
      </c>
      <c r="T116" s="221">
        <f t="shared" si="195"/>
        <v>0.28245167118337849</v>
      </c>
      <c r="U116" s="221">
        <f t="shared" si="196"/>
        <v>0.28245167118337849</v>
      </c>
      <c r="V116" s="221">
        <f t="shared" si="197"/>
        <v>0.15500396589331747</v>
      </c>
      <c r="W116" s="201">
        <f t="shared" si="198"/>
        <v>350</v>
      </c>
      <c r="X116" s="451">
        <f t="shared" si="199"/>
        <v>350</v>
      </c>
      <c r="Z116" s="221">
        <f t="shared" si="200"/>
        <v>1.8447694038245221</v>
      </c>
      <c r="AA116" s="177">
        <f t="shared" si="201"/>
        <v>1.0123734533183355</v>
      </c>
      <c r="AB116" s="177">
        <f t="shared" si="202"/>
        <v>0.17283982577713339</v>
      </c>
      <c r="AC116" s="177"/>
      <c r="AD116" s="177">
        <f t="shared" si="203"/>
        <v>0.45</v>
      </c>
      <c r="AE116" s="555">
        <f t="shared" si="204"/>
        <v>136.58536585365852</v>
      </c>
      <c r="AF116" s="538">
        <f t="shared" si="205"/>
        <v>6.4574999999999994E-2</v>
      </c>
      <c r="AH116" s="177">
        <f t="shared" si="206"/>
        <v>0.68480097908252213</v>
      </c>
      <c r="AI116" s="177">
        <f t="shared" si="207"/>
        <v>0.82</v>
      </c>
      <c r="AJ116" s="177">
        <f t="shared" si="208"/>
        <v>1.0780487804878049</v>
      </c>
      <c r="AL116" s="555">
        <f t="shared" si="209"/>
        <v>25.199999999999996</v>
      </c>
      <c r="AM116" s="469">
        <f t="shared" si="210"/>
        <v>136.58536585365852</v>
      </c>
      <c r="AO116" s="469">
        <f t="shared" si="211"/>
        <v>25.199999999999996</v>
      </c>
      <c r="AP116" s="469">
        <f t="shared" si="212"/>
        <v>136.58536585365852</v>
      </c>
      <c r="AR116" s="5">
        <f t="shared" si="160"/>
        <v>7.3214285714285721</v>
      </c>
      <c r="AS116" s="5">
        <f t="shared" si="246"/>
        <v>0.82</v>
      </c>
      <c r="AT116" s="5">
        <f t="shared" si="247"/>
        <v>6.5014285714285718</v>
      </c>
      <c r="AU116" s="177">
        <f t="shared" si="248"/>
        <v>0.11199999999999999</v>
      </c>
      <c r="AW116" s="5">
        <f t="shared" si="216"/>
        <v>0.13331612903225801</v>
      </c>
      <c r="AX116" s="5"/>
      <c r="AY116" s="5">
        <f t="shared" si="217"/>
        <v>0.44587499999999991</v>
      </c>
      <c r="AZ116" s="5"/>
      <c r="BA116" s="5">
        <f t="shared" si="218"/>
        <v>0.52252222222222211</v>
      </c>
      <c r="BB116" s="5"/>
      <c r="BC116" s="5"/>
      <c r="BD116" s="177">
        <f t="shared" si="219"/>
        <v>0.15843905242500453</v>
      </c>
      <c r="BE116" s="177">
        <f t="shared" si="220"/>
        <v>0.44612823268652252</v>
      </c>
      <c r="BF116" s="177">
        <f t="shared" si="221"/>
        <v>0.73242060603638348</v>
      </c>
      <c r="BG116" s="177"/>
      <c r="BH116" s="538">
        <f t="shared" si="222"/>
        <v>2.7613226666666668E-3</v>
      </c>
      <c r="BI116" s="538">
        <f t="shared" si="223"/>
        <v>1.4223999999999994E-2</v>
      </c>
      <c r="BJ116" s="538">
        <f t="shared" si="224"/>
        <v>6.8292682926829251E-3</v>
      </c>
      <c r="BK116" s="538">
        <f t="shared" si="225"/>
        <v>1.9826868292682921E-2</v>
      </c>
      <c r="BL116">
        <f t="shared" si="226"/>
        <v>2.6099999999999999E-3</v>
      </c>
      <c r="BM116">
        <f t="shared" si="227"/>
        <v>5.4634146341463406E-6</v>
      </c>
      <c r="BN116">
        <f t="shared" si="228"/>
        <v>4.6280500917266945E-2</v>
      </c>
      <c r="BO116" s="469">
        <f t="shared" si="229"/>
        <v>46.251459252032511</v>
      </c>
      <c r="BP116" s="177">
        <f t="shared" si="230"/>
        <v>2.2679999999999999E-2</v>
      </c>
      <c r="BQ116" s="177">
        <f t="shared" si="231"/>
        <v>3.9149999999999997E-2</v>
      </c>
      <c r="BR116" s="538"/>
      <c r="BT116" s="469">
        <f t="shared" si="232"/>
        <v>61.83</v>
      </c>
      <c r="BU116" s="538">
        <f t="shared" si="233"/>
        <v>1.2049408000000001E-3</v>
      </c>
      <c r="BV116" s="538">
        <f t="shared" si="234"/>
        <v>4.7767295999999994E-2</v>
      </c>
      <c r="BW116" s="538">
        <f t="shared" si="235"/>
        <v>0.12874558659520877</v>
      </c>
      <c r="BX116" s="538">
        <f t="shared" si="236"/>
        <v>0</v>
      </c>
      <c r="BY116" s="538">
        <f t="shared" si="180"/>
        <v>0.18028095450190387</v>
      </c>
      <c r="BZ116" s="538">
        <f t="shared" si="166"/>
        <v>0.17771782339520875</v>
      </c>
      <c r="CA116" s="641">
        <f t="shared" si="237"/>
        <v>4.5919999999999997E-3</v>
      </c>
      <c r="CB116" s="469">
        <f t="shared" si="238"/>
        <v>540.30860129232144</v>
      </c>
      <c r="CC116" s="177">
        <f t="shared" si="168"/>
        <v>0.29298345541917076</v>
      </c>
      <c r="CD116" s="5">
        <f t="shared" si="239"/>
        <v>0.73859999999999992</v>
      </c>
      <c r="CE116" s="177">
        <f t="shared" si="240"/>
        <v>0.71598666702140867</v>
      </c>
      <c r="CF116" s="5">
        <f t="shared" si="241"/>
        <v>71.598666702140861</v>
      </c>
      <c r="CG116">
        <f t="shared" si="242"/>
        <v>6</v>
      </c>
      <c r="CI116" s="571">
        <f t="shared" si="243"/>
        <v>-50</v>
      </c>
      <c r="CJ116">
        <f t="shared" si="244"/>
        <v>-50</v>
      </c>
    </row>
    <row r="117" spans="5:88" x14ac:dyDescent="0.2">
      <c r="E117" s="174">
        <v>7</v>
      </c>
      <c r="F117" s="221">
        <f t="shared" si="245"/>
        <v>2.9400000000000003E-2</v>
      </c>
      <c r="G117" s="221">
        <f t="shared" si="183"/>
        <v>5.0750000000000003E-2</v>
      </c>
      <c r="H117" s="221">
        <f t="shared" si="184"/>
        <v>0.45570000000000005</v>
      </c>
      <c r="I117" s="221">
        <f t="shared" si="185"/>
        <v>0.40600000000000003</v>
      </c>
      <c r="J117" s="551">
        <f t="shared" si="186"/>
        <v>9</v>
      </c>
      <c r="K117" s="451">
        <f t="shared" si="187"/>
        <v>16.399999999999999</v>
      </c>
      <c r="L117" s="451">
        <f t="shared" si="188"/>
        <v>25.4</v>
      </c>
      <c r="M117" s="451"/>
      <c r="N117" s="221">
        <f t="shared" si="189"/>
        <v>0.64566929133858264</v>
      </c>
      <c r="O117" s="176">
        <f t="shared" si="190"/>
        <v>5.6698549287756563</v>
      </c>
      <c r="P117" s="176">
        <f t="shared" si="191"/>
        <v>9.552037446932033</v>
      </c>
      <c r="Q117" s="221">
        <f t="shared" si="192"/>
        <v>0.36579709217907458</v>
      </c>
      <c r="R117" s="221">
        <f t="shared" si="193"/>
        <v>0.70873186609695704</v>
      </c>
      <c r="S117" s="221">
        <f t="shared" si="194"/>
        <v>15.5</v>
      </c>
      <c r="T117" s="221">
        <f t="shared" si="195"/>
        <v>0.3295269497139417</v>
      </c>
      <c r="U117" s="221">
        <f t="shared" si="196"/>
        <v>0.3295269497139417</v>
      </c>
      <c r="V117" s="221">
        <f t="shared" si="197"/>
        <v>0.18083796020887047</v>
      </c>
      <c r="W117" s="201">
        <f t="shared" si="198"/>
        <v>350</v>
      </c>
      <c r="X117" s="451">
        <f t="shared" si="199"/>
        <v>350</v>
      </c>
      <c r="Z117" s="221">
        <f t="shared" si="200"/>
        <v>1.8447694038245221</v>
      </c>
      <c r="AA117" s="177">
        <f t="shared" si="201"/>
        <v>1.0123734533183355</v>
      </c>
      <c r="AB117" s="177">
        <f t="shared" si="202"/>
        <v>0.17283982577713339</v>
      </c>
      <c r="AC117" s="177"/>
      <c r="AD117" s="177">
        <f t="shared" si="203"/>
        <v>0.45</v>
      </c>
      <c r="AE117" s="555">
        <f t="shared" si="204"/>
        <v>159.34959349593498</v>
      </c>
      <c r="AF117" s="538">
        <f t="shared" si="205"/>
        <v>6.4574999999999994E-2</v>
      </c>
      <c r="AH117" s="177">
        <f t="shared" si="206"/>
        <v>0.7396695959082753</v>
      </c>
      <c r="AI117" s="177">
        <f t="shared" si="207"/>
        <v>0.82</v>
      </c>
      <c r="AJ117" s="177">
        <f t="shared" si="208"/>
        <v>1.0910569105691057</v>
      </c>
      <c r="AL117" s="555">
        <f t="shared" si="209"/>
        <v>29.400000000000002</v>
      </c>
      <c r="AM117" s="469">
        <f t="shared" si="210"/>
        <v>159.34959349593498</v>
      </c>
      <c r="AO117" s="469">
        <f t="shared" si="211"/>
        <v>29.400000000000002</v>
      </c>
      <c r="AP117" s="469">
        <f t="shared" si="212"/>
        <v>159.34959349593498</v>
      </c>
      <c r="AR117" s="5">
        <f t="shared" si="160"/>
        <v>6.2755102040816313</v>
      </c>
      <c r="AS117" s="5">
        <f t="shared" si="246"/>
        <v>0.82</v>
      </c>
      <c r="AT117" s="5">
        <f t="shared" si="247"/>
        <v>5.455510204081631</v>
      </c>
      <c r="AU117" s="177">
        <f t="shared" si="248"/>
        <v>0.13066666666666668</v>
      </c>
      <c r="AW117" s="5">
        <f t="shared" si="216"/>
        <v>0.15553548387096774</v>
      </c>
      <c r="AX117" s="5"/>
      <c r="AY117" s="5">
        <f t="shared" si="217"/>
        <v>0.52018750000000002</v>
      </c>
      <c r="AZ117" s="5"/>
      <c r="BA117" s="5">
        <f t="shared" si="218"/>
        <v>0.51153827160493803</v>
      </c>
      <c r="BB117" s="5"/>
      <c r="BC117" s="5"/>
      <c r="BD117" s="177">
        <f t="shared" si="219"/>
        <v>0.17113373587798392</v>
      </c>
      <c r="BE117" s="177">
        <f t="shared" si="220"/>
        <v>0.44141429267500815</v>
      </c>
      <c r="BF117" s="177">
        <f t="shared" si="221"/>
        <v>0.72468160512343627</v>
      </c>
      <c r="BG117" s="177"/>
      <c r="BH117" s="538">
        <f t="shared" si="222"/>
        <v>3.2215431111111115E-3</v>
      </c>
      <c r="BI117" s="538">
        <f t="shared" si="223"/>
        <v>1.6594666666666664E-2</v>
      </c>
      <c r="BJ117" s="538">
        <f t="shared" si="224"/>
        <v>7.9674796747967475E-3</v>
      </c>
      <c r="BK117" s="538">
        <f t="shared" si="225"/>
        <v>2.3131346341463414E-2</v>
      </c>
      <c r="BL117">
        <f t="shared" si="226"/>
        <v>2.6099999999999999E-3</v>
      </c>
      <c r="BM117">
        <f t="shared" si="227"/>
        <v>6.3739837398373995E-6</v>
      </c>
      <c r="BN117">
        <f t="shared" si="228"/>
        <v>5.3563246416511875E-2</v>
      </c>
      <c r="BO117" s="469">
        <f t="shared" si="229"/>
        <v>53.525035794037933</v>
      </c>
      <c r="BP117" s="177">
        <f t="shared" si="230"/>
        <v>2.6460000000000004E-2</v>
      </c>
      <c r="BQ117" s="177">
        <f t="shared" si="231"/>
        <v>4.5675000000000007E-2</v>
      </c>
      <c r="BR117" s="538"/>
      <c r="BT117" s="469">
        <f t="shared" si="232"/>
        <v>72.135000000000005</v>
      </c>
      <c r="BU117" s="538">
        <f t="shared" si="233"/>
        <v>1.4057642666666669E-3</v>
      </c>
      <c r="BV117" s="538">
        <f t="shared" si="234"/>
        <v>4.6763178666666662E-2</v>
      </c>
      <c r="BW117" s="538">
        <f t="shared" si="235"/>
        <v>0.12603922291302719</v>
      </c>
      <c r="BX117" s="538">
        <f t="shared" si="236"/>
        <v>0</v>
      </c>
      <c r="BY117" s="538">
        <f t="shared" si="180"/>
        <v>0.17667035938783021</v>
      </c>
      <c r="BZ117" s="538">
        <f t="shared" si="166"/>
        <v>0.17420816584636051</v>
      </c>
      <c r="CA117" s="641">
        <f t="shared" si="237"/>
        <v>5.3573333333333337E-3</v>
      </c>
      <c r="CB117" s="469">
        <f t="shared" si="238"/>
        <v>530.44402441388445</v>
      </c>
      <c r="CC117" s="177">
        <f t="shared" si="168"/>
        <v>0.30772593913767543</v>
      </c>
      <c r="CD117" s="5">
        <f t="shared" si="239"/>
        <v>0.86170000000000013</v>
      </c>
      <c r="CE117" s="177">
        <f t="shared" si="240"/>
        <v>0.7368572657413518</v>
      </c>
      <c r="CF117" s="5">
        <f t="shared" si="241"/>
        <v>73.685726574135174</v>
      </c>
      <c r="CG117">
        <f t="shared" si="242"/>
        <v>7.0000000000000009</v>
      </c>
      <c r="CI117" s="571">
        <f t="shared" si="243"/>
        <v>-50</v>
      </c>
      <c r="CJ117">
        <f t="shared" si="244"/>
        <v>-50</v>
      </c>
    </row>
    <row r="118" spans="5:88" x14ac:dyDescent="0.2">
      <c r="E118" s="174">
        <v>8</v>
      </c>
      <c r="F118" s="221">
        <f t="shared" si="245"/>
        <v>3.3599999999999998E-2</v>
      </c>
      <c r="G118" s="221">
        <f t="shared" si="183"/>
        <v>5.7999999999999996E-2</v>
      </c>
      <c r="H118" s="221">
        <f t="shared" si="184"/>
        <v>0.52079999999999993</v>
      </c>
      <c r="I118" s="221">
        <f t="shared" si="185"/>
        <v>0.46399999999999997</v>
      </c>
      <c r="J118" s="551">
        <f t="shared" si="186"/>
        <v>9</v>
      </c>
      <c r="K118" s="451">
        <f t="shared" si="187"/>
        <v>16.399999999999999</v>
      </c>
      <c r="L118" s="451">
        <f t="shared" si="188"/>
        <v>25.4</v>
      </c>
      <c r="M118" s="451"/>
      <c r="N118" s="221">
        <f t="shared" si="189"/>
        <v>0.64566929133858264</v>
      </c>
      <c r="O118" s="176">
        <f t="shared" si="190"/>
        <v>5.6698549287756563</v>
      </c>
      <c r="P118" s="176">
        <f t="shared" si="191"/>
        <v>9.552037446932033</v>
      </c>
      <c r="Q118" s="221">
        <f t="shared" si="192"/>
        <v>0.36579709217907458</v>
      </c>
      <c r="R118" s="221">
        <f t="shared" si="193"/>
        <v>0.70873186609695704</v>
      </c>
      <c r="S118" s="221">
        <f t="shared" si="194"/>
        <v>15.5</v>
      </c>
      <c r="T118" s="221">
        <f t="shared" si="195"/>
        <v>0.37660222824450468</v>
      </c>
      <c r="U118" s="221">
        <f t="shared" si="196"/>
        <v>0.37660222824450468</v>
      </c>
      <c r="V118" s="221">
        <f t="shared" si="197"/>
        <v>0.2066719545244233</v>
      </c>
      <c r="W118" s="201">
        <f t="shared" si="198"/>
        <v>350</v>
      </c>
      <c r="X118" s="451">
        <f t="shared" si="199"/>
        <v>350</v>
      </c>
      <c r="Z118" s="221">
        <f t="shared" si="200"/>
        <v>1.8447694038245221</v>
      </c>
      <c r="AA118" s="177">
        <f t="shared" si="201"/>
        <v>1.0123734533183355</v>
      </c>
      <c r="AB118" s="177">
        <f t="shared" si="202"/>
        <v>0.17283982577713339</v>
      </c>
      <c r="AC118" s="177"/>
      <c r="AD118" s="177">
        <f t="shared" si="203"/>
        <v>0.45</v>
      </c>
      <c r="AE118" s="555">
        <f t="shared" si="204"/>
        <v>182.11382113821139</v>
      </c>
      <c r="AF118" s="538">
        <f t="shared" si="205"/>
        <v>6.4574999999999994E-2</v>
      </c>
      <c r="AH118" s="177">
        <f t="shared" si="206"/>
        <v>0.79074005922922685</v>
      </c>
      <c r="AI118" s="177">
        <f t="shared" si="207"/>
        <v>0.82</v>
      </c>
      <c r="AJ118" s="177">
        <f t="shared" si="208"/>
        <v>1.1040650406504064</v>
      </c>
      <c r="AL118" s="555">
        <f t="shared" si="209"/>
        <v>33.6</v>
      </c>
      <c r="AM118" s="469">
        <f t="shared" si="210"/>
        <v>182.11382113821139</v>
      </c>
      <c r="AO118" s="469">
        <f t="shared" si="211"/>
        <v>33.6</v>
      </c>
      <c r="AP118" s="469">
        <f t="shared" si="212"/>
        <v>182.11382113821139</v>
      </c>
      <c r="AR118" s="5">
        <f t="shared" si="160"/>
        <v>5.4910714285714288</v>
      </c>
      <c r="AS118" s="5">
        <f t="shared" si="246"/>
        <v>0.82</v>
      </c>
      <c r="AT118" s="5">
        <f t="shared" si="247"/>
        <v>4.6710714285714285</v>
      </c>
      <c r="AU118" s="177">
        <f t="shared" si="248"/>
        <v>0.14933333333333332</v>
      </c>
      <c r="AW118" s="5">
        <f t="shared" si="216"/>
        <v>0.1777548387096774</v>
      </c>
      <c r="AX118" s="5"/>
      <c r="AY118" s="5">
        <f t="shared" si="217"/>
        <v>0.59449999999999992</v>
      </c>
      <c r="AZ118" s="5"/>
      <c r="BA118" s="5">
        <f t="shared" si="218"/>
        <v>0.50055432098765418</v>
      </c>
      <c r="BB118" s="5"/>
      <c r="BC118" s="5"/>
      <c r="BD118" s="177">
        <f t="shared" si="219"/>
        <v>0.18294965913545116</v>
      </c>
      <c r="BE118" s="177">
        <f t="shared" si="220"/>
        <v>0.43664946531005344</v>
      </c>
      <c r="BF118" s="177">
        <f t="shared" si="221"/>
        <v>0.71685906108652686</v>
      </c>
      <c r="BG118" s="177"/>
      <c r="BH118" s="538">
        <f t="shared" si="222"/>
        <v>3.6817635555555545E-3</v>
      </c>
      <c r="BI118" s="538">
        <f t="shared" si="223"/>
        <v>1.8965333333333331E-2</v>
      </c>
      <c r="BJ118" s="538">
        <f t="shared" si="224"/>
        <v>9.1056910569105691E-3</v>
      </c>
      <c r="BK118" s="538">
        <f t="shared" si="225"/>
        <v>2.6435824390243903E-2</v>
      </c>
      <c r="BL118">
        <f t="shared" si="226"/>
        <v>2.6099999999999999E-3</v>
      </c>
      <c r="BM118">
        <f t="shared" si="227"/>
        <v>7.2845528455284559E-6</v>
      </c>
      <c r="BN118">
        <f t="shared" si="228"/>
        <v>6.0847229522073353E-2</v>
      </c>
      <c r="BO118" s="469">
        <f t="shared" si="229"/>
        <v>60.798612336043362</v>
      </c>
      <c r="BP118" s="177">
        <f t="shared" si="230"/>
        <v>3.024E-2</v>
      </c>
      <c r="BQ118" s="177">
        <f t="shared" si="231"/>
        <v>5.2199999999999996E-2</v>
      </c>
      <c r="BR118" s="538"/>
      <c r="BT118" s="469">
        <f t="shared" si="232"/>
        <v>82.44</v>
      </c>
      <c r="BU118" s="538">
        <f t="shared" si="233"/>
        <v>1.6065877333333329E-3</v>
      </c>
      <c r="BV118" s="538">
        <f t="shared" si="234"/>
        <v>4.5759061333333337E-2</v>
      </c>
      <c r="BW118" s="538">
        <f t="shared" si="235"/>
        <v>0.12333285923084565</v>
      </c>
      <c r="BX118" s="538">
        <f t="shared" si="236"/>
        <v>0</v>
      </c>
      <c r="BY118" s="538">
        <f t="shared" si="180"/>
        <v>0.17306181985693889</v>
      </c>
      <c r="BZ118" s="538">
        <f t="shared" si="166"/>
        <v>0.17069850829751232</v>
      </c>
      <c r="CA118" s="641">
        <f t="shared" si="237"/>
        <v>6.1226666666666669E-3</v>
      </c>
      <c r="CB118" s="469">
        <f t="shared" si="238"/>
        <v>520.58150311863028</v>
      </c>
      <c r="CC118" s="177">
        <f t="shared" si="168"/>
        <v>0.32247171604567887</v>
      </c>
      <c r="CD118" s="5">
        <f t="shared" si="239"/>
        <v>0.9847999999999999</v>
      </c>
      <c r="CE118" s="177">
        <f t="shared" si="240"/>
        <v>0.75332464392244902</v>
      </c>
      <c r="CF118" s="5">
        <f t="shared" si="241"/>
        <v>75.332464392244901</v>
      </c>
      <c r="CG118">
        <f t="shared" si="242"/>
        <v>8</v>
      </c>
      <c r="CI118" s="571">
        <f t="shared" si="243"/>
        <v>-50</v>
      </c>
      <c r="CJ118">
        <f t="shared" si="244"/>
        <v>-50</v>
      </c>
    </row>
    <row r="119" spans="5:88" x14ac:dyDescent="0.2">
      <c r="E119" s="174">
        <v>9</v>
      </c>
      <c r="F119" s="221">
        <f t="shared" si="245"/>
        <v>3.78E-2</v>
      </c>
      <c r="G119" s="221">
        <f t="shared" si="183"/>
        <v>6.5250000000000002E-2</v>
      </c>
      <c r="H119" s="221">
        <f t="shared" si="184"/>
        <v>0.58589999999999998</v>
      </c>
      <c r="I119" s="221">
        <f t="shared" si="185"/>
        <v>0.52200000000000002</v>
      </c>
      <c r="J119" s="551">
        <f t="shared" si="186"/>
        <v>9</v>
      </c>
      <c r="K119" s="451">
        <f t="shared" si="187"/>
        <v>16.399999999999999</v>
      </c>
      <c r="L119" s="451">
        <f t="shared" si="188"/>
        <v>25.4</v>
      </c>
      <c r="M119" s="451"/>
      <c r="N119" s="221">
        <f t="shared" si="189"/>
        <v>0.64566929133858264</v>
      </c>
      <c r="O119" s="176">
        <f t="shared" si="190"/>
        <v>5.6698549287756563</v>
      </c>
      <c r="P119" s="176">
        <f t="shared" si="191"/>
        <v>9.552037446932033</v>
      </c>
      <c r="Q119" s="221">
        <f t="shared" si="192"/>
        <v>0.36579709217907458</v>
      </c>
      <c r="R119" s="221">
        <f t="shared" si="193"/>
        <v>0.70873186609695704</v>
      </c>
      <c r="S119" s="221">
        <f t="shared" si="194"/>
        <v>15.5</v>
      </c>
      <c r="T119" s="221">
        <f t="shared" si="195"/>
        <v>0.42367750677506777</v>
      </c>
      <c r="U119" s="221">
        <f t="shared" si="196"/>
        <v>0.42367750677506777</v>
      </c>
      <c r="V119" s="221">
        <f t="shared" si="197"/>
        <v>0.23250594883997625</v>
      </c>
      <c r="W119" s="201">
        <f t="shared" si="198"/>
        <v>350</v>
      </c>
      <c r="X119" s="451">
        <f t="shared" si="199"/>
        <v>350</v>
      </c>
      <c r="Z119" s="221">
        <f t="shared" si="200"/>
        <v>1.8447694038245221</v>
      </c>
      <c r="AA119" s="177">
        <f t="shared" si="201"/>
        <v>1.0123734533183355</v>
      </c>
      <c r="AB119" s="177">
        <f t="shared" si="202"/>
        <v>0.17283982577713339</v>
      </c>
      <c r="AC119" s="177"/>
      <c r="AD119" s="177">
        <f t="shared" si="203"/>
        <v>0.45</v>
      </c>
      <c r="AE119" s="555">
        <f t="shared" si="204"/>
        <v>204.87804878048786</v>
      </c>
      <c r="AF119" s="538">
        <f t="shared" si="205"/>
        <v>6.4574999999999994E-2</v>
      </c>
      <c r="AH119" s="177">
        <f t="shared" si="206"/>
        <v>0.83870648705525785</v>
      </c>
      <c r="AI119" s="177">
        <f t="shared" si="207"/>
        <v>0.83870648705525785</v>
      </c>
      <c r="AJ119" s="177">
        <f t="shared" si="208"/>
        <v>1.1170731707317074</v>
      </c>
      <c r="AL119" s="555">
        <f t="shared" si="209"/>
        <v>37.799999999999997</v>
      </c>
      <c r="AM119" s="469">
        <f t="shared" si="210"/>
        <v>204.87804878048786</v>
      </c>
      <c r="AO119" s="469">
        <f t="shared" si="211"/>
        <v>37.799999999999997</v>
      </c>
      <c r="AP119" s="469">
        <f t="shared" si="212"/>
        <v>204.87804878048786</v>
      </c>
      <c r="AR119" s="5">
        <f t="shared" si="160"/>
        <v>4.8809523809523796</v>
      </c>
      <c r="AS119" s="5">
        <f t="shared" si="246"/>
        <v>0.83870648705525797</v>
      </c>
      <c r="AT119" s="5">
        <f t="shared" si="247"/>
        <v>4.042245893897122</v>
      </c>
      <c r="AU119" s="177">
        <f t="shared" si="248"/>
        <v>0.17183254856741875</v>
      </c>
      <c r="AW119" s="5">
        <f t="shared" si="216"/>
        <v>0.20453616264960486</v>
      </c>
      <c r="AX119" s="5"/>
      <c r="AY119" s="5">
        <f t="shared" si="217"/>
        <v>0.68406997850444484</v>
      </c>
      <c r="AZ119" s="5"/>
      <c r="BA119" s="5">
        <f t="shared" si="218"/>
        <v>0.4873151994309306</v>
      </c>
      <c r="BB119" s="5"/>
      <c r="BC119" s="5"/>
      <c r="BD119" s="177">
        <f t="shared" si="219"/>
        <v>0.20072528836173914</v>
      </c>
      <c r="BE119" s="177">
        <f t="shared" si="220"/>
        <v>0.4406648943225307</v>
      </c>
      <c r="BF119" s="177">
        <f t="shared" si="221"/>
        <v>0.72345129788154972</v>
      </c>
      <c r="BG119" s="177"/>
      <c r="BH119" s="538">
        <f t="shared" si="222"/>
        <v>4.4319705526693664E-3</v>
      </c>
      <c r="BI119" s="538">
        <f t="shared" si="223"/>
        <v>2.1822733668062179E-2</v>
      </c>
      <c r="BJ119" s="538">
        <f t="shared" si="224"/>
        <v>1.0243902439024392E-2</v>
      </c>
      <c r="BK119" s="538">
        <f t="shared" si="225"/>
        <v>2.9740302439024396E-2</v>
      </c>
      <c r="BL119">
        <f t="shared" si="226"/>
        <v>2.6099999999999999E-3</v>
      </c>
      <c r="BM119">
        <f t="shared" si="227"/>
        <v>8.1951219512195139E-6</v>
      </c>
      <c r="BN119">
        <f t="shared" si="228"/>
        <v>6.8913454653846767E-2</v>
      </c>
      <c r="BO119" s="469">
        <f t="shared" si="229"/>
        <v>68.848909098780325</v>
      </c>
      <c r="BP119" s="177">
        <f t="shared" si="230"/>
        <v>3.4020000000000002E-2</v>
      </c>
      <c r="BQ119" s="177">
        <f t="shared" si="231"/>
        <v>5.8725000000000006E-2</v>
      </c>
      <c r="BR119" s="538"/>
      <c r="BT119" s="469">
        <f t="shared" si="232"/>
        <v>92.745000000000005</v>
      </c>
      <c r="BU119" s="538">
        <f t="shared" si="233"/>
        <v>1.93395078661936E-3</v>
      </c>
      <c r="BV119" s="538">
        <f t="shared" si="234"/>
        <v>4.660453178118891E-2</v>
      </c>
      <c r="BW119" s="538">
        <f t="shared" si="235"/>
        <v>0.1256116272975597</v>
      </c>
      <c r="BX119" s="538">
        <f t="shared" si="236"/>
        <v>0</v>
      </c>
      <c r="BY119" s="538">
        <f t="shared" si="180"/>
        <v>0.17661065100747564</v>
      </c>
      <c r="BZ119" s="538">
        <f t="shared" si="166"/>
        <v>0.17415010986536797</v>
      </c>
      <c r="CA119" s="641">
        <f t="shared" si="237"/>
        <v>7.2058536585365872E-3</v>
      </c>
      <c r="CB119" s="469">
        <f t="shared" si="238"/>
        <v>532.11672439674805</v>
      </c>
      <c r="CC119" s="177">
        <f t="shared" si="168"/>
        <v>0.345474959319859</v>
      </c>
      <c r="CD119" s="5">
        <f t="shared" si="239"/>
        <v>1.1078999999999999</v>
      </c>
      <c r="CE119" s="177">
        <f t="shared" si="240"/>
        <v>0.76229468032012049</v>
      </c>
      <c r="CF119" s="5">
        <f t="shared" si="241"/>
        <v>76.229468032012051</v>
      </c>
      <c r="CG119">
        <f t="shared" si="242"/>
        <v>9.0000000000000018</v>
      </c>
      <c r="CI119" s="571">
        <f t="shared" si="243"/>
        <v>-50</v>
      </c>
      <c r="CJ119">
        <f t="shared" si="244"/>
        <v>-50</v>
      </c>
    </row>
    <row r="120" spans="5:88" x14ac:dyDescent="0.2">
      <c r="E120" s="174">
        <v>10</v>
      </c>
      <c r="F120" s="221">
        <f t="shared" si="245"/>
        <v>4.2000000000000003E-2</v>
      </c>
      <c r="G120" s="221">
        <f t="shared" si="183"/>
        <v>7.2499999999999995E-2</v>
      </c>
      <c r="H120" s="221">
        <f t="shared" si="184"/>
        <v>0.65100000000000002</v>
      </c>
      <c r="I120" s="221">
        <f t="shared" si="185"/>
        <v>0.57999999999999996</v>
      </c>
      <c r="J120" s="551">
        <f t="shared" si="186"/>
        <v>9</v>
      </c>
      <c r="K120" s="451">
        <f t="shared" si="187"/>
        <v>16.399999999999999</v>
      </c>
      <c r="L120" s="451">
        <f t="shared" si="188"/>
        <v>25.4</v>
      </c>
      <c r="M120" s="451"/>
      <c r="N120" s="221">
        <f t="shared" si="189"/>
        <v>0.64566929133858264</v>
      </c>
      <c r="O120" s="176">
        <f t="shared" si="190"/>
        <v>5.6698549287756563</v>
      </c>
      <c r="P120" s="176">
        <f t="shared" si="191"/>
        <v>9.552037446932033</v>
      </c>
      <c r="Q120" s="221">
        <f t="shared" si="192"/>
        <v>0.36579709217907458</v>
      </c>
      <c r="R120" s="221">
        <f t="shared" si="193"/>
        <v>0.70873186609695704</v>
      </c>
      <c r="S120" s="221">
        <f t="shared" si="194"/>
        <v>15.5</v>
      </c>
      <c r="T120" s="221">
        <f t="shared" si="195"/>
        <v>0.47075278530563086</v>
      </c>
      <c r="U120" s="221">
        <f t="shared" si="196"/>
        <v>0.47075278530563086</v>
      </c>
      <c r="V120" s="221">
        <f t="shared" si="197"/>
        <v>0.25833994315552916</v>
      </c>
      <c r="W120" s="201">
        <f t="shared" si="198"/>
        <v>350</v>
      </c>
      <c r="X120" s="451">
        <f t="shared" si="199"/>
        <v>350</v>
      </c>
      <c r="Z120" s="221">
        <f t="shared" si="200"/>
        <v>1.8447694038245221</v>
      </c>
      <c r="AA120" s="177">
        <f t="shared" si="201"/>
        <v>1.0123734533183355</v>
      </c>
      <c r="AB120" s="177">
        <f t="shared" si="202"/>
        <v>0.17283982577713339</v>
      </c>
      <c r="AC120" s="177"/>
      <c r="AD120" s="177">
        <f t="shared" si="203"/>
        <v>0.45</v>
      </c>
      <c r="AE120" s="555">
        <f t="shared" si="204"/>
        <v>227.64227642276427</v>
      </c>
      <c r="AF120" s="538">
        <f t="shared" si="205"/>
        <v>6.4574999999999994E-2</v>
      </c>
      <c r="AH120" s="177">
        <f t="shared" si="206"/>
        <v>0.88407426248438059</v>
      </c>
      <c r="AI120" s="177">
        <f t="shared" si="207"/>
        <v>0.88407426248438059</v>
      </c>
      <c r="AJ120" s="177">
        <f t="shared" si="208"/>
        <v>1.1300813008130082</v>
      </c>
      <c r="AL120" s="555">
        <f t="shared" si="209"/>
        <v>42</v>
      </c>
      <c r="AM120" s="469">
        <f t="shared" si="210"/>
        <v>227.64227642276427</v>
      </c>
      <c r="AO120" s="469">
        <f t="shared" si="211"/>
        <v>42</v>
      </c>
      <c r="AP120" s="469">
        <f t="shared" si="212"/>
        <v>227.64227642276427</v>
      </c>
      <c r="AR120" s="5">
        <f t="shared" si="160"/>
        <v>4.3928571428571423</v>
      </c>
      <c r="AS120" s="5">
        <f t="shared" si="246"/>
        <v>0.8840742624843807</v>
      </c>
      <c r="AT120" s="5">
        <f t="shared" si="247"/>
        <v>3.5087828803727614</v>
      </c>
      <c r="AU120" s="177">
        <f t="shared" si="248"/>
        <v>0.20125267763872084</v>
      </c>
      <c r="AW120" s="5">
        <f t="shared" si="216"/>
        <v>0.2395556066086709</v>
      </c>
      <c r="AX120" s="5"/>
      <c r="AY120" s="5">
        <f t="shared" si="217"/>
        <v>0.80119230037646993</v>
      </c>
      <c r="AZ120" s="5"/>
      <c r="BA120" s="5">
        <f t="shared" si="218"/>
        <v>0.47000363274128959</v>
      </c>
      <c r="BB120" s="5"/>
      <c r="BC120" s="5"/>
      <c r="BD120" s="177">
        <f t="shared" si="219"/>
        <v>0.22898073954874235</v>
      </c>
      <c r="BE120" s="177">
        <f t="shared" si="220"/>
        <v>0.45617641482743443</v>
      </c>
      <c r="BF120" s="177">
        <f t="shared" si="221"/>
        <v>0.74891697437625016</v>
      </c>
      <c r="BG120" s="177"/>
      <c r="BH120" s="538">
        <f t="shared" si="222"/>
        <v>5.7675396992717875E-3</v>
      </c>
      <c r="BI120" s="538">
        <f t="shared" si="223"/>
        <v>2.5559090060117542E-2</v>
      </c>
      <c r="BJ120" s="538">
        <f t="shared" si="224"/>
        <v>1.1382113821138212E-2</v>
      </c>
      <c r="BK120" s="538">
        <f t="shared" si="225"/>
        <v>3.3044780487804883E-2</v>
      </c>
      <c r="BL120">
        <f t="shared" si="226"/>
        <v>2.6099999999999999E-3</v>
      </c>
      <c r="BM120">
        <f t="shared" si="227"/>
        <v>9.1056910569105702E-6</v>
      </c>
      <c r="BN120">
        <f t="shared" si="228"/>
        <v>7.8456115781055449E-2</v>
      </c>
      <c r="BO120" s="469">
        <f t="shared" si="229"/>
        <v>78.363524068332424</v>
      </c>
      <c r="BP120" s="177">
        <f t="shared" si="230"/>
        <v>3.78E-2</v>
      </c>
      <c r="BQ120" s="177">
        <f t="shared" si="231"/>
        <v>6.5250000000000002E-2</v>
      </c>
      <c r="BR120" s="538"/>
      <c r="BT120" s="469">
        <f t="shared" si="232"/>
        <v>103.05</v>
      </c>
      <c r="BU120" s="538">
        <f t="shared" si="233"/>
        <v>2.5167445960458707E-3</v>
      </c>
      <c r="BV120" s="538">
        <f t="shared" si="234"/>
        <v>4.9943261146754771E-2</v>
      </c>
      <c r="BW120" s="538">
        <f t="shared" si="235"/>
        <v>0.13461039228213045</v>
      </c>
      <c r="BX120" s="538">
        <f t="shared" si="236"/>
        <v>0</v>
      </c>
      <c r="BY120" s="538">
        <f t="shared" si="180"/>
        <v>0.18991255947216235</v>
      </c>
      <c r="BZ120" s="538">
        <f t="shared" si="166"/>
        <v>0.18707039802493108</v>
      </c>
      <c r="CA120" s="641">
        <f t="shared" si="237"/>
        <v>8.896115627822946E-3</v>
      </c>
      <c r="CB120" s="469">
        <f t="shared" si="238"/>
        <v>572.94947114984757</v>
      </c>
      <c r="CC120" s="177">
        <f t="shared" si="168"/>
        <v>0.38031479088104075</v>
      </c>
      <c r="CD120" s="5">
        <f t="shared" si="239"/>
        <v>1.2309999999999999</v>
      </c>
      <c r="CE120" s="177">
        <f t="shared" si="240"/>
        <v>0.76397238265709033</v>
      </c>
      <c r="CF120" s="5">
        <f t="shared" si="241"/>
        <v>76.397238265709035</v>
      </c>
      <c r="CG120">
        <f t="shared" si="242"/>
        <v>10</v>
      </c>
      <c r="CI120" s="571">
        <f t="shared" si="243"/>
        <v>-50</v>
      </c>
      <c r="CJ120">
        <f t="shared" si="244"/>
        <v>-50</v>
      </c>
    </row>
    <row r="121" spans="5:88" x14ac:dyDescent="0.2">
      <c r="E121" s="174">
        <v>11</v>
      </c>
      <c r="F121" s="221">
        <f t="shared" si="245"/>
        <v>4.6199999999999998E-2</v>
      </c>
      <c r="G121" s="221">
        <f t="shared" si="183"/>
        <v>7.9750000000000001E-2</v>
      </c>
      <c r="H121" s="221">
        <f t="shared" si="184"/>
        <v>0.71609999999999996</v>
      </c>
      <c r="I121" s="221">
        <f t="shared" si="185"/>
        <v>0.63800000000000001</v>
      </c>
      <c r="J121" s="551">
        <f t="shared" si="186"/>
        <v>9</v>
      </c>
      <c r="K121" s="451">
        <f t="shared" si="187"/>
        <v>16.399999999999999</v>
      </c>
      <c r="L121" s="451">
        <f t="shared" si="188"/>
        <v>25.4</v>
      </c>
      <c r="M121" s="451"/>
      <c r="N121" s="221">
        <f t="shared" si="189"/>
        <v>0.64566929133858264</v>
      </c>
      <c r="O121" s="176">
        <f t="shared" si="190"/>
        <v>5.6698549287756563</v>
      </c>
      <c r="P121" s="176">
        <f t="shared" si="191"/>
        <v>9.552037446932033</v>
      </c>
      <c r="Q121" s="221">
        <f t="shared" si="192"/>
        <v>0.36579709217907458</v>
      </c>
      <c r="R121" s="221">
        <f t="shared" si="193"/>
        <v>0.70873186609695704</v>
      </c>
      <c r="S121" s="221">
        <f t="shared" si="194"/>
        <v>15.5</v>
      </c>
      <c r="T121" s="221">
        <f t="shared" si="195"/>
        <v>0.51782806383619395</v>
      </c>
      <c r="U121" s="221">
        <f t="shared" si="196"/>
        <v>0.51782806383619395</v>
      </c>
      <c r="V121" s="221">
        <f t="shared" si="197"/>
        <v>0.28417393747108205</v>
      </c>
      <c r="W121" s="201">
        <f t="shared" si="198"/>
        <v>350</v>
      </c>
      <c r="X121" s="451">
        <f t="shared" si="199"/>
        <v>350</v>
      </c>
      <c r="Z121" s="221">
        <f t="shared" si="200"/>
        <v>1.8447694038245221</v>
      </c>
      <c r="AA121" s="177">
        <f t="shared" si="201"/>
        <v>1.0123734533183355</v>
      </c>
      <c r="AB121" s="177">
        <f t="shared" si="202"/>
        <v>0.17283982577713339</v>
      </c>
      <c r="AC121" s="177"/>
      <c r="AD121" s="177">
        <f t="shared" si="203"/>
        <v>0.45</v>
      </c>
      <c r="AE121" s="555">
        <f t="shared" si="204"/>
        <v>250.40650406504065</v>
      </c>
      <c r="AF121" s="538">
        <f t="shared" si="205"/>
        <v>6.4574999999999994E-2</v>
      </c>
      <c r="AH121" s="177">
        <f t="shared" si="206"/>
        <v>0.92722490893311948</v>
      </c>
      <c r="AI121" s="177">
        <f t="shared" si="207"/>
        <v>0.92722490893311948</v>
      </c>
      <c r="AJ121" s="177">
        <f t="shared" si="208"/>
        <v>1.1430894308943089</v>
      </c>
      <c r="AL121" s="555">
        <f t="shared" si="209"/>
        <v>46.199999999999996</v>
      </c>
      <c r="AM121" s="469">
        <f t="shared" si="210"/>
        <v>250.40650406504065</v>
      </c>
      <c r="AO121" s="469">
        <f t="shared" si="211"/>
        <v>46.199999999999996</v>
      </c>
      <c r="AP121" s="469">
        <f t="shared" si="212"/>
        <v>250.40650406504065</v>
      </c>
      <c r="AR121" s="5">
        <f t="shared" si="160"/>
        <v>3.9935064935064934</v>
      </c>
      <c r="AS121" s="5">
        <f t="shared" si="246"/>
        <v>0.92722490893311937</v>
      </c>
      <c r="AT121" s="5">
        <f t="shared" si="247"/>
        <v>3.0662815845733742</v>
      </c>
      <c r="AU121" s="177">
        <f t="shared" si="248"/>
        <v>0.2321831479279681</v>
      </c>
      <c r="AW121" s="5">
        <f t="shared" si="216"/>
        <v>0.27637284382393623</v>
      </c>
      <c r="AX121" s="5"/>
      <c r="AY121" s="5">
        <f t="shared" si="217"/>
        <v>0.92432733109270337</v>
      </c>
      <c r="AZ121" s="5"/>
      <c r="BA121" s="5">
        <f t="shared" si="218"/>
        <v>0.45180334212201495</v>
      </c>
      <c r="BB121" s="5"/>
      <c r="BC121" s="5"/>
      <c r="BD121" s="177">
        <f t="shared" si="219"/>
        <v>0.25795254089940167</v>
      </c>
      <c r="BE121" s="177">
        <f t="shared" si="220"/>
        <v>0.46908687598946219</v>
      </c>
      <c r="BF121" s="177">
        <f t="shared" si="221"/>
        <v>0.77011242244632527</v>
      </c>
      <c r="BG121" s="177"/>
      <c r="BH121" s="538">
        <f t="shared" si="222"/>
        <v>7.3193464692103251E-3</v>
      </c>
      <c r="BI121" s="538">
        <f t="shared" si="223"/>
        <v>2.948725978685195E-2</v>
      </c>
      <c r="BJ121" s="538">
        <f t="shared" si="224"/>
        <v>1.2520325203252032E-2</v>
      </c>
      <c r="BK121" s="538">
        <f t="shared" si="225"/>
        <v>3.6349258536585362E-2</v>
      </c>
      <c r="BL121">
        <f t="shared" si="226"/>
        <v>2.6099999999999999E-3</v>
      </c>
      <c r="BM121">
        <f t="shared" si="227"/>
        <v>1.0016260162601627E-5</v>
      </c>
      <c r="BN121">
        <f t="shared" si="228"/>
        <v>8.8415604405598203E-2</v>
      </c>
      <c r="BO121" s="469">
        <f t="shared" si="229"/>
        <v>88.286189995899676</v>
      </c>
      <c r="BP121" s="177">
        <f t="shared" si="230"/>
        <v>4.1579999999999999E-2</v>
      </c>
      <c r="BQ121" s="177">
        <f t="shared" si="231"/>
        <v>7.1775000000000005E-2</v>
      </c>
      <c r="BR121" s="538"/>
      <c r="BT121" s="469">
        <f t="shared" si="232"/>
        <v>113.35500000000002</v>
      </c>
      <c r="BU121" s="538">
        <f t="shared" si="233"/>
        <v>3.1938966411099597E-3</v>
      </c>
      <c r="BV121" s="538">
        <f t="shared" si="234"/>
        <v>5.2810199334132737E-2</v>
      </c>
      <c r="BW121" s="538">
        <f t="shared" si="235"/>
        <v>0.14233755436947534</v>
      </c>
      <c r="BX121" s="538">
        <f t="shared" si="236"/>
        <v>0</v>
      </c>
      <c r="BY121" s="538">
        <f t="shared" si="180"/>
        <v>0.20153954522549797</v>
      </c>
      <c r="BZ121" s="538">
        <f t="shared" si="166"/>
        <v>0.19834165034471804</v>
      </c>
      <c r="CA121" s="641">
        <f t="shared" si="237"/>
        <v>1.0764299909665764E-2</v>
      </c>
      <c r="CB121" s="469">
        <f t="shared" si="238"/>
        <v>608.98714582459979</v>
      </c>
      <c r="CC121" s="177">
        <f t="shared" si="168"/>
        <v>0.41407444954076195</v>
      </c>
      <c r="CD121" s="5">
        <f t="shared" si="239"/>
        <v>1.3540999999999999</v>
      </c>
      <c r="CE121" s="177">
        <f t="shared" si="240"/>
        <v>0.76581810146147777</v>
      </c>
      <c r="CF121" s="5">
        <f t="shared" si="241"/>
        <v>76.581810146147774</v>
      </c>
      <c r="CG121">
        <f t="shared" si="242"/>
        <v>11</v>
      </c>
      <c r="CI121" s="571">
        <f t="shared" si="243"/>
        <v>-50</v>
      </c>
      <c r="CJ121">
        <f t="shared" si="244"/>
        <v>-50</v>
      </c>
    </row>
    <row r="122" spans="5:88" x14ac:dyDescent="0.2">
      <c r="E122" s="174">
        <v>12</v>
      </c>
      <c r="F122" s="221">
        <f t="shared" si="245"/>
        <v>5.0399999999999993E-2</v>
      </c>
      <c r="G122" s="221">
        <f t="shared" si="183"/>
        <v>8.6999999999999994E-2</v>
      </c>
      <c r="H122" s="221">
        <f t="shared" si="184"/>
        <v>0.78119999999999989</v>
      </c>
      <c r="I122" s="221">
        <f t="shared" si="185"/>
        <v>0.69599999999999995</v>
      </c>
      <c r="J122" s="551">
        <f t="shared" si="186"/>
        <v>9</v>
      </c>
      <c r="K122" s="451">
        <f t="shared" si="187"/>
        <v>16.399999999999999</v>
      </c>
      <c r="L122" s="451">
        <f t="shared" si="188"/>
        <v>25.4</v>
      </c>
      <c r="M122" s="451"/>
      <c r="N122" s="221">
        <f t="shared" si="189"/>
        <v>0.64566929133858264</v>
      </c>
      <c r="O122" s="176">
        <f t="shared" si="190"/>
        <v>5.6698549287756563</v>
      </c>
      <c r="P122" s="176">
        <f t="shared" si="191"/>
        <v>9.552037446932033</v>
      </c>
      <c r="Q122" s="221">
        <f t="shared" si="192"/>
        <v>0.36579709217907458</v>
      </c>
      <c r="R122" s="221">
        <f t="shared" si="193"/>
        <v>0.70873186609695704</v>
      </c>
      <c r="S122" s="221">
        <f t="shared" si="194"/>
        <v>15.5</v>
      </c>
      <c r="T122" s="221">
        <f t="shared" si="195"/>
        <v>0.56490334236675699</v>
      </c>
      <c r="U122" s="221">
        <f t="shared" si="196"/>
        <v>0.56490334236675699</v>
      </c>
      <c r="V122" s="221">
        <f t="shared" si="197"/>
        <v>0.31000793178663494</v>
      </c>
      <c r="W122" s="201">
        <f t="shared" si="198"/>
        <v>350</v>
      </c>
      <c r="X122" s="451">
        <f t="shared" si="199"/>
        <v>350</v>
      </c>
      <c r="Z122" s="221">
        <f t="shared" si="200"/>
        <v>1.8447694038245221</v>
      </c>
      <c r="AA122" s="177">
        <f t="shared" si="201"/>
        <v>1.0123734533183355</v>
      </c>
      <c r="AB122" s="177">
        <f t="shared" si="202"/>
        <v>0.17283982577713339</v>
      </c>
      <c r="AC122" s="177"/>
      <c r="AD122" s="177">
        <f t="shared" si="203"/>
        <v>0.45</v>
      </c>
      <c r="AE122" s="555">
        <f t="shared" si="204"/>
        <v>273.17073170731703</v>
      </c>
      <c r="AF122" s="538">
        <f t="shared" si="205"/>
        <v>6.4574999999999994E-2</v>
      </c>
      <c r="AH122" s="177">
        <f t="shared" si="206"/>
        <v>0.96845483214487693</v>
      </c>
      <c r="AI122" s="177">
        <f t="shared" si="207"/>
        <v>0.96845483214487693</v>
      </c>
      <c r="AJ122" s="177">
        <f t="shared" si="208"/>
        <v>1.1560975609756097</v>
      </c>
      <c r="AL122" s="555">
        <f t="shared" si="209"/>
        <v>50.399999999999991</v>
      </c>
      <c r="AM122" s="469">
        <f t="shared" si="210"/>
        <v>273.17073170731703</v>
      </c>
      <c r="AO122" s="469">
        <f t="shared" si="211"/>
        <v>50.399999999999991</v>
      </c>
      <c r="AP122" s="469">
        <f t="shared" si="212"/>
        <v>273.17073170731703</v>
      </c>
      <c r="AR122" s="5">
        <f t="shared" si="160"/>
        <v>3.660714285714286</v>
      </c>
      <c r="AS122" s="5">
        <f t="shared" si="246"/>
        <v>0.96845483214487715</v>
      </c>
      <c r="AT122" s="5">
        <f t="shared" si="247"/>
        <v>2.6922594535694087</v>
      </c>
      <c r="AU122" s="177">
        <f t="shared" si="248"/>
        <v>0.26455351512250302</v>
      </c>
      <c r="AW122" s="5">
        <f t="shared" si="216"/>
        <v>0.31490402283936642</v>
      </c>
      <c r="AX122" s="5"/>
      <c r="AY122" s="5">
        <f t="shared" si="217"/>
        <v>1.0531946299575539</v>
      </c>
      <c r="AZ122" s="5"/>
      <c r="BA122" s="5">
        <f t="shared" si="218"/>
        <v>0.43275577883300853</v>
      </c>
      <c r="BB122" s="5"/>
      <c r="BC122" s="5"/>
      <c r="BD122" s="177">
        <f t="shared" si="219"/>
        <v>0.28759114590684637</v>
      </c>
      <c r="BE122" s="177">
        <f t="shared" si="220"/>
        <v>0.47950626005393049</v>
      </c>
      <c r="BF122" s="177">
        <f t="shared" si="221"/>
        <v>0.78721820287422739</v>
      </c>
      <c r="BG122" s="177"/>
      <c r="BH122" s="538">
        <f t="shared" si="222"/>
        <v>9.0979533924414307E-3</v>
      </c>
      <c r="BI122" s="538">
        <f t="shared" si="223"/>
        <v>3.3598296420557873E-2</v>
      </c>
      <c r="BJ122" s="538">
        <f t="shared" si="224"/>
        <v>1.365853658536585E-2</v>
      </c>
      <c r="BK122" s="538">
        <f t="shared" si="225"/>
        <v>3.9653736585365841E-2</v>
      </c>
      <c r="BL122">
        <f t="shared" si="226"/>
        <v>2.6099999999999999E-3</v>
      </c>
      <c r="BM122">
        <f t="shared" si="227"/>
        <v>1.0926829268292681E-5</v>
      </c>
      <c r="BN122">
        <f t="shared" si="228"/>
        <v>9.8795284851490583E-2</v>
      </c>
      <c r="BO122" s="469">
        <f t="shared" si="229"/>
        <v>98.618522983730998</v>
      </c>
      <c r="BP122" s="177">
        <f t="shared" si="230"/>
        <v>4.5359999999999998E-2</v>
      </c>
      <c r="BQ122" s="177">
        <f t="shared" si="231"/>
        <v>7.8299999999999995E-2</v>
      </c>
      <c r="BR122" s="538"/>
      <c r="BT122" s="469">
        <f t="shared" si="232"/>
        <v>123.66</v>
      </c>
      <c r="BU122" s="538">
        <f t="shared" si="233"/>
        <v>3.9700160257926239E-3</v>
      </c>
      <c r="BV122" s="538">
        <f t="shared" si="234"/>
        <v>5.5182300823417824E-2</v>
      </c>
      <c r="BW122" s="538">
        <f t="shared" si="235"/>
        <v>0.14873099974476678</v>
      </c>
      <c r="BX122" s="538">
        <f t="shared" si="236"/>
        <v>0</v>
      </c>
      <c r="BY122" s="538">
        <f t="shared" si="180"/>
        <v>0.21139902299598784</v>
      </c>
      <c r="BZ122" s="538">
        <f t="shared" si="166"/>
        <v>0.20788331659397724</v>
      </c>
      <c r="CA122" s="641">
        <f t="shared" si="237"/>
        <v>1.281040650406504E-2</v>
      </c>
      <c r="CB122" s="469">
        <f t="shared" si="238"/>
        <v>639.97606268800735</v>
      </c>
      <c r="CC122" s="177">
        <f t="shared" si="168"/>
        <v>0.44666471435154348</v>
      </c>
      <c r="CD122" s="5">
        <f t="shared" si="239"/>
        <v>1.4771999999999998</v>
      </c>
      <c r="CE122" s="177">
        <f t="shared" si="240"/>
        <v>0.76782945753953602</v>
      </c>
      <c r="CF122" s="5">
        <f t="shared" si="241"/>
        <v>76.782945753953598</v>
      </c>
      <c r="CG122">
        <f t="shared" si="242"/>
        <v>12</v>
      </c>
      <c r="CI122" s="571">
        <f t="shared" si="243"/>
        <v>-50</v>
      </c>
      <c r="CJ122">
        <f t="shared" si="244"/>
        <v>-50</v>
      </c>
    </row>
    <row r="123" spans="5:88" x14ac:dyDescent="0.2">
      <c r="E123" s="174">
        <v>13</v>
      </c>
      <c r="F123" s="221">
        <f t="shared" si="245"/>
        <v>5.4600000000000003E-2</v>
      </c>
      <c r="G123" s="221">
        <f t="shared" si="183"/>
        <v>9.425E-2</v>
      </c>
      <c r="H123" s="221">
        <f t="shared" si="184"/>
        <v>0.84630000000000005</v>
      </c>
      <c r="I123" s="221">
        <f t="shared" si="185"/>
        <v>0.754</v>
      </c>
      <c r="J123" s="551">
        <f t="shared" si="186"/>
        <v>9</v>
      </c>
      <c r="K123" s="451">
        <f t="shared" si="187"/>
        <v>16.399999999999999</v>
      </c>
      <c r="L123" s="451">
        <f t="shared" si="188"/>
        <v>25.4</v>
      </c>
      <c r="M123" s="451"/>
      <c r="N123" s="221">
        <f t="shared" si="189"/>
        <v>0.64566929133858264</v>
      </c>
      <c r="O123" s="176">
        <f t="shared" si="190"/>
        <v>5.6698549287756563</v>
      </c>
      <c r="P123" s="176">
        <f t="shared" si="191"/>
        <v>9.552037446932033</v>
      </c>
      <c r="Q123" s="221">
        <f t="shared" si="192"/>
        <v>0.36579709217907458</v>
      </c>
      <c r="R123" s="221">
        <f t="shared" si="193"/>
        <v>0.70873186609695704</v>
      </c>
      <c r="S123" s="221">
        <f t="shared" si="194"/>
        <v>15.5</v>
      </c>
      <c r="T123" s="221">
        <f t="shared" si="195"/>
        <v>0.61197862089732014</v>
      </c>
      <c r="U123" s="221">
        <f t="shared" si="196"/>
        <v>0.61197862089732025</v>
      </c>
      <c r="V123" s="221">
        <f t="shared" si="197"/>
        <v>0.33584192610218794</v>
      </c>
      <c r="W123" s="201">
        <f t="shared" si="198"/>
        <v>350</v>
      </c>
      <c r="X123" s="451">
        <f t="shared" si="199"/>
        <v>350</v>
      </c>
      <c r="Z123" s="221">
        <f t="shared" si="200"/>
        <v>1.8447694038245221</v>
      </c>
      <c r="AA123" s="177">
        <f t="shared" si="201"/>
        <v>1.0123734533183355</v>
      </c>
      <c r="AB123" s="177">
        <f t="shared" si="202"/>
        <v>0.17283982577713339</v>
      </c>
      <c r="AC123" s="177"/>
      <c r="AD123" s="177">
        <f t="shared" si="203"/>
        <v>0.45</v>
      </c>
      <c r="AE123" s="555">
        <f t="shared" si="204"/>
        <v>295.9349593495935</v>
      </c>
      <c r="AF123" s="538">
        <f t="shared" si="205"/>
        <v>6.4574999999999994E-2</v>
      </c>
      <c r="AH123" s="177">
        <f t="shared" si="206"/>
        <v>1.0079997480473357</v>
      </c>
      <c r="AI123" s="177">
        <f t="shared" si="207"/>
        <v>1.0079997480473357</v>
      </c>
      <c r="AJ123" s="177">
        <f t="shared" si="208"/>
        <v>1.1691056910569106</v>
      </c>
      <c r="AL123" s="555">
        <f t="shared" si="209"/>
        <v>54.6</v>
      </c>
      <c r="AM123" s="469">
        <f t="shared" si="210"/>
        <v>295.9349593495935</v>
      </c>
      <c r="AO123" s="469">
        <f t="shared" si="211"/>
        <v>54.6</v>
      </c>
      <c r="AP123" s="469">
        <f t="shared" si="212"/>
        <v>295.9349593495935</v>
      </c>
      <c r="AR123" s="5">
        <f t="shared" si="160"/>
        <v>3.3791208791208791</v>
      </c>
      <c r="AS123" s="5">
        <f t="shared" si="246"/>
        <v>1.0079997480473359</v>
      </c>
      <c r="AT123" s="5">
        <f t="shared" si="247"/>
        <v>2.3711211310735432</v>
      </c>
      <c r="AU123" s="177">
        <f t="shared" si="248"/>
        <v>0.29830236446278885</v>
      </c>
      <c r="AW123" s="5">
        <f t="shared" si="216"/>
        <v>0.35507604027990031</v>
      </c>
      <c r="AX123" s="5"/>
      <c r="AY123" s="5">
        <f t="shared" si="217"/>
        <v>1.1875497031682676</v>
      </c>
      <c r="AZ123" s="5"/>
      <c r="BA123" s="5">
        <f t="shared" si="218"/>
        <v>0.41289708091101635</v>
      </c>
      <c r="BB123" s="5"/>
      <c r="BC123" s="5"/>
      <c r="BD123" s="177">
        <f t="shared" si="219"/>
        <v>0.31785433882354447</v>
      </c>
      <c r="BE123" s="177">
        <f t="shared" si="220"/>
        <v>0.4875002051064985</v>
      </c>
      <c r="BF123" s="177">
        <f t="shared" si="221"/>
        <v>0.80034207545401426</v>
      </c>
      <c r="BG123" s="177"/>
      <c r="BH123" s="538">
        <f t="shared" si="222"/>
        <v>1.1113451877984787E-2</v>
      </c>
      <c r="BI123" s="538">
        <f t="shared" si="223"/>
        <v>3.7884400286774172E-2</v>
      </c>
      <c r="BJ123" s="538">
        <f t="shared" si="224"/>
        <v>1.4796747967479673E-2</v>
      </c>
      <c r="BK123" s="538">
        <f t="shared" si="225"/>
        <v>4.2958214634146334E-2</v>
      </c>
      <c r="BL123">
        <f t="shared" si="226"/>
        <v>2.6099999999999999E-3</v>
      </c>
      <c r="BM123">
        <f t="shared" si="227"/>
        <v>1.1837398373983741E-5</v>
      </c>
      <c r="BN123">
        <f t="shared" si="228"/>
        <v>0.10959937822296262</v>
      </c>
      <c r="BO123" s="469">
        <f t="shared" si="229"/>
        <v>109.36281476638496</v>
      </c>
      <c r="BP123" s="177">
        <f t="shared" si="230"/>
        <v>4.9140000000000003E-2</v>
      </c>
      <c r="BQ123" s="177">
        <f t="shared" si="231"/>
        <v>8.4824999999999998E-2</v>
      </c>
      <c r="BR123" s="538"/>
      <c r="BT123" s="469">
        <f t="shared" si="232"/>
        <v>133.965</v>
      </c>
      <c r="BU123" s="538">
        <f t="shared" si="233"/>
        <v>4.8495062740297251E-3</v>
      </c>
      <c r="BV123" s="538">
        <f t="shared" si="234"/>
        <v>5.7037547994930743E-2</v>
      </c>
      <c r="BW123" s="538">
        <f t="shared" si="235"/>
        <v>0.15373138505808936</v>
      </c>
      <c r="BX123" s="538">
        <f t="shared" si="236"/>
        <v>0</v>
      </c>
      <c r="BY123" s="538">
        <f t="shared" si="180"/>
        <v>0.21940302637754241</v>
      </c>
      <c r="BZ123" s="538">
        <f t="shared" si="166"/>
        <v>0.21561843932704983</v>
      </c>
      <c r="CA123" s="641">
        <f t="shared" si="237"/>
        <v>1.5034435411020784E-2</v>
      </c>
      <c r="CB123" s="469">
        <f t="shared" si="238"/>
        <v>665.67434044266281</v>
      </c>
      <c r="CC123" s="177">
        <f t="shared" si="168"/>
        <v>0.47800184001152579</v>
      </c>
      <c r="CD123" s="5">
        <f t="shared" si="239"/>
        <v>1.6003000000000001</v>
      </c>
      <c r="CE123" s="177">
        <f t="shared" si="240"/>
        <v>0.77000364874388272</v>
      </c>
      <c r="CF123" s="5">
        <f t="shared" si="241"/>
        <v>77.000364874388268</v>
      </c>
      <c r="CG123">
        <f t="shared" si="242"/>
        <v>13</v>
      </c>
      <c r="CI123" s="571">
        <f t="shared" si="243"/>
        <v>-50</v>
      </c>
      <c r="CJ123">
        <f t="shared" si="244"/>
        <v>-50</v>
      </c>
    </row>
    <row r="124" spans="5:88" x14ac:dyDescent="0.2">
      <c r="E124" s="174">
        <v>14</v>
      </c>
      <c r="F124" s="221">
        <f t="shared" si="245"/>
        <v>5.8800000000000005E-2</v>
      </c>
      <c r="G124" s="221">
        <f t="shared" si="183"/>
        <v>0.10150000000000001</v>
      </c>
      <c r="H124" s="221">
        <f t="shared" si="184"/>
        <v>0.9114000000000001</v>
      </c>
      <c r="I124" s="221">
        <f t="shared" si="185"/>
        <v>0.81200000000000006</v>
      </c>
      <c r="J124" s="551">
        <f t="shared" si="186"/>
        <v>9</v>
      </c>
      <c r="K124" s="451">
        <f t="shared" si="187"/>
        <v>16.399999999999999</v>
      </c>
      <c r="L124" s="451">
        <f t="shared" si="188"/>
        <v>25.4</v>
      </c>
      <c r="M124" s="451"/>
      <c r="N124" s="221">
        <f t="shared" si="189"/>
        <v>0.64566929133858264</v>
      </c>
      <c r="O124" s="176">
        <f t="shared" si="190"/>
        <v>5.6698549287756563</v>
      </c>
      <c r="P124" s="176">
        <f t="shared" si="191"/>
        <v>9.552037446932033</v>
      </c>
      <c r="Q124" s="221">
        <f t="shared" si="192"/>
        <v>0.36579709217907458</v>
      </c>
      <c r="R124" s="221">
        <f t="shared" si="193"/>
        <v>0.70873186609695704</v>
      </c>
      <c r="S124" s="221">
        <f t="shared" si="194"/>
        <v>15.5</v>
      </c>
      <c r="T124" s="221">
        <f t="shared" si="195"/>
        <v>0.65905389942788339</v>
      </c>
      <c r="U124" s="221">
        <f t="shared" si="196"/>
        <v>0.65905389942788339</v>
      </c>
      <c r="V124" s="221">
        <f t="shared" si="197"/>
        <v>0.36167592041774094</v>
      </c>
      <c r="W124" s="201">
        <f t="shared" si="198"/>
        <v>350</v>
      </c>
      <c r="X124" s="451">
        <f t="shared" si="199"/>
        <v>350</v>
      </c>
      <c r="Z124" s="221">
        <f t="shared" si="200"/>
        <v>1.8447694038245221</v>
      </c>
      <c r="AA124" s="177">
        <f t="shared" si="201"/>
        <v>1.0123734533183355</v>
      </c>
      <c r="AB124" s="177">
        <f t="shared" si="202"/>
        <v>0.17283982577713339</v>
      </c>
      <c r="AC124" s="177"/>
      <c r="AD124" s="177">
        <f t="shared" si="203"/>
        <v>0.45</v>
      </c>
      <c r="AE124" s="555">
        <f t="shared" si="204"/>
        <v>318.69918699186996</v>
      </c>
      <c r="AF124" s="538">
        <f t="shared" si="205"/>
        <v>6.4574999999999994E-2</v>
      </c>
      <c r="AH124" s="177">
        <f t="shared" si="206"/>
        <v>1.0460507742085097</v>
      </c>
      <c r="AI124" s="177">
        <f t="shared" si="207"/>
        <v>1.0460507742085097</v>
      </c>
      <c r="AJ124" s="177">
        <f t="shared" si="208"/>
        <v>1.1821138211382114</v>
      </c>
      <c r="AL124" s="555">
        <f t="shared" si="209"/>
        <v>58.800000000000004</v>
      </c>
      <c r="AM124" s="469">
        <f t="shared" si="210"/>
        <v>318.69918699186996</v>
      </c>
      <c r="AO124" s="469">
        <f t="shared" si="211"/>
        <v>58.800000000000004</v>
      </c>
      <c r="AP124" s="469">
        <f t="shared" si="212"/>
        <v>318.69918699186996</v>
      </c>
      <c r="AR124" s="5">
        <f t="shared" si="160"/>
        <v>3.1377551020408156</v>
      </c>
      <c r="AS124" s="5">
        <f t="shared" si="246"/>
        <v>1.0460507742085097</v>
      </c>
      <c r="AT124" s="5">
        <f t="shared" si="247"/>
        <v>2.0917043278323062</v>
      </c>
      <c r="AU124" s="177">
        <f t="shared" si="248"/>
        <v>0.33337553129246822</v>
      </c>
      <c r="AW124" s="5">
        <f t="shared" si="216"/>
        <v>0.39682442273200241</v>
      </c>
      <c r="AX124" s="5"/>
      <c r="AY124" s="5">
        <f t="shared" si="217"/>
        <v>1.3271769197770469</v>
      </c>
      <c r="AZ124" s="5"/>
      <c r="BA124" s="5">
        <f t="shared" si="218"/>
        <v>0.39225912024410781</v>
      </c>
      <c r="BB124" s="5"/>
      <c r="BC124" s="5"/>
      <c r="BD124" s="177">
        <f t="shared" si="219"/>
        <v>0.34870566130829145</v>
      </c>
      <c r="BE124" s="177">
        <f t="shared" si="220"/>
        <v>0.49309745741819427</v>
      </c>
      <c r="BF124" s="177">
        <f t="shared" si="221"/>
        <v>0.80953123370473479</v>
      </c>
      <c r="BG124" s="177"/>
      <c r="BH124" s="538">
        <f t="shared" si="222"/>
        <v>1.3375520205129816E-2</v>
      </c>
      <c r="BI124" s="538">
        <f t="shared" si="223"/>
        <v>4.2338692474143458E-2</v>
      </c>
      <c r="BJ124" s="538">
        <f t="shared" si="224"/>
        <v>1.5934959349593495E-2</v>
      </c>
      <c r="BK124" s="538">
        <f t="shared" si="225"/>
        <v>4.6262692682926827E-2</v>
      </c>
      <c r="BL124">
        <f t="shared" si="226"/>
        <v>2.6099999999999999E-3</v>
      </c>
      <c r="BM124">
        <f t="shared" si="227"/>
        <v>1.2747967479674799E-5</v>
      </c>
      <c r="BN124">
        <f t="shared" si="228"/>
        <v>0.12083280187131319</v>
      </c>
      <c r="BO124" s="469">
        <f t="shared" si="229"/>
        <v>120.5218647117936</v>
      </c>
      <c r="BP124" s="177">
        <f t="shared" si="230"/>
        <v>5.2920000000000009E-2</v>
      </c>
      <c r="BQ124" s="177">
        <f t="shared" si="231"/>
        <v>9.1350000000000015E-2</v>
      </c>
      <c r="BR124" s="538"/>
      <c r="BT124" s="469">
        <f t="shared" si="232"/>
        <v>144.27000000000001</v>
      </c>
      <c r="BU124" s="538">
        <f t="shared" si="233"/>
        <v>5.836590634965738E-3</v>
      </c>
      <c r="BV124" s="538">
        <f t="shared" si="234"/>
        <v>5.8354824602949093E-2</v>
      </c>
      <c r="BW124" s="538">
        <f t="shared" si="235"/>
        <v>0.15728179640244236</v>
      </c>
      <c r="BX124" s="538">
        <f t="shared" si="236"/>
        <v>0</v>
      </c>
      <c r="BY124" s="538">
        <f t="shared" si="180"/>
        <v>0.22546802179305364</v>
      </c>
      <c r="BZ124" s="538">
        <f t="shared" si="166"/>
        <v>0.22147321164035719</v>
      </c>
      <c r="CA124" s="641">
        <f t="shared" si="237"/>
        <v>1.7436386630532978E-2</v>
      </c>
      <c r="CB124" s="469">
        <f t="shared" si="238"/>
        <v>685.85083170430096</v>
      </c>
      <c r="CC124" s="177">
        <f t="shared" si="168"/>
        <v>0.50800721029489981</v>
      </c>
      <c r="CD124" s="5">
        <f t="shared" si="239"/>
        <v>1.7234000000000003</v>
      </c>
      <c r="CE124" s="177">
        <f t="shared" si="240"/>
        <v>0.77233773918487869</v>
      </c>
      <c r="CF124" s="5">
        <f t="shared" si="241"/>
        <v>77.23377391848787</v>
      </c>
      <c r="CG124">
        <f t="shared" si="242"/>
        <v>14.000000000000002</v>
      </c>
      <c r="CI124" s="571">
        <f t="shared" si="243"/>
        <v>-50</v>
      </c>
      <c r="CJ124">
        <f t="shared" si="244"/>
        <v>-50</v>
      </c>
    </row>
    <row r="125" spans="5:88" x14ac:dyDescent="0.2">
      <c r="E125" s="174">
        <v>15</v>
      </c>
      <c r="F125" s="221">
        <f t="shared" si="245"/>
        <v>6.3E-2</v>
      </c>
      <c r="G125" s="221">
        <f t="shared" si="183"/>
        <v>0.10875</v>
      </c>
      <c r="H125" s="221">
        <f t="shared" si="184"/>
        <v>0.97650000000000003</v>
      </c>
      <c r="I125" s="221">
        <f t="shared" si="185"/>
        <v>0.87</v>
      </c>
      <c r="J125" s="551">
        <f t="shared" si="186"/>
        <v>9</v>
      </c>
      <c r="K125" s="451">
        <f t="shared" si="187"/>
        <v>16.399999999999999</v>
      </c>
      <c r="L125" s="451">
        <f t="shared" si="188"/>
        <v>25.4</v>
      </c>
      <c r="M125" s="451"/>
      <c r="N125" s="221">
        <f t="shared" si="189"/>
        <v>0.64566929133858264</v>
      </c>
      <c r="O125" s="176">
        <f t="shared" si="190"/>
        <v>5.6698549287756563</v>
      </c>
      <c r="P125" s="176">
        <f t="shared" si="191"/>
        <v>9.552037446932033</v>
      </c>
      <c r="Q125" s="221">
        <f t="shared" si="192"/>
        <v>0.36579709217907458</v>
      </c>
      <c r="R125" s="221">
        <f t="shared" si="193"/>
        <v>0.70873186609695704</v>
      </c>
      <c r="S125" s="221">
        <f t="shared" si="194"/>
        <v>15.5</v>
      </c>
      <c r="T125" s="221">
        <f t="shared" si="195"/>
        <v>0.70612917795844632</v>
      </c>
      <c r="U125" s="221">
        <f t="shared" si="196"/>
        <v>0.70612917795844632</v>
      </c>
      <c r="V125" s="221">
        <f t="shared" si="197"/>
        <v>0.38750991473329383</v>
      </c>
      <c r="W125" s="201">
        <f t="shared" si="198"/>
        <v>350</v>
      </c>
      <c r="X125" s="451">
        <f t="shared" si="199"/>
        <v>350</v>
      </c>
      <c r="Z125" s="221">
        <f t="shared" si="200"/>
        <v>1.8447694038245221</v>
      </c>
      <c r="AA125" s="177">
        <f t="shared" si="201"/>
        <v>1.0123734533183355</v>
      </c>
      <c r="AB125" s="177">
        <f t="shared" si="202"/>
        <v>0.17283982577713339</v>
      </c>
      <c r="AC125" s="177"/>
      <c r="AD125" s="177">
        <f t="shared" si="203"/>
        <v>0.45</v>
      </c>
      <c r="AE125" s="555">
        <f t="shared" si="204"/>
        <v>341.46341463414637</v>
      </c>
      <c r="AF125" s="538">
        <f t="shared" si="205"/>
        <v>6.4574999999999994E-2</v>
      </c>
      <c r="AH125" s="177">
        <f t="shared" si="206"/>
        <v>1.0827654189070468</v>
      </c>
      <c r="AI125" s="177">
        <f t="shared" si="207"/>
        <v>1.0827654189070468</v>
      </c>
      <c r="AJ125" s="177">
        <f t="shared" si="208"/>
        <v>1.1951219512195121</v>
      </c>
      <c r="AL125" s="555">
        <f t="shared" si="209"/>
        <v>63</v>
      </c>
      <c r="AM125" s="469">
        <f t="shared" si="210"/>
        <v>341.46341463414637</v>
      </c>
      <c r="AO125" s="469">
        <f t="shared" si="211"/>
        <v>63</v>
      </c>
      <c r="AP125" s="469">
        <f t="shared" si="212"/>
        <v>341.46341463414637</v>
      </c>
      <c r="AR125" s="5">
        <f t="shared" si="160"/>
        <v>2.9285714285714284</v>
      </c>
      <c r="AS125" s="5">
        <f t="shared" si="246"/>
        <v>1.0827654189070466</v>
      </c>
      <c r="AT125" s="5">
        <f t="shared" si="247"/>
        <v>1.8458060096643818</v>
      </c>
      <c r="AU125" s="177">
        <f t="shared" si="248"/>
        <v>0.36972477718777202</v>
      </c>
      <c r="AW125" s="5">
        <f t="shared" si="216"/>
        <v>0.44009175091060609</v>
      </c>
      <c r="AX125" s="5"/>
      <c r="AY125" s="5">
        <f t="shared" si="217"/>
        <v>1.4718842413267663</v>
      </c>
      <c r="AZ125" s="5"/>
      <c r="BA125" s="5">
        <f t="shared" si="218"/>
        <v>0.37087028157145441</v>
      </c>
      <c r="BB125" s="5"/>
      <c r="BC125" s="5"/>
      <c r="BD125" s="177">
        <f t="shared" si="219"/>
        <v>0.38011326662730222</v>
      </c>
      <c r="BE125" s="177">
        <f t="shared" si="220"/>
        <v>0.49629381955407453</v>
      </c>
      <c r="BF125" s="177">
        <f t="shared" si="221"/>
        <v>0.81477878658560832</v>
      </c>
      <c r="BG125" s="177"/>
      <c r="BH125" s="538">
        <f t="shared" si="222"/>
        <v>1.5893470501268641E-2</v>
      </c>
      <c r="BI125" s="538">
        <f t="shared" si="223"/>
        <v>4.6955046702847066E-2</v>
      </c>
      <c r="BJ125" s="538">
        <f t="shared" si="224"/>
        <v>1.7073170731707318E-2</v>
      </c>
      <c r="BK125" s="538">
        <f t="shared" si="225"/>
        <v>4.956717073170732E-2</v>
      </c>
      <c r="BL125">
        <f t="shared" si="226"/>
        <v>2.6099999999999999E-3</v>
      </c>
      <c r="BM125">
        <f t="shared" si="227"/>
        <v>1.3658536585365855E-5</v>
      </c>
      <c r="BN125">
        <f t="shared" si="228"/>
        <v>0.13250105605407256</v>
      </c>
      <c r="BO125" s="469">
        <f t="shared" si="229"/>
        <v>132.09885866753035</v>
      </c>
      <c r="BP125" s="177">
        <f t="shared" si="230"/>
        <v>5.67E-2</v>
      </c>
      <c r="BQ125" s="177">
        <f t="shared" si="231"/>
        <v>9.7875000000000004E-2</v>
      </c>
      <c r="BR125" s="538"/>
      <c r="BT125" s="469">
        <f t="shared" si="232"/>
        <v>154.57500000000002</v>
      </c>
      <c r="BU125" s="538">
        <f t="shared" si="233"/>
        <v>6.9353325823717704E-3</v>
      </c>
      <c r="BV125" s="538">
        <f t="shared" si="234"/>
        <v>5.9113813278617346E-2</v>
      </c>
      <c r="BW125" s="538">
        <f t="shared" si="235"/>
        <v>0.15932747305677991</v>
      </c>
      <c r="BX125" s="538">
        <f t="shared" si="236"/>
        <v>0</v>
      </c>
      <c r="BY125" s="538">
        <f t="shared" si="180"/>
        <v>0.22951480049595827</v>
      </c>
      <c r="BZ125" s="538">
        <f t="shared" si="166"/>
        <v>0.22537661891776903</v>
      </c>
      <c r="CA125" s="641">
        <f t="shared" si="237"/>
        <v>2.0016260162601631E-2</v>
      </c>
      <c r="CB125" s="469">
        <f t="shared" si="238"/>
        <v>700.28429849409792</v>
      </c>
      <c r="CC125" s="177">
        <f t="shared" si="168"/>
        <v>0.53660711671263239</v>
      </c>
      <c r="CD125" s="5">
        <f t="shared" si="239"/>
        <v>1.8465</v>
      </c>
      <c r="CE125" s="177">
        <f t="shared" si="240"/>
        <v>0.77482878845460679</v>
      </c>
      <c r="CF125" s="5">
        <f t="shared" si="241"/>
        <v>77.482878845460675</v>
      </c>
      <c r="CG125">
        <f t="shared" si="242"/>
        <v>15</v>
      </c>
      <c r="CI125" s="571">
        <f t="shared" si="243"/>
        <v>-50</v>
      </c>
      <c r="CJ125">
        <f t="shared" si="244"/>
        <v>-50</v>
      </c>
    </row>
    <row r="126" spans="5:88" x14ac:dyDescent="0.2">
      <c r="E126" s="174">
        <v>16</v>
      </c>
      <c r="F126" s="221">
        <f t="shared" si="245"/>
        <v>6.7199999999999996E-2</v>
      </c>
      <c r="G126" s="221">
        <f t="shared" si="183"/>
        <v>0.11599999999999999</v>
      </c>
      <c r="H126" s="221">
        <f t="shared" si="184"/>
        <v>1.0415999999999999</v>
      </c>
      <c r="I126" s="221">
        <f t="shared" si="185"/>
        <v>0.92799999999999994</v>
      </c>
      <c r="J126" s="551">
        <f t="shared" si="186"/>
        <v>9</v>
      </c>
      <c r="K126" s="451">
        <f t="shared" si="187"/>
        <v>16.399999999999999</v>
      </c>
      <c r="L126" s="451">
        <f t="shared" si="188"/>
        <v>25.4</v>
      </c>
      <c r="M126" s="451"/>
      <c r="N126" s="221">
        <f t="shared" si="189"/>
        <v>0.64566929133858264</v>
      </c>
      <c r="O126" s="176">
        <f t="shared" si="190"/>
        <v>5.6698549287756563</v>
      </c>
      <c r="P126" s="176">
        <f t="shared" si="191"/>
        <v>9.552037446932033</v>
      </c>
      <c r="Q126" s="221">
        <f t="shared" si="192"/>
        <v>0.36579709217907458</v>
      </c>
      <c r="R126" s="221">
        <f t="shared" si="193"/>
        <v>0.70873186609695704</v>
      </c>
      <c r="S126" s="221">
        <f t="shared" si="194"/>
        <v>15.5</v>
      </c>
      <c r="T126" s="221">
        <f t="shared" si="195"/>
        <v>0.75320445648900936</v>
      </c>
      <c r="U126" s="221">
        <f t="shared" si="196"/>
        <v>0.75320445648900936</v>
      </c>
      <c r="V126" s="221">
        <f t="shared" si="197"/>
        <v>0.4133439090488466</v>
      </c>
      <c r="W126" s="201">
        <f t="shared" si="198"/>
        <v>350</v>
      </c>
      <c r="X126" s="451">
        <f t="shared" si="199"/>
        <v>350</v>
      </c>
      <c r="Z126" s="221">
        <f t="shared" si="200"/>
        <v>1.8447694038245221</v>
      </c>
      <c r="AA126" s="177">
        <f t="shared" si="201"/>
        <v>1.0123734533183355</v>
      </c>
      <c r="AB126" s="177">
        <f t="shared" si="202"/>
        <v>0.17283982577713339</v>
      </c>
      <c r="AC126" s="177"/>
      <c r="AD126" s="177">
        <f t="shared" si="203"/>
        <v>0.45</v>
      </c>
      <c r="AE126" s="555">
        <f t="shared" si="204"/>
        <v>364.22764227642278</v>
      </c>
      <c r="AF126" s="538">
        <f t="shared" si="205"/>
        <v>6.4574999999999994E-2</v>
      </c>
      <c r="AH126" s="177">
        <f t="shared" si="206"/>
        <v>1.1182753160736771</v>
      </c>
      <c r="AI126" s="177">
        <f t="shared" si="207"/>
        <v>1.1182753160736771</v>
      </c>
      <c r="AJ126" s="177">
        <f t="shared" si="208"/>
        <v>1.4209446785730941</v>
      </c>
      <c r="AL126" s="555">
        <f t="shared" si="209"/>
        <v>67.2</v>
      </c>
      <c r="AM126" s="469">
        <f t="shared" si="210"/>
        <v>350</v>
      </c>
      <c r="AO126" s="469">
        <f t="shared" si="211"/>
        <v>67.2</v>
      </c>
      <c r="AP126" s="469">
        <f t="shared" si="212"/>
        <v>350</v>
      </c>
      <c r="AR126" s="5">
        <f t="shared" si="160"/>
        <v>2.8571428571428572</v>
      </c>
      <c r="AS126" s="5">
        <f t="shared" si="246"/>
        <v>1.1182753160736771</v>
      </c>
      <c r="AT126" s="5">
        <f t="shared" si="247"/>
        <v>1.7388675410691801</v>
      </c>
      <c r="AU126" s="177">
        <f t="shared" si="248"/>
        <v>0.39139636062578698</v>
      </c>
      <c r="AW126" s="5">
        <f t="shared" si="216"/>
        <v>0.4848264596138781</v>
      </c>
      <c r="AX126" s="5"/>
      <c r="AY126" s="5">
        <f t="shared" si="217"/>
        <v>1.6214992083068316</v>
      </c>
      <c r="AZ126" s="5"/>
      <c r="BA126" s="5">
        <f t="shared" si="218"/>
        <v>0.37267580880198709</v>
      </c>
      <c r="BB126" s="5"/>
      <c r="BC126" s="5"/>
      <c r="BD126" s="177">
        <f t="shared" si="219"/>
        <v>0.40392106512871984</v>
      </c>
      <c r="BE126" s="177">
        <f t="shared" si="220"/>
        <v>0.50368078580767917</v>
      </c>
      <c r="BF126" s="177">
        <f t="shared" si="221"/>
        <v>0.82690616589907384</v>
      </c>
      <c r="BG126" s="177"/>
      <c r="BH126" s="538">
        <f t="shared" si="222"/>
        <v>1.7946744954019149E-2</v>
      </c>
      <c r="BI126" s="538">
        <f t="shared" si="223"/>
        <v>4.9707337799474942E-2</v>
      </c>
      <c r="BJ126" s="538">
        <f t="shared" si="224"/>
        <v>1.7499999999999998E-2</v>
      </c>
      <c r="BK126" s="538">
        <f t="shared" si="225"/>
        <v>5.0806349999999993E-2</v>
      </c>
      <c r="BL126">
        <f t="shared" si="226"/>
        <v>2.6099999999999999E-3</v>
      </c>
      <c r="BM126">
        <f t="shared" si="227"/>
        <v>1.4E-5</v>
      </c>
      <c r="BN126">
        <f t="shared" si="228"/>
        <v>0.13904483445591703</v>
      </c>
      <c r="BO126" s="469">
        <f t="shared" si="229"/>
        <v>138.57043275349409</v>
      </c>
      <c r="BP126" s="177">
        <f t="shared" si="230"/>
        <v>6.0479999999999999E-2</v>
      </c>
      <c r="BQ126" s="177">
        <f t="shared" si="231"/>
        <v>0.10439999999999999</v>
      </c>
      <c r="BR126" s="538"/>
      <c r="BT126" s="469">
        <f t="shared" si="232"/>
        <v>164.88</v>
      </c>
      <c r="BU126" s="538">
        <f t="shared" si="233"/>
        <v>7.8313068890265378E-3</v>
      </c>
      <c r="BV126" s="538">
        <f t="shared" si="234"/>
        <v>6.0886640158041877E-2</v>
      </c>
      <c r="BW126" s="538">
        <f t="shared" si="235"/>
        <v>0.16410571372845759</v>
      </c>
      <c r="BX126" s="538">
        <f t="shared" si="236"/>
        <v>0</v>
      </c>
      <c r="BY126" s="538">
        <f t="shared" si="180"/>
        <v>0.23724251443165142</v>
      </c>
      <c r="BZ126" s="538">
        <f t="shared" si="166"/>
        <v>0.23282366077552602</v>
      </c>
      <c r="CA126" s="641">
        <f t="shared" si="237"/>
        <v>2.1884444444444446E-2</v>
      </c>
      <c r="CB126" s="469">
        <f t="shared" si="238"/>
        <v>724.77428042714791</v>
      </c>
      <c r="CC126" s="177">
        <f t="shared" si="168"/>
        <v>0.56305179333201294</v>
      </c>
      <c r="CD126" s="5">
        <f t="shared" si="239"/>
        <v>1.9695999999999998</v>
      </c>
      <c r="CE126" s="177">
        <f t="shared" si="240"/>
        <v>0.77768290342382607</v>
      </c>
      <c r="CF126" s="5">
        <f t="shared" si="241"/>
        <v>77.768290342382613</v>
      </c>
      <c r="CG126">
        <f t="shared" si="242"/>
        <v>16</v>
      </c>
      <c r="CI126" s="571">
        <f t="shared" si="243"/>
        <v>-50</v>
      </c>
      <c r="CJ126">
        <f t="shared" si="244"/>
        <v>-50</v>
      </c>
    </row>
    <row r="127" spans="5:88" x14ac:dyDescent="0.2">
      <c r="E127" s="174">
        <v>17</v>
      </c>
      <c r="F127" s="221">
        <f t="shared" si="245"/>
        <v>7.1400000000000005E-2</v>
      </c>
      <c r="G127" s="221">
        <f t="shared" si="183"/>
        <v>0.12325</v>
      </c>
      <c r="H127" s="221">
        <f t="shared" si="184"/>
        <v>1.1067</v>
      </c>
      <c r="I127" s="221">
        <f t="shared" si="185"/>
        <v>0.98599999999999999</v>
      </c>
      <c r="J127" s="551">
        <f t="shared" si="186"/>
        <v>9</v>
      </c>
      <c r="K127" s="451">
        <f t="shared" si="187"/>
        <v>16.399999999999999</v>
      </c>
      <c r="L127" s="451">
        <f t="shared" si="188"/>
        <v>25.4</v>
      </c>
      <c r="M127" s="451"/>
      <c r="N127" s="221">
        <f t="shared" si="189"/>
        <v>0.64566929133858264</v>
      </c>
      <c r="O127" s="176">
        <f t="shared" si="190"/>
        <v>5.6698549287756563</v>
      </c>
      <c r="P127" s="176">
        <f t="shared" si="191"/>
        <v>9.552037446932033</v>
      </c>
      <c r="Q127" s="221">
        <f t="shared" si="192"/>
        <v>0.36579709217907458</v>
      </c>
      <c r="R127" s="221">
        <f t="shared" si="193"/>
        <v>0.70873186609695704</v>
      </c>
      <c r="S127" s="221">
        <f t="shared" si="194"/>
        <v>15.5</v>
      </c>
      <c r="T127" s="221">
        <f t="shared" si="195"/>
        <v>0.80027973501957239</v>
      </c>
      <c r="U127" s="221">
        <f t="shared" si="196"/>
        <v>0.8002797350195725</v>
      </c>
      <c r="V127" s="221">
        <f t="shared" si="197"/>
        <v>0.43917790336439949</v>
      </c>
      <c r="W127" s="201">
        <f t="shared" si="198"/>
        <v>350</v>
      </c>
      <c r="X127" s="451">
        <f t="shared" si="199"/>
        <v>350</v>
      </c>
      <c r="Z127" s="221">
        <f t="shared" si="200"/>
        <v>1.8447694038245221</v>
      </c>
      <c r="AA127" s="177">
        <f t="shared" si="201"/>
        <v>1.0123734533183355</v>
      </c>
      <c r="AB127" s="177">
        <f t="shared" si="202"/>
        <v>0.17283982577713339</v>
      </c>
      <c r="AC127" s="177"/>
      <c r="AD127" s="177">
        <f t="shared" si="203"/>
        <v>0.45</v>
      </c>
      <c r="AE127" s="555">
        <f t="shared" si="204"/>
        <v>386.99186991869925</v>
      </c>
      <c r="AF127" s="538">
        <f t="shared" si="205"/>
        <v>6.4574999999999994E-2</v>
      </c>
      <c r="AH127" s="177">
        <f t="shared" si="206"/>
        <v>1.1526918116731864</v>
      </c>
      <c r="AI127" s="177">
        <f t="shared" si="207"/>
        <v>1.1526918116731864</v>
      </c>
      <c r="AJ127" s="177">
        <f t="shared" si="208"/>
        <v>1.4464383790171751</v>
      </c>
      <c r="AL127" s="555">
        <f t="shared" si="209"/>
        <v>71.400000000000006</v>
      </c>
      <c r="AM127" s="469">
        <f t="shared" si="210"/>
        <v>350</v>
      </c>
      <c r="AO127" s="469">
        <f t="shared" si="211"/>
        <v>71.400000000000006</v>
      </c>
      <c r="AP127" s="469">
        <f t="shared" si="212"/>
        <v>350</v>
      </c>
      <c r="AR127" s="5">
        <f t="shared" si="160"/>
        <v>2.8571428571428572</v>
      </c>
      <c r="AS127" s="5">
        <f t="shared" si="246"/>
        <v>1.1526918116731864</v>
      </c>
      <c r="AT127" s="5">
        <f t="shared" si="247"/>
        <v>1.7044510454696709</v>
      </c>
      <c r="AU127" s="177">
        <f t="shared" si="248"/>
        <v>0.40344213408561519</v>
      </c>
      <c r="AW127" s="5">
        <f t="shared" si="216"/>
        <v>0.53098190550622915</v>
      </c>
      <c r="AX127" s="5"/>
      <c r="AY127" s="5">
        <f t="shared" si="217"/>
        <v>1.7758658223590029</v>
      </c>
      <c r="AZ127" s="5"/>
      <c r="BA127" s="5">
        <f t="shared" si="218"/>
        <v>0.38813085844059353</v>
      </c>
      <c r="BB127" s="5"/>
      <c r="BC127" s="5"/>
      <c r="BD127" s="177">
        <f t="shared" si="219"/>
        <v>0.42271066668002633</v>
      </c>
      <c r="BE127" s="177">
        <f t="shared" si="220"/>
        <v>0.51401864088221405</v>
      </c>
      <c r="BF127" s="177">
        <f t="shared" si="221"/>
        <v>0.84387809801198133</v>
      </c>
      <c r="BG127" s="177"/>
      <c r="BH127" s="538">
        <f t="shared" si="222"/>
        <v>1.9655273849757956E-2</v>
      </c>
      <c r="BI127" s="538">
        <f t="shared" si="223"/>
        <v>5.1237151028873128E-2</v>
      </c>
      <c r="BJ127" s="538">
        <f t="shared" si="224"/>
        <v>1.7499999999999998E-2</v>
      </c>
      <c r="BK127" s="538">
        <f t="shared" si="225"/>
        <v>5.0806349999999993E-2</v>
      </c>
      <c r="BL127">
        <f t="shared" si="226"/>
        <v>2.6099999999999999E-3</v>
      </c>
      <c r="BM127">
        <f t="shared" si="227"/>
        <v>1.4E-5</v>
      </c>
      <c r="BN127">
        <f t="shared" si="228"/>
        <v>0.14233895257517012</v>
      </c>
      <c r="BO127" s="469">
        <f t="shared" si="229"/>
        <v>141.80877487863108</v>
      </c>
      <c r="BP127" s="177">
        <f t="shared" si="230"/>
        <v>6.4260000000000012E-2</v>
      </c>
      <c r="BQ127" s="177">
        <f t="shared" si="231"/>
        <v>0.110925</v>
      </c>
      <c r="BR127" s="538"/>
      <c r="BT127" s="469">
        <f t="shared" si="232"/>
        <v>175.185</v>
      </c>
      <c r="BU127" s="538">
        <f t="shared" si="233"/>
        <v>8.5768467708034722E-3</v>
      </c>
      <c r="BV127" s="538">
        <f t="shared" si="234"/>
        <v>6.3411639161855646E-2</v>
      </c>
      <c r="BW127" s="538">
        <f t="shared" si="235"/>
        <v>0.17091125863303658</v>
      </c>
      <c r="BX127" s="538">
        <f t="shared" si="236"/>
        <v>0</v>
      </c>
      <c r="BY127" s="538">
        <f t="shared" si="180"/>
        <v>0.24771330443552883</v>
      </c>
      <c r="BZ127" s="538">
        <f t="shared" si="166"/>
        <v>0.24289974456569569</v>
      </c>
      <c r="CA127" s="641">
        <f t="shared" si="237"/>
        <v>2.3252222222222219E-2</v>
      </c>
      <c r="CB127" s="469">
        <f t="shared" si="238"/>
        <v>756.76501578914235</v>
      </c>
      <c r="CC127" s="177">
        <f t="shared" si="168"/>
        <v>0.58848947923292116</v>
      </c>
      <c r="CD127" s="5">
        <f t="shared" si="239"/>
        <v>2.0926999999999998</v>
      </c>
      <c r="CE127" s="177">
        <f t="shared" si="240"/>
        <v>0.78051179008755256</v>
      </c>
      <c r="CF127" s="5">
        <f t="shared" si="241"/>
        <v>78.051179008755255</v>
      </c>
      <c r="CG127">
        <f t="shared" si="242"/>
        <v>17</v>
      </c>
      <c r="CI127" s="571">
        <f t="shared" si="243"/>
        <v>-50</v>
      </c>
      <c r="CJ127">
        <f t="shared" si="244"/>
        <v>-50</v>
      </c>
    </row>
    <row r="128" spans="5:88" x14ac:dyDescent="0.2">
      <c r="E128" s="174">
        <v>18</v>
      </c>
      <c r="F128" s="221">
        <f t="shared" si="245"/>
        <v>7.5600000000000001E-2</v>
      </c>
      <c r="G128" s="221">
        <f t="shared" si="183"/>
        <v>0.1305</v>
      </c>
      <c r="H128" s="221">
        <f t="shared" si="184"/>
        <v>1.1718</v>
      </c>
      <c r="I128" s="221">
        <f t="shared" si="185"/>
        <v>1.044</v>
      </c>
      <c r="J128" s="551">
        <f t="shared" si="186"/>
        <v>9</v>
      </c>
      <c r="K128" s="451">
        <f t="shared" si="187"/>
        <v>16.399999999999999</v>
      </c>
      <c r="L128" s="451">
        <f t="shared" si="188"/>
        <v>25.4</v>
      </c>
      <c r="M128" s="451"/>
      <c r="N128" s="221">
        <f t="shared" si="189"/>
        <v>0.64566929133858264</v>
      </c>
      <c r="O128" s="176">
        <f t="shared" si="190"/>
        <v>5.6698549287756563</v>
      </c>
      <c r="P128" s="176">
        <f t="shared" si="191"/>
        <v>9.552037446932033</v>
      </c>
      <c r="Q128" s="221">
        <f t="shared" si="192"/>
        <v>0.36579709217907458</v>
      </c>
      <c r="R128" s="221">
        <f t="shared" si="193"/>
        <v>0.70873186609695704</v>
      </c>
      <c r="S128" s="221">
        <f t="shared" si="194"/>
        <v>15.5</v>
      </c>
      <c r="T128" s="221">
        <f t="shared" si="195"/>
        <v>0.84735501355013554</v>
      </c>
      <c r="U128" s="221">
        <f t="shared" si="196"/>
        <v>0.84735501355013554</v>
      </c>
      <c r="V128" s="221">
        <f t="shared" si="197"/>
        <v>0.46501189767995249</v>
      </c>
      <c r="W128" s="201">
        <f t="shared" si="198"/>
        <v>350</v>
      </c>
      <c r="X128" s="451">
        <f t="shared" si="199"/>
        <v>350</v>
      </c>
      <c r="Z128" s="221">
        <f t="shared" si="200"/>
        <v>1.8447694038245221</v>
      </c>
      <c r="AA128" s="177">
        <f t="shared" si="201"/>
        <v>1.0123734533183355</v>
      </c>
      <c r="AB128" s="177">
        <f t="shared" si="202"/>
        <v>0.17283982577713339</v>
      </c>
      <c r="AC128" s="177"/>
      <c r="AD128" s="177">
        <f t="shared" si="203"/>
        <v>0.45</v>
      </c>
      <c r="AE128" s="555">
        <f t="shared" si="204"/>
        <v>409.75609756097572</v>
      </c>
      <c r="AF128" s="538">
        <f t="shared" si="205"/>
        <v>6.4574999999999994E-2</v>
      </c>
      <c r="AH128" s="177">
        <f t="shared" si="206"/>
        <v>1.1861100888438403</v>
      </c>
      <c r="AI128" s="177">
        <f t="shared" si="207"/>
        <v>1.1861100888438403</v>
      </c>
      <c r="AJ128" s="177">
        <f t="shared" si="208"/>
        <v>1.4711926584028445</v>
      </c>
      <c r="AL128" s="555">
        <f t="shared" si="209"/>
        <v>75.599999999999994</v>
      </c>
      <c r="AM128" s="469">
        <f t="shared" si="210"/>
        <v>350</v>
      </c>
      <c r="AO128" s="469">
        <f t="shared" si="211"/>
        <v>75.599999999999994</v>
      </c>
      <c r="AP128" s="469">
        <f t="shared" si="212"/>
        <v>350</v>
      </c>
      <c r="AR128" s="5">
        <f t="shared" si="160"/>
        <v>2.8571428571428572</v>
      </c>
      <c r="AS128" s="5">
        <f t="shared" si="246"/>
        <v>1.1861100888438405</v>
      </c>
      <c r="AT128" s="5">
        <f t="shared" si="247"/>
        <v>1.6710327682990167</v>
      </c>
      <c r="AU128" s="177">
        <f t="shared" si="248"/>
        <v>0.41513853109534415</v>
      </c>
      <c r="AW128" s="5">
        <f t="shared" si="216"/>
        <v>0.57851563042964094</v>
      </c>
      <c r="AX128" s="5"/>
      <c r="AY128" s="5">
        <f t="shared" si="217"/>
        <v>1.9348420824265149</v>
      </c>
      <c r="AZ128" s="5"/>
      <c r="BA128" s="5">
        <f t="shared" si="218"/>
        <v>0.40290456746765163</v>
      </c>
      <c r="BB128" s="5"/>
      <c r="BC128" s="5"/>
      <c r="BD128" s="177">
        <f t="shared" si="219"/>
        <v>0.4412257954633157</v>
      </c>
      <c r="BE128" s="177">
        <f t="shared" si="220"/>
        <v>0.52371001362409064</v>
      </c>
      <c r="BF128" s="177">
        <f t="shared" si="221"/>
        <v>0.85978868285478682</v>
      </c>
      <c r="BG128" s="177"/>
      <c r="BH128" s="538">
        <f t="shared" si="222"/>
        <v>2.1414822284045926E-2</v>
      </c>
      <c r="BI128" s="538">
        <f t="shared" si="223"/>
        <v>5.2722593449108707E-2</v>
      </c>
      <c r="BJ128" s="538">
        <f t="shared" si="224"/>
        <v>1.7499999999999998E-2</v>
      </c>
      <c r="BK128" s="538">
        <f t="shared" si="225"/>
        <v>5.0806349999999993E-2</v>
      </c>
      <c r="BL128">
        <f t="shared" si="226"/>
        <v>2.6099999999999999E-3</v>
      </c>
      <c r="BM128">
        <f t="shared" si="227"/>
        <v>1.4E-5</v>
      </c>
      <c r="BN128">
        <f t="shared" si="228"/>
        <v>0.14564320709988682</v>
      </c>
      <c r="BO128" s="469">
        <f t="shared" si="229"/>
        <v>145.05376573315462</v>
      </c>
      <c r="BP128" s="177">
        <f t="shared" si="230"/>
        <v>6.8040000000000003E-2</v>
      </c>
      <c r="BQ128" s="177">
        <f t="shared" si="231"/>
        <v>0.11745000000000001</v>
      </c>
      <c r="BR128" s="538"/>
      <c r="BT128" s="469">
        <f t="shared" si="232"/>
        <v>185.49</v>
      </c>
      <c r="BU128" s="538">
        <f t="shared" si="233"/>
        <v>9.3446497239473136E-3</v>
      </c>
      <c r="BV128" s="538">
        <f t="shared" si="234"/>
        <v>6.5825322808834852E-2</v>
      </c>
      <c r="BW128" s="538">
        <f t="shared" si="235"/>
        <v>0.17741677899964059</v>
      </c>
      <c r="BX128" s="538">
        <f t="shared" si="236"/>
        <v>0</v>
      </c>
      <c r="BY128" s="538">
        <f t="shared" si="180"/>
        <v>0.25779602027802379</v>
      </c>
      <c r="BZ128" s="538">
        <f t="shared" si="166"/>
        <v>0.25258675153242277</v>
      </c>
      <c r="CA128" s="641">
        <f t="shared" si="237"/>
        <v>2.4619999999999996E-2</v>
      </c>
      <c r="CB128" s="469">
        <f t="shared" si="238"/>
        <v>787.58952334286926</v>
      </c>
      <c r="CC128" s="177">
        <f t="shared" si="168"/>
        <v>0.61354922737791051</v>
      </c>
      <c r="CD128" s="5">
        <f t="shared" si="239"/>
        <v>2.2157999999999998</v>
      </c>
      <c r="CE128" s="177">
        <f t="shared" si="240"/>
        <v>0.78314828673641135</v>
      </c>
      <c r="CF128" s="5">
        <f t="shared" si="241"/>
        <v>78.314828673641131</v>
      </c>
      <c r="CG128">
        <f t="shared" si="242"/>
        <v>18.000000000000004</v>
      </c>
      <c r="CI128" s="571">
        <f t="shared" si="243"/>
        <v>-50</v>
      </c>
      <c r="CJ128">
        <f t="shared" si="244"/>
        <v>-50</v>
      </c>
    </row>
    <row r="129" spans="5:88" x14ac:dyDescent="0.2">
      <c r="E129" s="174">
        <v>19</v>
      </c>
      <c r="F129" s="221">
        <f t="shared" si="245"/>
        <v>7.9799999999999996E-2</v>
      </c>
      <c r="G129" s="221">
        <f t="shared" si="183"/>
        <v>0.13774999999999998</v>
      </c>
      <c r="H129" s="221">
        <f t="shared" si="184"/>
        <v>1.2368999999999999</v>
      </c>
      <c r="I129" s="221">
        <f t="shared" si="185"/>
        <v>1.1019999999999999</v>
      </c>
      <c r="J129" s="551">
        <f t="shared" si="186"/>
        <v>9</v>
      </c>
      <c r="K129" s="451">
        <f t="shared" si="187"/>
        <v>16.399999999999999</v>
      </c>
      <c r="L129" s="451">
        <f t="shared" si="188"/>
        <v>25.4</v>
      </c>
      <c r="M129" s="451"/>
      <c r="N129" s="221">
        <f t="shared" si="189"/>
        <v>0.64566929133858264</v>
      </c>
      <c r="O129" s="176">
        <f t="shared" si="190"/>
        <v>5.6698549287756563</v>
      </c>
      <c r="P129" s="176">
        <f t="shared" si="191"/>
        <v>9.552037446932033</v>
      </c>
      <c r="Q129" s="221">
        <f t="shared" si="192"/>
        <v>0.36579709217907458</v>
      </c>
      <c r="R129" s="221">
        <f t="shared" si="193"/>
        <v>0.70873186609695704</v>
      </c>
      <c r="S129" s="221">
        <f t="shared" si="194"/>
        <v>15.5</v>
      </c>
      <c r="T129" s="221">
        <f t="shared" si="195"/>
        <v>0.89443029208069857</v>
      </c>
      <c r="U129" s="221">
        <f t="shared" si="196"/>
        <v>0.89443029208069857</v>
      </c>
      <c r="V129" s="221">
        <f t="shared" si="197"/>
        <v>0.49084589199550538</v>
      </c>
      <c r="W129" s="201">
        <f t="shared" si="198"/>
        <v>350</v>
      </c>
      <c r="X129" s="451">
        <f t="shared" si="199"/>
        <v>350</v>
      </c>
      <c r="Z129" s="221">
        <f t="shared" si="200"/>
        <v>1.8447694038245221</v>
      </c>
      <c r="AA129" s="177">
        <f t="shared" si="201"/>
        <v>1.0123734533183355</v>
      </c>
      <c r="AB129" s="177">
        <f t="shared" si="202"/>
        <v>0.17283982577713339</v>
      </c>
      <c r="AC129" s="177"/>
      <c r="AD129" s="177">
        <f t="shared" si="203"/>
        <v>0.45</v>
      </c>
      <c r="AE129" s="555">
        <f t="shared" si="204"/>
        <v>432.52032520325201</v>
      </c>
      <c r="AF129" s="538">
        <f t="shared" si="205"/>
        <v>6.4574999999999994E-2</v>
      </c>
      <c r="AH129" s="177">
        <f t="shared" si="206"/>
        <v>1.2186122734552909</v>
      </c>
      <c r="AI129" s="177">
        <f t="shared" si="207"/>
        <v>1.2186122734552909</v>
      </c>
      <c r="AJ129" s="177">
        <f t="shared" si="208"/>
        <v>1.4952683507076228</v>
      </c>
      <c r="AL129" s="555">
        <f t="shared" si="209"/>
        <v>79.8</v>
      </c>
      <c r="AM129" s="469">
        <f t="shared" si="210"/>
        <v>350</v>
      </c>
      <c r="AO129" s="469">
        <f t="shared" si="211"/>
        <v>79.8</v>
      </c>
      <c r="AP129" s="469">
        <f t="shared" si="212"/>
        <v>350</v>
      </c>
      <c r="AR129" s="5">
        <f t="shared" si="160"/>
        <v>2.8571428571428572</v>
      </c>
      <c r="AS129" s="5">
        <f t="shared" si="246"/>
        <v>1.2186122734552909</v>
      </c>
      <c r="AT129" s="5">
        <f t="shared" si="247"/>
        <v>1.6385305836875663</v>
      </c>
      <c r="AU129" s="177">
        <f t="shared" si="248"/>
        <v>0.42651429570935179</v>
      </c>
      <c r="AW129" s="5">
        <f t="shared" si="216"/>
        <v>0.6273887704627884</v>
      </c>
      <c r="AX129" s="5"/>
      <c r="AY129" s="5">
        <f t="shared" si="217"/>
        <v>2.0982980083558287</v>
      </c>
      <c r="AZ129" s="5"/>
      <c r="BA129" s="5">
        <f t="shared" si="218"/>
        <v>0.41701614793480457</v>
      </c>
      <c r="BB129" s="5"/>
      <c r="BC129" s="5"/>
      <c r="BD129" s="177">
        <f t="shared" si="219"/>
        <v>0.45948540027461632</v>
      </c>
      <c r="BE129" s="177">
        <f t="shared" si="220"/>
        <v>0.53280245676964233</v>
      </c>
      <c r="BF129" s="177">
        <f t="shared" si="221"/>
        <v>0.87471598902170156</v>
      </c>
      <c r="BG129" s="177"/>
      <c r="BH129" s="538">
        <f t="shared" si="222"/>
        <v>2.3223951637207682E-2</v>
      </c>
      <c r="BI129" s="538">
        <f t="shared" si="223"/>
        <v>5.4167315555087685E-2</v>
      </c>
      <c r="BJ129" s="538">
        <f t="shared" si="224"/>
        <v>1.7499999999999998E-2</v>
      </c>
      <c r="BK129" s="538">
        <f t="shared" si="225"/>
        <v>5.0806349999999993E-2</v>
      </c>
      <c r="BL129">
        <f t="shared" si="226"/>
        <v>2.6099999999999999E-3</v>
      </c>
      <c r="BM129">
        <f t="shared" si="227"/>
        <v>1.4E-5</v>
      </c>
      <c r="BN129">
        <f t="shared" si="228"/>
        <v>0.14895988334215718</v>
      </c>
      <c r="BO129" s="469">
        <f t="shared" si="229"/>
        <v>148.30761719229534</v>
      </c>
      <c r="BP129" s="177">
        <f t="shared" si="230"/>
        <v>7.1819999999999995E-2</v>
      </c>
      <c r="BQ129" s="177">
        <f t="shared" si="231"/>
        <v>0.12397499999999999</v>
      </c>
      <c r="BR129" s="538"/>
      <c r="BT129" s="469">
        <f t="shared" si="232"/>
        <v>195.79499999999999</v>
      </c>
      <c r="BU129" s="538">
        <f t="shared" si="233"/>
        <v>1.0134087987145171E-2</v>
      </c>
      <c r="BV129" s="538">
        <f t="shared" si="234"/>
        <v>6.8130829905543977E-2</v>
      </c>
      <c r="BW129" s="538">
        <f t="shared" si="235"/>
        <v>0.18363073474805122</v>
      </c>
      <c r="BX129" s="538">
        <f t="shared" si="236"/>
        <v>0</v>
      </c>
      <c r="BY129" s="538">
        <f t="shared" si="180"/>
        <v>0.26750022430685139</v>
      </c>
      <c r="BZ129" s="538">
        <f t="shared" si="166"/>
        <v>0.26189565264074038</v>
      </c>
      <c r="CA129" s="641">
        <f t="shared" si="237"/>
        <v>2.5987777777777769E-2</v>
      </c>
      <c r="CB129" s="469">
        <f t="shared" si="238"/>
        <v>817.27930736610972</v>
      </c>
      <c r="CC129" s="177">
        <f t="shared" si="168"/>
        <v>0.63824288542678631</v>
      </c>
      <c r="CD129" s="5">
        <f t="shared" si="239"/>
        <v>2.3388999999999998</v>
      </c>
      <c r="CE129" s="177">
        <f t="shared" si="240"/>
        <v>0.78561899445572247</v>
      </c>
      <c r="CF129" s="5">
        <f t="shared" si="241"/>
        <v>78.561899445572251</v>
      </c>
      <c r="CG129">
        <f t="shared" si="242"/>
        <v>19</v>
      </c>
      <c r="CI129" s="571">
        <f t="shared" si="243"/>
        <v>-50</v>
      </c>
      <c r="CJ129">
        <f t="shared" si="244"/>
        <v>-50</v>
      </c>
    </row>
    <row r="130" spans="5:88" x14ac:dyDescent="0.2">
      <c r="E130" s="174">
        <v>20</v>
      </c>
      <c r="F130" s="221">
        <f t="shared" si="245"/>
        <v>8.4000000000000005E-2</v>
      </c>
      <c r="G130" s="221">
        <f t="shared" si="183"/>
        <v>0.14499999999999999</v>
      </c>
      <c r="H130" s="221">
        <f t="shared" si="184"/>
        <v>1.302</v>
      </c>
      <c r="I130" s="221">
        <f t="shared" si="185"/>
        <v>1.1599999999999999</v>
      </c>
      <c r="J130" s="551">
        <f t="shared" si="186"/>
        <v>9</v>
      </c>
      <c r="K130" s="451">
        <f t="shared" si="187"/>
        <v>16.399999999999999</v>
      </c>
      <c r="L130" s="451">
        <f t="shared" si="188"/>
        <v>25.4</v>
      </c>
      <c r="M130" s="451"/>
      <c r="N130" s="221">
        <f t="shared" si="189"/>
        <v>0.64566929133858264</v>
      </c>
      <c r="O130" s="176">
        <f t="shared" si="190"/>
        <v>5.6698549287756563</v>
      </c>
      <c r="P130" s="176">
        <f t="shared" si="191"/>
        <v>9.552037446932033</v>
      </c>
      <c r="Q130" s="221">
        <f t="shared" si="192"/>
        <v>0.36579709217907458</v>
      </c>
      <c r="R130" s="221">
        <f t="shared" si="193"/>
        <v>0.70873186609695704</v>
      </c>
      <c r="S130" s="221">
        <f t="shared" si="194"/>
        <v>15.5</v>
      </c>
      <c r="T130" s="221">
        <f t="shared" si="195"/>
        <v>0.94150557061126172</v>
      </c>
      <c r="U130" s="221">
        <f t="shared" si="196"/>
        <v>0.94150557061126172</v>
      </c>
      <c r="V130" s="221">
        <f t="shared" si="197"/>
        <v>0.51667988631105832</v>
      </c>
      <c r="W130" s="201">
        <f t="shared" si="198"/>
        <v>350</v>
      </c>
      <c r="X130" s="451">
        <f t="shared" si="199"/>
        <v>350</v>
      </c>
      <c r="Z130" s="221">
        <f t="shared" si="200"/>
        <v>1.8447694038245221</v>
      </c>
      <c r="AA130" s="177">
        <f t="shared" si="201"/>
        <v>1.0123734533183355</v>
      </c>
      <c r="AB130" s="177">
        <f t="shared" si="202"/>
        <v>0.17283982577713339</v>
      </c>
      <c r="AC130" s="177"/>
      <c r="AD130" s="177">
        <f t="shared" si="203"/>
        <v>0.45</v>
      </c>
      <c r="AE130" s="555">
        <f t="shared" si="204"/>
        <v>455.28455284552854</v>
      </c>
      <c r="AF130" s="538">
        <f t="shared" si="205"/>
        <v>6.4574999999999994E-2</v>
      </c>
      <c r="AH130" s="177">
        <f t="shared" si="206"/>
        <v>1.2502698121504026</v>
      </c>
      <c r="AI130" s="177">
        <f t="shared" si="207"/>
        <v>1.2502698121504026</v>
      </c>
      <c r="AJ130" s="177">
        <f t="shared" si="208"/>
        <v>1.5187183793706684</v>
      </c>
      <c r="AL130" s="555">
        <f t="shared" si="209"/>
        <v>84</v>
      </c>
      <c r="AM130" s="469">
        <f t="shared" si="210"/>
        <v>350</v>
      </c>
      <c r="AO130" s="469">
        <f t="shared" si="211"/>
        <v>84</v>
      </c>
      <c r="AP130" s="469">
        <f t="shared" si="212"/>
        <v>350</v>
      </c>
      <c r="AR130" s="5">
        <f t="shared" si="160"/>
        <v>2.8571428571428572</v>
      </c>
      <c r="AS130" s="5">
        <f t="shared" si="246"/>
        <v>1.2502698121504023</v>
      </c>
      <c r="AT130" s="5">
        <f t="shared" si="247"/>
        <v>1.6068730449924549</v>
      </c>
      <c r="AU130" s="177">
        <f t="shared" si="248"/>
        <v>0.43759443425264083</v>
      </c>
      <c r="AW130" s="5">
        <f t="shared" si="216"/>
        <v>0.67756557561699227</v>
      </c>
      <c r="AX130" s="5"/>
      <c r="AY130" s="5">
        <f t="shared" si="217"/>
        <v>2.2661140345226038</v>
      </c>
      <c r="AZ130" s="5"/>
      <c r="BA130" s="5">
        <f t="shared" si="218"/>
        <v>0.4304832725473613</v>
      </c>
      <c r="BB130" s="5"/>
      <c r="BC130" s="5"/>
      <c r="BD130" s="177">
        <f t="shared" si="219"/>
        <v>0.47750619755639012</v>
      </c>
      <c r="BE130" s="177">
        <f t="shared" si="220"/>
        <v>0.54133726303796859</v>
      </c>
      <c r="BF130" s="177">
        <f t="shared" si="221"/>
        <v>0.8887278078698555</v>
      </c>
      <c r="BG130" s="177"/>
      <c r="BH130" s="538">
        <f t="shared" si="222"/>
        <v>2.5081338557523848E-2</v>
      </c>
      <c r="BI130" s="538">
        <f t="shared" si="223"/>
        <v>5.5574493150085391E-2</v>
      </c>
      <c r="BJ130" s="538">
        <f t="shared" si="224"/>
        <v>1.7499999999999998E-2</v>
      </c>
      <c r="BK130" s="538">
        <f t="shared" si="225"/>
        <v>5.0806349999999993E-2</v>
      </c>
      <c r="BL130">
        <f t="shared" si="226"/>
        <v>2.6099999999999999E-3</v>
      </c>
      <c r="BM130">
        <f t="shared" si="227"/>
        <v>1.4E-5</v>
      </c>
      <c r="BN130">
        <f t="shared" si="228"/>
        <v>0.15229090894930516</v>
      </c>
      <c r="BO130" s="469">
        <f t="shared" si="229"/>
        <v>151.57218170760922</v>
      </c>
      <c r="BP130" s="177">
        <f t="shared" si="230"/>
        <v>7.5600000000000001E-2</v>
      </c>
      <c r="BQ130" s="177">
        <f t="shared" si="231"/>
        <v>0.1305</v>
      </c>
      <c r="BR130" s="538"/>
      <c r="BT130" s="469">
        <f t="shared" si="232"/>
        <v>206.1</v>
      </c>
      <c r="BU130" s="538">
        <f t="shared" si="233"/>
        <v>1.0944584097828589E-2</v>
      </c>
      <c r="BV130" s="538">
        <f t="shared" si="234"/>
        <v>7.0331047764825308E-2</v>
      </c>
      <c r="BW130" s="538">
        <f t="shared" si="235"/>
        <v>0.18956090795547811</v>
      </c>
      <c r="BX130" s="538">
        <f t="shared" si="236"/>
        <v>0</v>
      </c>
      <c r="BY130" s="538">
        <f t="shared" si="180"/>
        <v>0.27683469590947007</v>
      </c>
      <c r="BZ130" s="538">
        <f t="shared" si="166"/>
        <v>0.27083653981813199</v>
      </c>
      <c r="CA130" s="641">
        <f t="shared" si="237"/>
        <v>2.7355555555555553E-2</v>
      </c>
      <c r="CB130" s="469">
        <f t="shared" si="238"/>
        <v>845.86333110128976</v>
      </c>
      <c r="CC130" s="177">
        <f t="shared" si="168"/>
        <v>0.66258116041433079</v>
      </c>
      <c r="CD130" s="5">
        <f t="shared" si="239"/>
        <v>2.4619999999999997</v>
      </c>
      <c r="CE130" s="177">
        <f t="shared" si="240"/>
        <v>0.78794560729974117</v>
      </c>
      <c r="CF130" s="5">
        <f t="shared" si="241"/>
        <v>78.794560729974123</v>
      </c>
      <c r="CG130">
        <f t="shared" si="242"/>
        <v>20</v>
      </c>
      <c r="CI130" s="571">
        <f t="shared" si="243"/>
        <v>-50</v>
      </c>
      <c r="CJ130">
        <f t="shared" si="244"/>
        <v>-50</v>
      </c>
    </row>
    <row r="131" spans="5:88" x14ac:dyDescent="0.2">
      <c r="E131" s="174">
        <v>21</v>
      </c>
      <c r="F131" s="221">
        <f t="shared" si="245"/>
        <v>8.8199999999999987E-2</v>
      </c>
      <c r="G131" s="221">
        <f t="shared" si="183"/>
        <v>0.15225</v>
      </c>
      <c r="H131" s="221">
        <f t="shared" si="184"/>
        <v>1.3670999999999998</v>
      </c>
      <c r="I131" s="221">
        <f t="shared" si="185"/>
        <v>1.218</v>
      </c>
      <c r="J131" s="551">
        <f t="shared" si="186"/>
        <v>9</v>
      </c>
      <c r="K131" s="451">
        <f t="shared" si="187"/>
        <v>16.399999999999999</v>
      </c>
      <c r="L131" s="451">
        <f t="shared" si="188"/>
        <v>25.4</v>
      </c>
      <c r="M131" s="451"/>
      <c r="N131" s="221">
        <f t="shared" si="189"/>
        <v>0.64566929133858264</v>
      </c>
      <c r="O131" s="176">
        <f t="shared" si="190"/>
        <v>5.6698549287756563</v>
      </c>
      <c r="P131" s="176">
        <f t="shared" si="191"/>
        <v>9.552037446932033</v>
      </c>
      <c r="Q131" s="221">
        <f t="shared" si="192"/>
        <v>0.36579709217907458</v>
      </c>
      <c r="R131" s="221">
        <f t="shared" si="193"/>
        <v>0.70873186609695704</v>
      </c>
      <c r="S131" s="221">
        <f t="shared" si="194"/>
        <v>15.5</v>
      </c>
      <c r="T131" s="221">
        <f t="shared" si="195"/>
        <v>0.98858084914182476</v>
      </c>
      <c r="U131" s="221">
        <f t="shared" si="196"/>
        <v>0.98858084914182465</v>
      </c>
      <c r="V131" s="221">
        <f t="shared" si="197"/>
        <v>0.54251388062661121</v>
      </c>
      <c r="W131" s="201">
        <f t="shared" si="198"/>
        <v>350</v>
      </c>
      <c r="X131" s="451">
        <f t="shared" si="199"/>
        <v>350</v>
      </c>
      <c r="Z131" s="221">
        <f t="shared" si="200"/>
        <v>1.8447694038245221</v>
      </c>
      <c r="AA131" s="177">
        <f t="shared" si="201"/>
        <v>1.0123734533183355</v>
      </c>
      <c r="AB131" s="177">
        <f t="shared" si="202"/>
        <v>0.17283982577713339</v>
      </c>
      <c r="AC131" s="177"/>
      <c r="AD131" s="177">
        <f t="shared" si="203"/>
        <v>0.45</v>
      </c>
      <c r="AE131" s="555">
        <f t="shared" si="204"/>
        <v>478.04878048780483</v>
      </c>
      <c r="AF131" s="538">
        <f t="shared" si="205"/>
        <v>6.4574999999999994E-2</v>
      </c>
      <c r="AH131" s="177">
        <f t="shared" si="206"/>
        <v>1.2811453209270731</v>
      </c>
      <c r="AI131" s="177">
        <f t="shared" si="207"/>
        <v>1.2811453209270731</v>
      </c>
      <c r="AJ131" s="177">
        <f t="shared" si="208"/>
        <v>1.5415891266126467</v>
      </c>
      <c r="AL131" s="555">
        <f t="shared" si="209"/>
        <v>88.199999999999989</v>
      </c>
      <c r="AM131" s="469">
        <f t="shared" si="210"/>
        <v>350</v>
      </c>
      <c r="AO131" s="469">
        <f t="shared" si="211"/>
        <v>88.199999999999989</v>
      </c>
      <c r="AP131" s="469">
        <f t="shared" si="212"/>
        <v>350</v>
      </c>
      <c r="AR131" s="5">
        <f t="shared" si="160"/>
        <v>2.8571428571428572</v>
      </c>
      <c r="AS131" s="5">
        <f t="shared" si="246"/>
        <v>1.2811453209270731</v>
      </c>
      <c r="AT131" s="5">
        <f t="shared" si="247"/>
        <v>1.5759975362157841</v>
      </c>
      <c r="AU131" s="177">
        <f t="shared" si="248"/>
        <v>0.44840086232447557</v>
      </c>
      <c r="AW131" s="5">
        <f t="shared" si="216"/>
        <v>0.72901301487592152</v>
      </c>
      <c r="AX131" s="5"/>
      <c r="AY131" s="5">
        <f t="shared" si="217"/>
        <v>2.4381796888893357</v>
      </c>
      <c r="AZ131" s="5"/>
      <c r="BA131" s="5">
        <f t="shared" si="218"/>
        <v>0.44332226990958801</v>
      </c>
      <c r="BB131" s="5"/>
      <c r="BC131" s="5"/>
      <c r="BD131" s="177">
        <f t="shared" si="219"/>
        <v>0.49530303250588337</v>
      </c>
      <c r="BE131" s="177">
        <f t="shared" si="220"/>
        <v>0.54935054118621462</v>
      </c>
      <c r="BF131" s="177">
        <f t="shared" si="221"/>
        <v>0.90188342010791922</v>
      </c>
      <c r="BG131" s="177"/>
      <c r="BH131" s="538">
        <f t="shared" si="222"/>
        <v>2.6985760341047656E-2</v>
      </c>
      <c r="BI131" s="538">
        <f t="shared" si="223"/>
        <v>5.6946909515208401E-2</v>
      </c>
      <c r="BJ131" s="538">
        <f t="shared" si="224"/>
        <v>1.7499999999999998E-2</v>
      </c>
      <c r="BK131" s="538">
        <f t="shared" si="225"/>
        <v>5.0806349999999993E-2</v>
      </c>
      <c r="BL131">
        <f t="shared" si="226"/>
        <v>2.6099999999999999E-3</v>
      </c>
      <c r="BM131">
        <f t="shared" si="227"/>
        <v>1.4E-5</v>
      </c>
      <c r="BN131">
        <f t="shared" si="228"/>
        <v>0.15563792126644027</v>
      </c>
      <c r="BO131" s="469">
        <f t="shared" si="229"/>
        <v>154.84901985625604</v>
      </c>
      <c r="BP131" s="177">
        <f t="shared" si="230"/>
        <v>7.9379999999999992E-2</v>
      </c>
      <c r="BQ131" s="177">
        <f t="shared" si="231"/>
        <v>0.13702500000000001</v>
      </c>
      <c r="BR131" s="538"/>
      <c r="BT131" s="469">
        <f t="shared" si="232"/>
        <v>216.405</v>
      </c>
      <c r="BU131" s="538">
        <f t="shared" si="233"/>
        <v>1.177560451245716E-2</v>
      </c>
      <c r="BV131" s="538">
        <f t="shared" si="234"/>
        <v>7.2428644104380852E-2</v>
      </c>
      <c r="BW131" s="538">
        <f t="shared" si="235"/>
        <v>0.19521448883173378</v>
      </c>
      <c r="BX131" s="538">
        <f t="shared" si="236"/>
        <v>0</v>
      </c>
      <c r="BY131" s="538">
        <f t="shared" si="180"/>
        <v>0.28580753591567953</v>
      </c>
      <c r="BZ131" s="538">
        <f t="shared" si="166"/>
        <v>0.27941873744857182</v>
      </c>
      <c r="CA131" s="641">
        <f t="shared" si="237"/>
        <v>2.872333333333333E-2</v>
      </c>
      <c r="CB131" s="469">
        <f t="shared" si="238"/>
        <v>873.36834414615646</v>
      </c>
      <c r="CC131" s="177">
        <f t="shared" si="168"/>
        <v>0.68657379051545309</v>
      </c>
      <c r="CD131" s="5">
        <f t="shared" si="239"/>
        <v>2.5850999999999997</v>
      </c>
      <c r="CE131" s="177">
        <f t="shared" si="240"/>
        <v>0.79014601256829964</v>
      </c>
      <c r="CF131" s="5">
        <f t="shared" si="241"/>
        <v>79.014601256829962</v>
      </c>
      <c r="CG131">
        <f t="shared" si="242"/>
        <v>20.999999999999996</v>
      </c>
      <c r="CI131" s="571">
        <f t="shared" si="243"/>
        <v>-50</v>
      </c>
      <c r="CJ131">
        <f t="shared" si="244"/>
        <v>-50</v>
      </c>
    </row>
    <row r="132" spans="5:88" x14ac:dyDescent="0.2">
      <c r="E132" s="174">
        <v>22</v>
      </c>
      <c r="F132" s="221">
        <f t="shared" si="245"/>
        <v>9.2399999999999996E-2</v>
      </c>
      <c r="G132" s="221">
        <f t="shared" si="183"/>
        <v>0.1595</v>
      </c>
      <c r="H132" s="221">
        <f t="shared" si="184"/>
        <v>1.4321999999999999</v>
      </c>
      <c r="I132" s="221">
        <f t="shared" si="185"/>
        <v>1.276</v>
      </c>
      <c r="J132" s="551">
        <f t="shared" si="186"/>
        <v>9</v>
      </c>
      <c r="K132" s="451">
        <f t="shared" si="187"/>
        <v>16.399999999999999</v>
      </c>
      <c r="L132" s="451">
        <f t="shared" si="188"/>
        <v>25.4</v>
      </c>
      <c r="M132" s="451"/>
      <c r="N132" s="221">
        <f t="shared" si="189"/>
        <v>0.64566929133858264</v>
      </c>
      <c r="O132" s="176">
        <f t="shared" si="190"/>
        <v>5.6698549287756563</v>
      </c>
      <c r="P132" s="176">
        <f t="shared" si="191"/>
        <v>9.552037446932033</v>
      </c>
      <c r="Q132" s="221">
        <f t="shared" si="192"/>
        <v>0.36579709217907458</v>
      </c>
      <c r="R132" s="221">
        <f t="shared" si="193"/>
        <v>0.70873186609695704</v>
      </c>
      <c r="S132" s="221">
        <f t="shared" si="194"/>
        <v>15.5</v>
      </c>
      <c r="T132" s="221">
        <f t="shared" si="195"/>
        <v>1.0356561276723879</v>
      </c>
      <c r="U132" s="221">
        <f t="shared" si="196"/>
        <v>1.0356561276723879</v>
      </c>
      <c r="V132" s="221">
        <f t="shared" si="197"/>
        <v>0.5683478749421641</v>
      </c>
      <c r="W132" s="201">
        <f t="shared" si="198"/>
        <v>350</v>
      </c>
      <c r="X132" s="451">
        <f t="shared" si="199"/>
        <v>350</v>
      </c>
      <c r="Z132" s="221">
        <f t="shared" si="200"/>
        <v>1.8447694038245221</v>
      </c>
      <c r="AA132" s="177">
        <f t="shared" si="201"/>
        <v>1.0123734533183355</v>
      </c>
      <c r="AB132" s="177">
        <f t="shared" si="202"/>
        <v>0.17283982577713339</v>
      </c>
      <c r="AC132" s="177"/>
      <c r="AD132" s="177">
        <f t="shared" si="203"/>
        <v>0.45</v>
      </c>
      <c r="AE132" s="555">
        <f t="shared" si="204"/>
        <v>500.8130081300813</v>
      </c>
      <c r="AF132" s="538">
        <f t="shared" si="205"/>
        <v>6.4574999999999994E-2</v>
      </c>
      <c r="AH132" s="177">
        <f t="shared" si="206"/>
        <v>1.3112940415833756</v>
      </c>
      <c r="AI132" s="177">
        <f t="shared" si="207"/>
        <v>1.3112940415833756</v>
      </c>
      <c r="AJ132" s="177">
        <f t="shared" si="208"/>
        <v>1.563921512283982</v>
      </c>
      <c r="AL132" s="555">
        <f t="shared" si="209"/>
        <v>92.399999999999991</v>
      </c>
      <c r="AM132" s="469">
        <f t="shared" si="210"/>
        <v>350</v>
      </c>
      <c r="AO132" s="469">
        <f t="shared" si="211"/>
        <v>92.399999999999991</v>
      </c>
      <c r="AP132" s="469">
        <f t="shared" si="212"/>
        <v>350</v>
      </c>
      <c r="AR132" s="5">
        <f t="shared" si="160"/>
        <v>2.8571428571428572</v>
      </c>
      <c r="AS132" s="5">
        <f t="shared" si="246"/>
        <v>1.3112940415833756</v>
      </c>
      <c r="AT132" s="5">
        <f t="shared" si="247"/>
        <v>1.5458488155594816</v>
      </c>
      <c r="AU132" s="177">
        <f t="shared" si="248"/>
        <v>0.45895291455418147</v>
      </c>
      <c r="AW132" s="5">
        <f t="shared" si="216"/>
        <v>0.78170044801486394</v>
      </c>
      <c r="AX132" s="5"/>
      <c r="AY132" s="5">
        <f t="shared" si="217"/>
        <v>2.6143924954068556</v>
      </c>
      <c r="AZ132" s="5"/>
      <c r="BA132" s="5">
        <f t="shared" si="218"/>
        <v>0.45554828675808423</v>
      </c>
      <c r="BB132" s="5"/>
      <c r="BC132" s="5"/>
      <c r="BD132" s="177">
        <f t="shared" si="219"/>
        <v>0.51288916739469359</v>
      </c>
      <c r="BE132" s="177">
        <f t="shared" si="220"/>
        <v>0.55687406397963901</v>
      </c>
      <c r="BF132" s="177">
        <f t="shared" si="221"/>
        <v>0.91423498793115621</v>
      </c>
      <c r="BG132" s="177"/>
      <c r="BH132" s="538">
        <f t="shared" si="222"/>
        <v>2.893608278339042E-2</v>
      </c>
      <c r="BI132" s="538">
        <f t="shared" si="223"/>
        <v>5.8287020148381045E-2</v>
      </c>
      <c r="BJ132" s="538">
        <f t="shared" si="224"/>
        <v>1.7499999999999998E-2</v>
      </c>
      <c r="BK132" s="538">
        <f t="shared" si="225"/>
        <v>5.0806349999999993E-2</v>
      </c>
      <c r="BL132">
        <f t="shared" si="226"/>
        <v>2.6099999999999999E-3</v>
      </c>
      <c r="BM132">
        <f t="shared" si="227"/>
        <v>1.4E-5</v>
      </c>
      <c r="BN132">
        <f t="shared" si="228"/>
        <v>0.15900231977285179</v>
      </c>
      <c r="BO132" s="469">
        <f t="shared" si="229"/>
        <v>158.13945293177144</v>
      </c>
      <c r="BP132" s="177">
        <f t="shared" si="230"/>
        <v>8.3159999999999998E-2</v>
      </c>
      <c r="BQ132" s="177">
        <f t="shared" si="231"/>
        <v>0.14355000000000001</v>
      </c>
      <c r="BR132" s="538"/>
      <c r="BT132" s="469">
        <f t="shared" si="232"/>
        <v>226.71000000000004</v>
      </c>
      <c r="BU132" s="538">
        <f t="shared" si="233"/>
        <v>1.2626654305479457E-2</v>
      </c>
      <c r="BV132" s="538">
        <f t="shared" si="234"/>
        <v>7.4426093551967776E-2</v>
      </c>
      <c r="BW132" s="538">
        <f t="shared" si="235"/>
        <v>0.20059814715779553</v>
      </c>
      <c r="BX132" s="538">
        <f t="shared" si="236"/>
        <v>0</v>
      </c>
      <c r="BY132" s="538">
        <f t="shared" si="180"/>
        <v>0.29442625303127729</v>
      </c>
      <c r="BZ132" s="538">
        <f t="shared" si="166"/>
        <v>0.28765089501524277</v>
      </c>
      <c r="CA132" s="641">
        <f t="shared" si="237"/>
        <v>3.0091111111111117E-2</v>
      </c>
      <c r="CB132" s="469">
        <f t="shared" si="238"/>
        <v>899.81915417287394</v>
      </c>
      <c r="CC132" s="177">
        <f t="shared" si="168"/>
        <v>0.71022968391524022</v>
      </c>
      <c r="CD132" s="5">
        <f t="shared" si="239"/>
        <v>2.7081999999999997</v>
      </c>
      <c r="CE132" s="177">
        <f t="shared" si="240"/>
        <v>0.79223510512528938</v>
      </c>
      <c r="CF132" s="5">
        <f t="shared" si="241"/>
        <v>79.223510512528932</v>
      </c>
      <c r="CG132">
        <f t="shared" si="242"/>
        <v>22</v>
      </c>
      <c r="CI132" s="571">
        <f t="shared" si="243"/>
        <v>-50</v>
      </c>
      <c r="CJ132">
        <f t="shared" si="244"/>
        <v>-50</v>
      </c>
    </row>
    <row r="133" spans="5:88" x14ac:dyDescent="0.2">
      <c r="E133" s="174">
        <v>23</v>
      </c>
      <c r="F133" s="221">
        <f t="shared" si="245"/>
        <v>9.6600000000000005E-2</v>
      </c>
      <c r="G133" s="221">
        <f t="shared" si="183"/>
        <v>0.16675000000000001</v>
      </c>
      <c r="H133" s="221">
        <f t="shared" si="184"/>
        <v>1.4973000000000001</v>
      </c>
      <c r="I133" s="221">
        <f t="shared" si="185"/>
        <v>1.3340000000000001</v>
      </c>
      <c r="J133" s="551">
        <f t="shared" si="186"/>
        <v>9</v>
      </c>
      <c r="K133" s="451">
        <f t="shared" si="187"/>
        <v>16.399999999999999</v>
      </c>
      <c r="L133" s="451">
        <f t="shared" si="188"/>
        <v>25.4</v>
      </c>
      <c r="M133" s="451"/>
      <c r="N133" s="221">
        <f t="shared" si="189"/>
        <v>0.64566929133858264</v>
      </c>
      <c r="O133" s="176">
        <f t="shared" si="190"/>
        <v>5.6698549287756563</v>
      </c>
      <c r="P133" s="176">
        <f t="shared" si="191"/>
        <v>9.552037446932033</v>
      </c>
      <c r="Q133" s="221">
        <f t="shared" si="192"/>
        <v>0.36579709217907458</v>
      </c>
      <c r="R133" s="221">
        <f t="shared" si="193"/>
        <v>0.70873186609695704</v>
      </c>
      <c r="S133" s="221">
        <f t="shared" si="194"/>
        <v>15.5</v>
      </c>
      <c r="T133" s="221">
        <f t="shared" si="195"/>
        <v>1.0827314062029512</v>
      </c>
      <c r="U133" s="221">
        <f t="shared" si="196"/>
        <v>1.0827314062029512</v>
      </c>
      <c r="V133" s="221">
        <f t="shared" si="197"/>
        <v>0.59418186925771721</v>
      </c>
      <c r="W133" s="201">
        <f t="shared" si="198"/>
        <v>350</v>
      </c>
      <c r="X133" s="451">
        <f t="shared" si="199"/>
        <v>350</v>
      </c>
      <c r="Z133" s="221">
        <f t="shared" si="200"/>
        <v>1.8447694038245221</v>
      </c>
      <c r="AA133" s="177">
        <f t="shared" si="201"/>
        <v>1.0123734533183355</v>
      </c>
      <c r="AB133" s="177">
        <f t="shared" si="202"/>
        <v>0.17283982577713339</v>
      </c>
      <c r="AC133" s="177"/>
      <c r="AD133" s="177">
        <f t="shared" si="203"/>
        <v>0.45</v>
      </c>
      <c r="AE133" s="555">
        <f t="shared" si="204"/>
        <v>523.57723577235777</v>
      </c>
      <c r="AF133" s="538">
        <f t="shared" si="205"/>
        <v>6.4574999999999994E-2</v>
      </c>
      <c r="AH133" s="177">
        <f t="shared" si="206"/>
        <v>1.340765003142159</v>
      </c>
      <c r="AI133" s="177">
        <f t="shared" si="207"/>
        <v>1.340765003142159</v>
      </c>
      <c r="AJ133" s="177">
        <f t="shared" si="208"/>
        <v>1.5857518541793769</v>
      </c>
      <c r="AL133" s="555">
        <f t="shared" si="209"/>
        <v>96.600000000000009</v>
      </c>
      <c r="AM133" s="469">
        <f t="shared" si="210"/>
        <v>350</v>
      </c>
      <c r="AO133" s="469">
        <f t="shared" si="211"/>
        <v>96.600000000000009</v>
      </c>
      <c r="AP133" s="469">
        <f t="shared" si="212"/>
        <v>350</v>
      </c>
      <c r="AR133" s="5">
        <f t="shared" si="160"/>
        <v>2.8571428571428572</v>
      </c>
      <c r="AS133" s="5">
        <f t="shared" si="246"/>
        <v>1.340765003142159</v>
      </c>
      <c r="AT133" s="5">
        <f t="shared" si="247"/>
        <v>1.5163778540006982</v>
      </c>
      <c r="AU133" s="177">
        <f t="shared" si="248"/>
        <v>0.4692677510997556</v>
      </c>
      <c r="AW133" s="5">
        <f t="shared" si="216"/>
        <v>0.83559935034537136</v>
      </c>
      <c r="AX133" s="5"/>
      <c r="AY133" s="5">
        <f t="shared" si="217"/>
        <v>2.7946570534244377</v>
      </c>
      <c r="AZ133" s="5"/>
      <c r="BA133" s="5">
        <f t="shared" si="218"/>
        <v>0.4671754240319434</v>
      </c>
      <c r="BB133" s="5"/>
      <c r="BC133" s="5"/>
      <c r="BD133" s="177">
        <f t="shared" si="219"/>
        <v>0.53027651440834733</v>
      </c>
      <c r="BE133" s="177">
        <f t="shared" si="220"/>
        <v>0.56393594448648598</v>
      </c>
      <c r="BF133" s="177">
        <f t="shared" si="221"/>
        <v>0.92582866531273456</v>
      </c>
      <c r="BG133" s="177"/>
      <c r="BH133" s="538">
        <f t="shared" si="222"/>
        <v>3.0931249990637278E-2</v>
      </c>
      <c r="BI133" s="538">
        <f t="shared" si="223"/>
        <v>5.9597004389668966E-2</v>
      </c>
      <c r="BJ133" s="538">
        <f t="shared" si="224"/>
        <v>1.7499999999999998E-2</v>
      </c>
      <c r="BK133" s="538">
        <f t="shared" si="225"/>
        <v>5.0806349999999993E-2</v>
      </c>
      <c r="BL133">
        <f t="shared" si="226"/>
        <v>2.6099999999999999E-3</v>
      </c>
      <c r="BM133">
        <f t="shared" si="227"/>
        <v>1.4E-5</v>
      </c>
      <c r="BN133">
        <f t="shared" si="228"/>
        <v>0.1623853073895066</v>
      </c>
      <c r="BO133" s="469">
        <f t="shared" si="229"/>
        <v>161.44460438030626</v>
      </c>
      <c r="BP133" s="177">
        <f t="shared" si="230"/>
        <v>8.6940000000000003E-2</v>
      </c>
      <c r="BQ133" s="177">
        <f t="shared" si="231"/>
        <v>0.15007500000000001</v>
      </c>
      <c r="BR133" s="538"/>
      <c r="BT133" s="469">
        <f t="shared" si="232"/>
        <v>237.01500000000004</v>
      </c>
      <c r="BU133" s="538">
        <f t="shared" si="233"/>
        <v>1.3497272723187176E-2</v>
      </c>
      <c r="BV133" s="538">
        <f t="shared" si="234"/>
        <v>7.6325699876127598E-2</v>
      </c>
      <c r="BW133" s="538">
        <f t="shared" si="235"/>
        <v>0.20571809220354226</v>
      </c>
      <c r="BX133" s="538">
        <f t="shared" si="236"/>
        <v>0</v>
      </c>
      <c r="BY133" s="538">
        <f t="shared" si="180"/>
        <v>0.30269783606560496</v>
      </c>
      <c r="BZ133" s="538">
        <f t="shared" si="166"/>
        <v>0.29554106480285702</v>
      </c>
      <c r="CA133" s="641">
        <f t="shared" si="237"/>
        <v>3.145888888888889E-2</v>
      </c>
      <c r="CB133" s="469">
        <f t="shared" si="238"/>
        <v>925.23885456020798</v>
      </c>
      <c r="CC133" s="177">
        <f t="shared" si="168"/>
        <v>0.73355703234400049</v>
      </c>
      <c r="CD133" s="5">
        <f t="shared" si="239"/>
        <v>2.8313000000000001</v>
      </c>
      <c r="CE133" s="177">
        <f t="shared" si="240"/>
        <v>0.79422539931098868</v>
      </c>
      <c r="CF133" s="5">
        <f t="shared" si="241"/>
        <v>79.422539931098868</v>
      </c>
      <c r="CG133">
        <f t="shared" si="242"/>
        <v>23</v>
      </c>
      <c r="CI133" s="571">
        <f t="shared" si="243"/>
        <v>-50</v>
      </c>
      <c r="CJ133">
        <f t="shared" si="244"/>
        <v>-50</v>
      </c>
    </row>
    <row r="134" spans="5:88" x14ac:dyDescent="0.2">
      <c r="E134" s="174">
        <v>24</v>
      </c>
      <c r="F134" s="221">
        <f t="shared" si="245"/>
        <v>0.10079999999999999</v>
      </c>
      <c r="G134" s="221">
        <f t="shared" si="183"/>
        <v>0.17399999999999999</v>
      </c>
      <c r="H134" s="221">
        <f t="shared" si="184"/>
        <v>1.5623999999999998</v>
      </c>
      <c r="I134" s="221">
        <f t="shared" si="185"/>
        <v>1.3919999999999999</v>
      </c>
      <c r="J134" s="551">
        <f t="shared" si="186"/>
        <v>9</v>
      </c>
      <c r="K134" s="451">
        <f t="shared" si="187"/>
        <v>16.399999999999999</v>
      </c>
      <c r="L134" s="451">
        <f t="shared" si="188"/>
        <v>25.4</v>
      </c>
      <c r="M134" s="451"/>
      <c r="N134" s="221">
        <f t="shared" si="189"/>
        <v>0.64566929133858264</v>
      </c>
      <c r="O134" s="176">
        <f t="shared" si="190"/>
        <v>5.6698549287756563</v>
      </c>
      <c r="P134" s="176">
        <f t="shared" si="191"/>
        <v>9.552037446932033</v>
      </c>
      <c r="Q134" s="221">
        <f t="shared" si="192"/>
        <v>0.36579709217907458</v>
      </c>
      <c r="R134" s="221">
        <f t="shared" si="193"/>
        <v>0.70873186609695704</v>
      </c>
      <c r="S134" s="221">
        <f t="shared" si="194"/>
        <v>15.5</v>
      </c>
      <c r="T134" s="221">
        <f t="shared" si="195"/>
        <v>1.129806684733514</v>
      </c>
      <c r="U134" s="221">
        <f t="shared" si="196"/>
        <v>1.129806684733514</v>
      </c>
      <c r="V134" s="221">
        <f t="shared" si="197"/>
        <v>0.62001586357326988</v>
      </c>
      <c r="W134" s="201">
        <f t="shared" si="198"/>
        <v>350</v>
      </c>
      <c r="X134" s="451">
        <f t="shared" si="199"/>
        <v>350</v>
      </c>
      <c r="Z134" s="221">
        <f t="shared" si="200"/>
        <v>1.8447694038245221</v>
      </c>
      <c r="AA134" s="177">
        <f t="shared" si="201"/>
        <v>1.0123734533183355</v>
      </c>
      <c r="AB134" s="177">
        <f t="shared" si="202"/>
        <v>0.17283982577713339</v>
      </c>
      <c r="AC134" s="177"/>
      <c r="AD134" s="177">
        <f t="shared" si="203"/>
        <v>0.45</v>
      </c>
      <c r="AE134" s="555">
        <f t="shared" si="204"/>
        <v>546.34146341463406</v>
      </c>
      <c r="AF134" s="538">
        <f t="shared" si="205"/>
        <v>6.4574999999999994E-2</v>
      </c>
      <c r="AH134" s="177">
        <f t="shared" si="206"/>
        <v>1.3696019581650443</v>
      </c>
      <c r="AI134" s="177">
        <f t="shared" si="207"/>
        <v>1.3696019581650443</v>
      </c>
      <c r="AJ134" s="177">
        <f t="shared" si="208"/>
        <v>1.6071125616037365</v>
      </c>
      <c r="AL134" s="555">
        <f t="shared" si="209"/>
        <v>100.79999999999998</v>
      </c>
      <c r="AM134" s="469">
        <f t="shared" si="210"/>
        <v>350</v>
      </c>
      <c r="AO134" s="469">
        <f t="shared" si="211"/>
        <v>100.79999999999998</v>
      </c>
      <c r="AP134" s="469">
        <f t="shared" si="212"/>
        <v>350</v>
      </c>
      <c r="AR134" s="5">
        <f t="shared" ref="AR134:AR197" si="249">1/AM134*1000</f>
        <v>2.8571428571428572</v>
      </c>
      <c r="AS134" s="5">
        <f t="shared" si="246"/>
        <v>1.3696019581650443</v>
      </c>
      <c r="AT134" s="5">
        <f t="shared" si="247"/>
        <v>1.4875408989778129</v>
      </c>
      <c r="AU134" s="177">
        <f t="shared" si="248"/>
        <v>0.47936068535776549</v>
      </c>
      <c r="AW134" s="5">
        <f t="shared" si="216"/>
        <v>0.89068307989055784</v>
      </c>
      <c r="AX134" s="5"/>
      <c r="AY134" s="5">
        <f t="shared" si="217"/>
        <v>2.9788842590089706</v>
      </c>
      <c r="AZ134" s="5"/>
      <c r="BA134" s="5">
        <f t="shared" si="218"/>
        <v>0.47821685196768188</v>
      </c>
      <c r="BB134" s="5"/>
      <c r="BC134" s="5"/>
      <c r="BD134" s="177">
        <f t="shared" si="219"/>
        <v>0.54747582562580088</v>
      </c>
      <c r="BE134" s="177">
        <f t="shared" si="220"/>
        <v>0.5705611813164202</v>
      </c>
      <c r="BF134" s="177">
        <f t="shared" si="221"/>
        <v>0.93670549313619289</v>
      </c>
      <c r="BG134" s="177"/>
      <c r="BH134" s="538">
        <f t="shared" si="222"/>
        <v>3.2970275760911757E-2</v>
      </c>
      <c r="BI134" s="538">
        <f t="shared" si="223"/>
        <v>6.087880704043621E-2</v>
      </c>
      <c r="BJ134" s="538">
        <f t="shared" si="224"/>
        <v>1.7499999999999998E-2</v>
      </c>
      <c r="BK134" s="538">
        <f t="shared" si="225"/>
        <v>5.0806349999999993E-2</v>
      </c>
      <c r="BL134">
        <f t="shared" si="226"/>
        <v>2.6099999999999999E-3</v>
      </c>
      <c r="BM134">
        <f t="shared" si="227"/>
        <v>1.4E-5</v>
      </c>
      <c r="BN134">
        <f t="shared" si="228"/>
        <v>0.16578792337157935</v>
      </c>
      <c r="BO134" s="469">
        <f t="shared" si="229"/>
        <v>164.76543280134794</v>
      </c>
      <c r="BP134" s="177">
        <f t="shared" si="230"/>
        <v>9.0719999999999995E-2</v>
      </c>
      <c r="BQ134" s="177">
        <f t="shared" si="231"/>
        <v>0.15659999999999999</v>
      </c>
      <c r="BR134" s="538"/>
      <c r="BT134" s="469">
        <f t="shared" si="232"/>
        <v>247.32</v>
      </c>
      <c r="BU134" s="538">
        <f t="shared" si="233"/>
        <v>1.4387029422943313E-2</v>
      </c>
      <c r="BV134" s="538">
        <f t="shared" si="234"/>
        <v>7.8129614790045349E-2</v>
      </c>
      <c r="BW134" s="538">
        <f t="shared" si="235"/>
        <v>0.21058012340916438</v>
      </c>
      <c r="BX134" s="538">
        <f t="shared" si="236"/>
        <v>0</v>
      </c>
      <c r="BY134" s="538">
        <f t="shared" si="180"/>
        <v>0.31062881479779397</v>
      </c>
      <c r="BZ134" s="538">
        <f t="shared" ref="BZ134:BZ197" si="250">SUM(BU134:BX134)</f>
        <v>0.30309676762215304</v>
      </c>
      <c r="CA134" s="641">
        <f t="shared" si="237"/>
        <v>3.2826666666666671E-2</v>
      </c>
      <c r="CB134" s="469">
        <f t="shared" si="238"/>
        <v>949.64901670876668</v>
      </c>
      <c r="CC134" s="177">
        <f t="shared" ref="CC134:CC197" si="251">SUM(BN134,BP134:BS134,BY134, CA134)</f>
        <v>0.75656340483604001</v>
      </c>
      <c r="CD134" s="5">
        <f t="shared" si="239"/>
        <v>2.9543999999999997</v>
      </c>
      <c r="CE134" s="177">
        <f t="shared" si="240"/>
        <v>0.79612749512697845</v>
      </c>
      <c r="CF134" s="5">
        <f t="shared" si="241"/>
        <v>79.612749512697846</v>
      </c>
      <c r="CG134">
        <f t="shared" si="242"/>
        <v>24</v>
      </c>
      <c r="CI134" s="571">
        <f t="shared" si="243"/>
        <v>-50</v>
      </c>
      <c r="CJ134">
        <f t="shared" si="244"/>
        <v>-50</v>
      </c>
    </row>
    <row r="135" spans="5:88" x14ac:dyDescent="0.2">
      <c r="E135" s="174">
        <v>25</v>
      </c>
      <c r="F135" s="221">
        <f t="shared" si="245"/>
        <v>0.105</v>
      </c>
      <c r="G135" s="221">
        <f t="shared" si="183"/>
        <v>0.18124999999999999</v>
      </c>
      <c r="H135" s="221">
        <f t="shared" si="184"/>
        <v>1.6274999999999999</v>
      </c>
      <c r="I135" s="221">
        <f t="shared" si="185"/>
        <v>1.45</v>
      </c>
      <c r="J135" s="551">
        <f t="shared" si="186"/>
        <v>9</v>
      </c>
      <c r="K135" s="451">
        <f t="shared" si="187"/>
        <v>16.399999999999999</v>
      </c>
      <c r="L135" s="451">
        <f t="shared" si="188"/>
        <v>25.4</v>
      </c>
      <c r="M135" s="451"/>
      <c r="N135" s="221">
        <f t="shared" si="189"/>
        <v>0.64566929133858264</v>
      </c>
      <c r="O135" s="176">
        <f t="shared" si="190"/>
        <v>5.6698549287756563</v>
      </c>
      <c r="P135" s="176">
        <f t="shared" si="191"/>
        <v>9.552037446932033</v>
      </c>
      <c r="Q135" s="221">
        <f t="shared" si="192"/>
        <v>0.36579709217907458</v>
      </c>
      <c r="R135" s="221">
        <f t="shared" si="193"/>
        <v>0.70873186609695704</v>
      </c>
      <c r="S135" s="221">
        <f t="shared" si="194"/>
        <v>15.5</v>
      </c>
      <c r="T135" s="221">
        <f t="shared" si="195"/>
        <v>1.176881963264077</v>
      </c>
      <c r="U135" s="221">
        <f t="shared" si="196"/>
        <v>1.176881963264077</v>
      </c>
      <c r="V135" s="221">
        <f t="shared" si="197"/>
        <v>0.64584985788882288</v>
      </c>
      <c r="W135" s="201">
        <f t="shared" si="198"/>
        <v>350</v>
      </c>
      <c r="X135" s="451">
        <f t="shared" si="199"/>
        <v>350</v>
      </c>
      <c r="Z135" s="221">
        <f t="shared" si="200"/>
        <v>1.8447694038245221</v>
      </c>
      <c r="AA135" s="177">
        <f t="shared" si="201"/>
        <v>1.0123734533183355</v>
      </c>
      <c r="AB135" s="177">
        <f t="shared" si="202"/>
        <v>0.17283982577713339</v>
      </c>
      <c r="AC135" s="177"/>
      <c r="AD135" s="177">
        <f t="shared" si="203"/>
        <v>0.45</v>
      </c>
      <c r="AE135" s="555">
        <f t="shared" si="204"/>
        <v>569.10569105691059</v>
      </c>
      <c r="AF135" s="538">
        <f t="shared" si="205"/>
        <v>6.4574999999999994E-2</v>
      </c>
      <c r="AH135" s="177">
        <f t="shared" si="206"/>
        <v>1.3978441450920964</v>
      </c>
      <c r="AI135" s="177">
        <f t="shared" si="207"/>
        <v>1.3978441450920964</v>
      </c>
      <c r="AJ135" s="177">
        <f t="shared" si="208"/>
        <v>1.6280327000682195</v>
      </c>
      <c r="AL135" s="555">
        <f t="shared" si="209"/>
        <v>105</v>
      </c>
      <c r="AM135" s="469">
        <f t="shared" si="210"/>
        <v>350</v>
      </c>
      <c r="AO135" s="469">
        <f t="shared" si="211"/>
        <v>105</v>
      </c>
      <c r="AP135" s="469">
        <f t="shared" si="212"/>
        <v>350</v>
      </c>
      <c r="AR135" s="5">
        <f t="shared" si="249"/>
        <v>2.8571428571428572</v>
      </c>
      <c r="AS135" s="5">
        <f t="shared" si="246"/>
        <v>1.3978441450920966</v>
      </c>
      <c r="AT135" s="5">
        <f t="shared" si="247"/>
        <v>1.4592987120507606</v>
      </c>
      <c r="AU135" s="177">
        <f t="shared" si="248"/>
        <v>0.4892454507822338</v>
      </c>
      <c r="AW135" s="5">
        <f t="shared" si="216"/>
        <v>0.94692667893335569</v>
      </c>
      <c r="AX135" s="5"/>
      <c r="AY135" s="5">
        <f t="shared" si="217"/>
        <v>3.1669906412242814</v>
      </c>
      <c r="AZ135" s="5"/>
      <c r="BA135" s="5">
        <f t="shared" si="218"/>
        <v>0.48868490820218352</v>
      </c>
      <c r="BB135" s="5"/>
      <c r="BC135" s="5"/>
      <c r="BD135" s="177">
        <f t="shared" si="219"/>
        <v>0.56449684948246104</v>
      </c>
      <c r="BE135" s="177">
        <f t="shared" si="220"/>
        <v>0.57677210252154798</v>
      </c>
      <c r="BF135" s="177">
        <f t="shared" si="221"/>
        <v>0.94690212795957185</v>
      </c>
      <c r="BG135" s="177"/>
      <c r="BH135" s="538">
        <f t="shared" si="222"/>
        <v>3.5052236238318671E-2</v>
      </c>
      <c r="BI135" s="538">
        <f t="shared" si="223"/>
        <v>6.2134172249343686E-2</v>
      </c>
      <c r="BJ135" s="538">
        <f t="shared" si="224"/>
        <v>1.7499999999999998E-2</v>
      </c>
      <c r="BK135" s="538">
        <f t="shared" si="225"/>
        <v>5.0806349999999993E-2</v>
      </c>
      <c r="BL135">
        <f t="shared" si="226"/>
        <v>2.6099999999999999E-3</v>
      </c>
      <c r="BM135">
        <f t="shared" si="227"/>
        <v>1.4E-5</v>
      </c>
      <c r="BN135">
        <f t="shared" si="228"/>
        <v>0.16921106975684902</v>
      </c>
      <c r="BO135" s="469">
        <f t="shared" si="229"/>
        <v>168.10275848766236</v>
      </c>
      <c r="BP135" s="177">
        <f t="shared" si="230"/>
        <v>9.4500000000000001E-2</v>
      </c>
      <c r="BQ135" s="177">
        <f t="shared" si="231"/>
        <v>0.16312499999999999</v>
      </c>
      <c r="BR135" s="538"/>
      <c r="BT135" s="469">
        <f t="shared" si="232"/>
        <v>257.625</v>
      </c>
      <c r="BU135" s="538">
        <f t="shared" si="233"/>
        <v>1.5295521267629966E-2</v>
      </c>
      <c r="BV135" s="538">
        <f t="shared" si="234"/>
        <v>7.9839853979310482E-2</v>
      </c>
      <c r="BW135" s="538">
        <f t="shared" si="235"/>
        <v>0.21518967358424768</v>
      </c>
      <c r="BX135" s="538">
        <f t="shared" si="236"/>
        <v>0</v>
      </c>
      <c r="BY135" s="538">
        <f t="shared" si="180"/>
        <v>0.31822531166164575</v>
      </c>
      <c r="BZ135" s="538">
        <f t="shared" si="250"/>
        <v>0.31032504883118811</v>
      </c>
      <c r="CA135" s="641">
        <f t="shared" si="237"/>
        <v>3.4194444444444451E-2</v>
      </c>
      <c r="CB135" s="469">
        <f t="shared" si="238"/>
        <v>973.06985376846637</v>
      </c>
      <c r="CC135" s="177">
        <f t="shared" si="251"/>
        <v>0.77925582586293918</v>
      </c>
      <c r="CD135" s="5">
        <f t="shared" si="239"/>
        <v>3.0774999999999997</v>
      </c>
      <c r="CE135" s="177">
        <f t="shared" si="240"/>
        <v>0.79795043786870212</v>
      </c>
      <c r="CF135" s="5">
        <f t="shared" si="241"/>
        <v>79.79504378687021</v>
      </c>
      <c r="CG135">
        <f t="shared" si="242"/>
        <v>25</v>
      </c>
      <c r="CI135" s="571">
        <f t="shared" si="243"/>
        <v>-50</v>
      </c>
      <c r="CJ135">
        <f t="shared" si="244"/>
        <v>-50</v>
      </c>
    </row>
    <row r="136" spans="5:88" x14ac:dyDescent="0.2">
      <c r="E136" s="174">
        <v>26</v>
      </c>
      <c r="F136" s="221">
        <f t="shared" si="245"/>
        <v>0.10920000000000001</v>
      </c>
      <c r="G136" s="221">
        <f t="shared" si="183"/>
        <v>0.1885</v>
      </c>
      <c r="H136" s="221">
        <f t="shared" si="184"/>
        <v>1.6926000000000001</v>
      </c>
      <c r="I136" s="221">
        <f t="shared" si="185"/>
        <v>1.508</v>
      </c>
      <c r="J136" s="551">
        <f t="shared" si="186"/>
        <v>9</v>
      </c>
      <c r="K136" s="451">
        <f t="shared" si="187"/>
        <v>16.399999999999999</v>
      </c>
      <c r="L136" s="451">
        <f t="shared" si="188"/>
        <v>25.4</v>
      </c>
      <c r="M136" s="451"/>
      <c r="N136" s="221">
        <f t="shared" si="189"/>
        <v>0.64566929133858264</v>
      </c>
      <c r="O136" s="176">
        <f t="shared" si="190"/>
        <v>5.6698549287756563</v>
      </c>
      <c r="P136" s="176">
        <f t="shared" si="191"/>
        <v>9.552037446932033</v>
      </c>
      <c r="Q136" s="221">
        <f t="shared" si="192"/>
        <v>0.36579709217907458</v>
      </c>
      <c r="R136" s="221">
        <f t="shared" si="193"/>
        <v>0.70873186609695704</v>
      </c>
      <c r="S136" s="221">
        <f t="shared" si="194"/>
        <v>15.5</v>
      </c>
      <c r="T136" s="221">
        <f t="shared" si="195"/>
        <v>1.2239572417946403</v>
      </c>
      <c r="U136" s="221">
        <f t="shared" si="196"/>
        <v>1.2239572417946405</v>
      </c>
      <c r="V136" s="221">
        <f t="shared" si="197"/>
        <v>0.67168385220437588</v>
      </c>
      <c r="W136" s="201">
        <f t="shared" si="198"/>
        <v>350</v>
      </c>
      <c r="X136" s="451">
        <f t="shared" si="199"/>
        <v>350</v>
      </c>
      <c r="Z136" s="221">
        <f t="shared" si="200"/>
        <v>1.8447694038245221</v>
      </c>
      <c r="AA136" s="177">
        <f t="shared" si="201"/>
        <v>1.0123734533183355</v>
      </c>
      <c r="AB136" s="177">
        <f t="shared" si="202"/>
        <v>0.17283982577713339</v>
      </c>
      <c r="AC136" s="177"/>
      <c r="AD136" s="177">
        <f t="shared" si="203"/>
        <v>0.45</v>
      </c>
      <c r="AE136" s="555">
        <f t="shared" si="204"/>
        <v>591.869918699187</v>
      </c>
      <c r="AF136" s="538">
        <f t="shared" si="205"/>
        <v>6.4574999999999994E-2</v>
      </c>
      <c r="AH136" s="177">
        <f t="shared" si="206"/>
        <v>1.4255269145572047</v>
      </c>
      <c r="AI136" s="177">
        <f t="shared" si="207"/>
        <v>1.4255269145572047</v>
      </c>
      <c r="AJ136" s="177">
        <f t="shared" si="208"/>
        <v>1.648538455227559</v>
      </c>
      <c r="AL136" s="555">
        <f t="shared" si="209"/>
        <v>109.2</v>
      </c>
      <c r="AM136" s="469">
        <f t="shared" si="210"/>
        <v>350</v>
      </c>
      <c r="AO136" s="469">
        <f t="shared" si="211"/>
        <v>109.2</v>
      </c>
      <c r="AP136" s="469">
        <f t="shared" si="212"/>
        <v>350</v>
      </c>
      <c r="AR136" s="5">
        <f t="shared" si="249"/>
        <v>2.8571428571428572</v>
      </c>
      <c r="AS136" s="5">
        <f t="shared" si="246"/>
        <v>1.4255269145572047</v>
      </c>
      <c r="AT136" s="5">
        <f t="shared" si="247"/>
        <v>1.4316159425856525</v>
      </c>
      <c r="AU136" s="177">
        <f t="shared" si="248"/>
        <v>0.49893442009502165</v>
      </c>
      <c r="AW136" s="5">
        <f t="shared" si="216"/>
        <v>1.0043067036751405</v>
      </c>
      <c r="AX136" s="5"/>
      <c r="AY136" s="5">
        <f t="shared" si="217"/>
        <v>3.358897792425414</v>
      </c>
      <c r="AZ136" s="5"/>
      <c r="BA136" s="5">
        <f t="shared" si="218"/>
        <v>0.49859118197952162</v>
      </c>
      <c r="BB136" s="5"/>
      <c r="BC136" s="5"/>
      <c r="BD136" s="177">
        <f t="shared" si="219"/>
        <v>0.58134846073155411</v>
      </c>
      <c r="BE136" s="177">
        <f t="shared" si="220"/>
        <v>0.58258873022116897</v>
      </c>
      <c r="BF136" s="177">
        <f t="shared" si="221"/>
        <v>0.95645144062958609</v>
      </c>
      <c r="BG136" s="177"/>
      <c r="BH136" s="538">
        <f t="shared" si="222"/>
        <v>3.71762636074442E-2</v>
      </c>
      <c r="BI136" s="538">
        <f t="shared" si="223"/>
        <v>6.3364671352067747E-2</v>
      </c>
      <c r="BJ136" s="538">
        <f t="shared" si="224"/>
        <v>1.7499999999999998E-2</v>
      </c>
      <c r="BK136" s="538">
        <f t="shared" si="225"/>
        <v>5.0806349999999993E-2</v>
      </c>
      <c r="BL136">
        <f t="shared" si="226"/>
        <v>2.6099999999999999E-3</v>
      </c>
      <c r="BM136">
        <f t="shared" si="227"/>
        <v>1.4E-5</v>
      </c>
      <c r="BN136">
        <f t="shared" si="228"/>
        <v>0.17265553282198381</v>
      </c>
      <c r="BO136" s="469">
        <f t="shared" si="229"/>
        <v>171.45728495951192</v>
      </c>
      <c r="BP136" s="177">
        <f t="shared" si="230"/>
        <v>9.8280000000000006E-2</v>
      </c>
      <c r="BQ136" s="177">
        <f t="shared" si="231"/>
        <v>0.16965</v>
      </c>
      <c r="BR136" s="538"/>
      <c r="BT136" s="469">
        <f t="shared" si="232"/>
        <v>267.93</v>
      </c>
      <c r="BU136" s="538">
        <f t="shared" si="233"/>
        <v>1.6222369574157472E-2</v>
      </c>
      <c r="BV136" s="538">
        <f t="shared" si="234"/>
        <v>8.1458310859371358E-2</v>
      </c>
      <c r="BW136" s="538">
        <f t="shared" si="235"/>
        <v>0.21955184598777855</v>
      </c>
      <c r="BX136" s="538">
        <f t="shared" si="236"/>
        <v>0</v>
      </c>
      <c r="BY136" s="538">
        <f t="shared" si="180"/>
        <v>0.32549308594014414</v>
      </c>
      <c r="BZ136" s="538">
        <f t="shared" si="250"/>
        <v>0.31723252642130739</v>
      </c>
      <c r="CA136" s="641">
        <f t="shared" si="237"/>
        <v>3.5562222222222231E-2</v>
      </c>
      <c r="CB136" s="469">
        <f t="shared" si="238"/>
        <v>995.52036100498117</v>
      </c>
      <c r="CC136" s="177">
        <f t="shared" si="251"/>
        <v>0.80164084098435018</v>
      </c>
      <c r="CD136" s="5">
        <f t="shared" si="239"/>
        <v>3.2006000000000001</v>
      </c>
      <c r="CE136" s="177">
        <f t="shared" si="240"/>
        <v>0.79970199874648551</v>
      </c>
      <c r="CF136" s="5">
        <f t="shared" si="241"/>
        <v>79.970199874648557</v>
      </c>
      <c r="CG136">
        <f t="shared" si="242"/>
        <v>26</v>
      </c>
      <c r="CI136" s="571">
        <f t="shared" si="243"/>
        <v>-50</v>
      </c>
      <c r="CJ136">
        <f t="shared" si="244"/>
        <v>-50</v>
      </c>
    </row>
    <row r="137" spans="5:88" x14ac:dyDescent="0.2">
      <c r="E137" s="174">
        <v>27</v>
      </c>
      <c r="F137" s="221">
        <f t="shared" si="245"/>
        <v>0.1134</v>
      </c>
      <c r="G137" s="221">
        <f t="shared" si="183"/>
        <v>0.19575000000000001</v>
      </c>
      <c r="H137" s="221">
        <f t="shared" si="184"/>
        <v>1.7577</v>
      </c>
      <c r="I137" s="221">
        <f t="shared" si="185"/>
        <v>1.5660000000000001</v>
      </c>
      <c r="J137" s="551">
        <f t="shared" si="186"/>
        <v>9</v>
      </c>
      <c r="K137" s="451">
        <f t="shared" si="187"/>
        <v>16.399999999999999</v>
      </c>
      <c r="L137" s="451">
        <f t="shared" si="188"/>
        <v>25.4</v>
      </c>
      <c r="M137" s="451"/>
      <c r="N137" s="221">
        <f t="shared" si="189"/>
        <v>0.64566929133858264</v>
      </c>
      <c r="O137" s="176">
        <f t="shared" si="190"/>
        <v>5.6698549287756563</v>
      </c>
      <c r="P137" s="176">
        <f t="shared" si="191"/>
        <v>9.552037446932033</v>
      </c>
      <c r="Q137" s="221">
        <f t="shared" si="192"/>
        <v>0.36579709217907458</v>
      </c>
      <c r="R137" s="221">
        <f t="shared" si="193"/>
        <v>0.70873186609695704</v>
      </c>
      <c r="S137" s="221">
        <f t="shared" si="194"/>
        <v>15.5</v>
      </c>
      <c r="T137" s="221">
        <f t="shared" si="195"/>
        <v>1.2710325203252035</v>
      </c>
      <c r="U137" s="221">
        <f t="shared" si="196"/>
        <v>1.2710325203252035</v>
      </c>
      <c r="V137" s="221">
        <f t="shared" si="197"/>
        <v>0.69751784651992876</v>
      </c>
      <c r="W137" s="201">
        <f t="shared" si="198"/>
        <v>350</v>
      </c>
      <c r="X137" s="451">
        <f t="shared" si="199"/>
        <v>350</v>
      </c>
      <c r="Z137" s="221">
        <f t="shared" si="200"/>
        <v>1.8447694038245221</v>
      </c>
      <c r="AA137" s="177">
        <f t="shared" si="201"/>
        <v>1.0123734533183355</v>
      </c>
      <c r="AB137" s="177">
        <f t="shared" si="202"/>
        <v>0.17283982577713339</v>
      </c>
      <c r="AC137" s="177"/>
      <c r="AD137" s="177">
        <f t="shared" si="203"/>
        <v>0.45</v>
      </c>
      <c r="AE137" s="555">
        <f t="shared" si="204"/>
        <v>614.63414634146341</v>
      </c>
      <c r="AF137" s="538">
        <f t="shared" si="205"/>
        <v>6.4574999999999994E-2</v>
      </c>
      <c r="AH137" s="177">
        <f t="shared" si="206"/>
        <v>1.4526822482173156</v>
      </c>
      <c r="AI137" s="177">
        <f t="shared" si="207"/>
        <v>1.4526822482173156</v>
      </c>
      <c r="AJ137" s="177">
        <f t="shared" si="208"/>
        <v>1.6686535171980115</v>
      </c>
      <c r="AL137" s="555">
        <f t="shared" si="209"/>
        <v>113.4</v>
      </c>
      <c r="AM137" s="469">
        <f t="shared" si="210"/>
        <v>350</v>
      </c>
      <c r="AO137" s="469">
        <f t="shared" si="211"/>
        <v>113.4</v>
      </c>
      <c r="AP137" s="469">
        <f t="shared" si="212"/>
        <v>350</v>
      </c>
      <c r="AR137" s="5">
        <f t="shared" si="249"/>
        <v>2.8571428571428572</v>
      </c>
      <c r="AS137" s="5">
        <f t="shared" si="246"/>
        <v>1.4526822482173156</v>
      </c>
      <c r="AT137" s="5">
        <f t="shared" si="247"/>
        <v>1.4044606089255416</v>
      </c>
      <c r="AU137" s="177">
        <f t="shared" si="248"/>
        <v>0.50843878687606048</v>
      </c>
      <c r="AW137" s="5">
        <f t="shared" si="216"/>
        <v>1.062801077082862</v>
      </c>
      <c r="AX137" s="5"/>
      <c r="AY137" s="5">
        <f t="shared" si="217"/>
        <v>3.5545318761067444</v>
      </c>
      <c r="AZ137" s="5"/>
      <c r="BA137" s="5">
        <f t="shared" si="218"/>
        <v>0.50794658689473748</v>
      </c>
      <c r="BB137" s="5"/>
      <c r="BC137" s="5"/>
      <c r="BD137" s="177">
        <f t="shared" si="219"/>
        <v>0.59803876923749955</v>
      </c>
      <c r="BE137" s="177">
        <f t="shared" si="220"/>
        <v>0.58802908254394048</v>
      </c>
      <c r="BF137" s="177">
        <f t="shared" si="221"/>
        <v>0.96538301198811882</v>
      </c>
      <c r="BG137" s="177"/>
      <c r="BH137" s="538">
        <f t="shared" si="222"/>
        <v>3.9341540646221355E-2</v>
      </c>
      <c r="BI137" s="538">
        <f t="shared" si="223"/>
        <v>6.4571725933259674E-2</v>
      </c>
      <c r="BJ137" s="538">
        <f t="shared" si="224"/>
        <v>1.7499999999999998E-2</v>
      </c>
      <c r="BK137" s="538">
        <f t="shared" si="225"/>
        <v>5.0806349999999993E-2</v>
      </c>
      <c r="BL137">
        <f t="shared" si="226"/>
        <v>2.6099999999999999E-3</v>
      </c>
      <c r="BM137">
        <f t="shared" si="227"/>
        <v>1.4E-5</v>
      </c>
      <c r="BN137">
        <f t="shared" si="228"/>
        <v>0.17612200063066119</v>
      </c>
      <c r="BO137" s="469">
        <f t="shared" si="229"/>
        <v>174.82961657948101</v>
      </c>
      <c r="BP137" s="177">
        <f t="shared" si="230"/>
        <v>0.10206</v>
      </c>
      <c r="BQ137" s="177">
        <f t="shared" si="231"/>
        <v>0.176175</v>
      </c>
      <c r="BR137" s="538"/>
      <c r="BT137" s="469">
        <f t="shared" si="232"/>
        <v>278.23500000000001</v>
      </c>
      <c r="BU137" s="538">
        <f t="shared" si="233"/>
        <v>1.7167217736532955E-2</v>
      </c>
      <c r="BV137" s="538">
        <f t="shared" si="234"/>
        <v>8.2986768460192414E-2</v>
      </c>
      <c r="BW137" s="538">
        <f t="shared" si="235"/>
        <v>0.22367144636046057</v>
      </c>
      <c r="BX137" s="538">
        <f t="shared" si="236"/>
        <v>0</v>
      </c>
      <c r="BY137" s="538">
        <f t="shared" si="180"/>
        <v>0.33243757179599381</v>
      </c>
      <c r="BZ137" s="538">
        <f t="shared" si="250"/>
        <v>0.32382543255718593</v>
      </c>
      <c r="CA137" s="641">
        <f t="shared" si="237"/>
        <v>3.6930000000000011E-2</v>
      </c>
      <c r="CB137" s="469">
        <f t="shared" si="238"/>
        <v>1017.0184369103656</v>
      </c>
      <c r="CC137" s="177">
        <f t="shared" si="251"/>
        <v>0.82372457242665498</v>
      </c>
      <c r="CD137" s="5">
        <f t="shared" si="239"/>
        <v>3.3237000000000001</v>
      </c>
      <c r="CE137" s="177">
        <f t="shared" si="240"/>
        <v>0.80138889615906994</v>
      </c>
      <c r="CF137" s="5">
        <f t="shared" si="241"/>
        <v>80.13888961590699</v>
      </c>
      <c r="CG137">
        <f t="shared" si="242"/>
        <v>27</v>
      </c>
      <c r="CI137" s="571">
        <f t="shared" si="243"/>
        <v>-50</v>
      </c>
      <c r="CJ137">
        <f t="shared" si="244"/>
        <v>-50</v>
      </c>
    </row>
    <row r="138" spans="5:88" x14ac:dyDescent="0.2">
      <c r="E138" s="174">
        <v>28</v>
      </c>
      <c r="F138" s="221">
        <f t="shared" si="245"/>
        <v>0.11760000000000001</v>
      </c>
      <c r="G138" s="221">
        <f t="shared" si="183"/>
        <v>0.20300000000000001</v>
      </c>
      <c r="H138" s="221">
        <f t="shared" si="184"/>
        <v>1.8228000000000002</v>
      </c>
      <c r="I138" s="221">
        <f t="shared" si="185"/>
        <v>1.6240000000000001</v>
      </c>
      <c r="J138" s="551">
        <f t="shared" si="186"/>
        <v>9</v>
      </c>
      <c r="K138" s="451">
        <f t="shared" si="187"/>
        <v>16.399999999999999</v>
      </c>
      <c r="L138" s="451">
        <f t="shared" si="188"/>
        <v>25.4</v>
      </c>
      <c r="M138" s="451"/>
      <c r="N138" s="221">
        <f t="shared" si="189"/>
        <v>0.64566929133858264</v>
      </c>
      <c r="O138" s="176">
        <f t="shared" si="190"/>
        <v>5.6698549287756563</v>
      </c>
      <c r="P138" s="176">
        <f t="shared" si="191"/>
        <v>9.552037446932033</v>
      </c>
      <c r="Q138" s="221">
        <f t="shared" si="192"/>
        <v>0.36579709217907458</v>
      </c>
      <c r="R138" s="221">
        <f t="shared" si="193"/>
        <v>0.70873186609695704</v>
      </c>
      <c r="S138" s="221">
        <f t="shared" si="194"/>
        <v>15.5</v>
      </c>
      <c r="T138" s="221">
        <f t="shared" si="195"/>
        <v>1.3181077988557668</v>
      </c>
      <c r="U138" s="221">
        <f t="shared" si="196"/>
        <v>1.3181077988557668</v>
      </c>
      <c r="V138" s="221">
        <f t="shared" si="197"/>
        <v>0.72335184083548187</v>
      </c>
      <c r="W138" s="201">
        <f t="shared" si="198"/>
        <v>350</v>
      </c>
      <c r="X138" s="451">
        <f t="shared" si="199"/>
        <v>350</v>
      </c>
      <c r="Z138" s="221">
        <f t="shared" si="200"/>
        <v>1.8447694038245221</v>
      </c>
      <c r="AA138" s="177">
        <f t="shared" si="201"/>
        <v>1.0123734533183355</v>
      </c>
      <c r="AB138" s="177">
        <f t="shared" si="202"/>
        <v>0.17283982577713339</v>
      </c>
      <c r="AC138" s="177"/>
      <c r="AD138" s="177">
        <f t="shared" si="203"/>
        <v>0.45</v>
      </c>
      <c r="AE138" s="555">
        <f t="shared" si="204"/>
        <v>637.39837398373993</v>
      </c>
      <c r="AF138" s="538">
        <f t="shared" si="205"/>
        <v>6.4574999999999994E-2</v>
      </c>
      <c r="AH138" s="177">
        <f t="shared" si="206"/>
        <v>1.4793391918165506</v>
      </c>
      <c r="AI138" s="177">
        <f t="shared" si="207"/>
        <v>1.4793391918165506</v>
      </c>
      <c r="AJ138" s="177">
        <f t="shared" si="208"/>
        <v>1.688399401345593</v>
      </c>
      <c r="AL138" s="555">
        <f t="shared" si="209"/>
        <v>117.60000000000001</v>
      </c>
      <c r="AM138" s="469">
        <f t="shared" si="210"/>
        <v>350</v>
      </c>
      <c r="AO138" s="469">
        <f t="shared" si="211"/>
        <v>117.60000000000001</v>
      </c>
      <c r="AP138" s="469">
        <f t="shared" si="212"/>
        <v>350</v>
      </c>
      <c r="AR138" s="5">
        <f t="shared" si="249"/>
        <v>2.8571428571428572</v>
      </c>
      <c r="AS138" s="5">
        <f t="shared" si="246"/>
        <v>1.4793391918165506</v>
      </c>
      <c r="AT138" s="5">
        <f t="shared" si="247"/>
        <v>1.3778036653263066</v>
      </c>
      <c r="AU138" s="177">
        <f t="shared" si="248"/>
        <v>0.51776871713579264</v>
      </c>
      <c r="AW138" s="5">
        <f t="shared" si="216"/>
        <v>1.1223889610169444</v>
      </c>
      <c r="AX138" s="5"/>
      <c r="AY138" s="5">
        <f t="shared" si="217"/>
        <v>3.7538231992344979</v>
      </c>
      <c r="AZ138" s="5"/>
      <c r="BA138" s="5">
        <f t="shared" si="218"/>
        <v>0.51676142410633574</v>
      </c>
      <c r="BB138" s="5"/>
      <c r="BC138" s="5"/>
      <c r="BD138" s="177">
        <f t="shared" si="219"/>
        <v>0.61457521170397378</v>
      </c>
      <c r="BE138" s="177">
        <f t="shared" si="220"/>
        <v>0.59310942551985923</v>
      </c>
      <c r="BF138" s="177">
        <f t="shared" si="221"/>
        <v>0.97372354641000014</v>
      </c>
      <c r="BG138" s="177"/>
      <c r="BH138" s="538">
        <f t="shared" si="222"/>
        <v>4.1547295992508261E-2</v>
      </c>
      <c r="BI138" s="538">
        <f t="shared" si="223"/>
        <v>6.5756627076245674E-2</v>
      </c>
      <c r="BJ138" s="538">
        <f t="shared" si="224"/>
        <v>1.7499999999999998E-2</v>
      </c>
      <c r="BK138" s="538">
        <f t="shared" si="225"/>
        <v>5.0806349999999993E-2</v>
      </c>
      <c r="BL138">
        <f t="shared" si="226"/>
        <v>2.6099999999999999E-3</v>
      </c>
      <c r="BM138">
        <f t="shared" si="227"/>
        <v>1.4E-5</v>
      </c>
      <c r="BN138">
        <f t="shared" si="228"/>
        <v>0.17961107749247479</v>
      </c>
      <c r="BO138" s="469">
        <f t="shared" si="229"/>
        <v>178.22027306875393</v>
      </c>
      <c r="BP138" s="177">
        <f t="shared" si="230"/>
        <v>0.10584000000000002</v>
      </c>
      <c r="BQ138" s="177">
        <f t="shared" si="231"/>
        <v>0.18270000000000003</v>
      </c>
      <c r="BR138" s="538"/>
      <c r="BT138" s="469">
        <f t="shared" si="232"/>
        <v>288.54000000000002</v>
      </c>
      <c r="BU138" s="538">
        <f t="shared" si="233"/>
        <v>1.8129729160367241E-2</v>
      </c>
      <c r="BV138" s="538">
        <f t="shared" si="234"/>
        <v>8.4426909753719387E-2</v>
      </c>
      <c r="BW138" s="538">
        <f t="shared" si="235"/>
        <v>0.22755301075998424</v>
      </c>
      <c r="BX138" s="538">
        <f t="shared" si="236"/>
        <v>0</v>
      </c>
      <c r="BY138" s="538">
        <f t="shared" si="180"/>
        <v>0.33906391118925527</v>
      </c>
      <c r="BZ138" s="538">
        <f t="shared" si="250"/>
        <v>0.33010964967407086</v>
      </c>
      <c r="CA138" s="641">
        <f t="shared" si="237"/>
        <v>3.8297777777777799E-2</v>
      </c>
      <c r="CB138" s="469">
        <f t="shared" si="238"/>
        <v>1037.5809883151749</v>
      </c>
      <c r="CC138" s="177">
        <f t="shared" si="251"/>
        <v>0.8455127664595079</v>
      </c>
      <c r="CD138" s="5">
        <f t="shared" si="239"/>
        <v>3.4468000000000005</v>
      </c>
      <c r="CE138" s="177">
        <f t="shared" si="240"/>
        <v>0.80301697186038834</v>
      </c>
      <c r="CF138" s="5">
        <f t="shared" si="241"/>
        <v>80.301697186038837</v>
      </c>
      <c r="CG138">
        <f t="shared" si="242"/>
        <v>28.000000000000004</v>
      </c>
      <c r="CI138" s="571">
        <f t="shared" si="243"/>
        <v>-50</v>
      </c>
      <c r="CJ138">
        <f t="shared" si="244"/>
        <v>-50</v>
      </c>
    </row>
    <row r="139" spans="5:88" x14ac:dyDescent="0.2">
      <c r="E139" s="174">
        <v>29</v>
      </c>
      <c r="F139" s="221">
        <f t="shared" si="245"/>
        <v>0.12179999999999999</v>
      </c>
      <c r="G139" s="221">
        <f t="shared" si="183"/>
        <v>0.21024999999999999</v>
      </c>
      <c r="H139" s="221">
        <f t="shared" si="184"/>
        <v>1.8878999999999999</v>
      </c>
      <c r="I139" s="221">
        <f t="shared" si="185"/>
        <v>1.6819999999999999</v>
      </c>
      <c r="J139" s="551">
        <f t="shared" si="186"/>
        <v>9</v>
      </c>
      <c r="K139" s="451">
        <f t="shared" si="187"/>
        <v>16.399999999999999</v>
      </c>
      <c r="L139" s="451">
        <f t="shared" si="188"/>
        <v>25.4</v>
      </c>
      <c r="M139" s="451"/>
      <c r="N139" s="221">
        <f t="shared" si="189"/>
        <v>0.64566929133858264</v>
      </c>
      <c r="O139" s="176">
        <f t="shared" si="190"/>
        <v>5.6698549287756563</v>
      </c>
      <c r="P139" s="176">
        <f t="shared" si="191"/>
        <v>9.552037446932033</v>
      </c>
      <c r="Q139" s="221">
        <f t="shared" si="192"/>
        <v>0.36579709217907458</v>
      </c>
      <c r="R139" s="221">
        <f t="shared" si="193"/>
        <v>0.70873186609695704</v>
      </c>
      <c r="S139" s="221">
        <f t="shared" si="194"/>
        <v>15.5</v>
      </c>
      <c r="T139" s="221">
        <f t="shared" si="195"/>
        <v>1.3651830773863294</v>
      </c>
      <c r="U139" s="221">
        <f t="shared" si="196"/>
        <v>1.3651830773863294</v>
      </c>
      <c r="V139" s="221">
        <f t="shared" si="197"/>
        <v>0.74918583515103443</v>
      </c>
      <c r="W139" s="201">
        <f t="shared" si="198"/>
        <v>350</v>
      </c>
      <c r="X139" s="451">
        <f t="shared" si="199"/>
        <v>350</v>
      </c>
      <c r="Z139" s="221">
        <f t="shared" si="200"/>
        <v>1.8447694038245221</v>
      </c>
      <c r="AA139" s="177">
        <f t="shared" si="201"/>
        <v>1.0123734533183355</v>
      </c>
      <c r="AB139" s="177">
        <f t="shared" si="202"/>
        <v>0.17283982577713339</v>
      </c>
      <c r="AC139" s="177"/>
      <c r="AD139" s="177">
        <f t="shared" si="203"/>
        <v>0.45</v>
      </c>
      <c r="AE139" s="555">
        <f t="shared" si="204"/>
        <v>660.16260162601623</v>
      </c>
      <c r="AF139" s="538">
        <f t="shared" si="205"/>
        <v>6.4574999999999994E-2</v>
      </c>
      <c r="AH139" s="177">
        <f t="shared" si="206"/>
        <v>1.505524219201795</v>
      </c>
      <c r="AI139" s="177">
        <f t="shared" si="207"/>
        <v>1.505524219201795</v>
      </c>
      <c r="AJ139" s="177">
        <f t="shared" si="208"/>
        <v>1.7077957179272554</v>
      </c>
      <c r="AL139" s="555">
        <f t="shared" si="209"/>
        <v>121.8</v>
      </c>
      <c r="AM139" s="469">
        <f t="shared" si="210"/>
        <v>350</v>
      </c>
      <c r="AO139" s="469">
        <f t="shared" si="211"/>
        <v>121.8</v>
      </c>
      <c r="AP139" s="469">
        <f t="shared" si="212"/>
        <v>350</v>
      </c>
      <c r="AR139" s="5">
        <f t="shared" si="249"/>
        <v>2.8571428571428572</v>
      </c>
      <c r="AS139" s="5">
        <f t="shared" si="246"/>
        <v>1.505524219201795</v>
      </c>
      <c r="AT139" s="5">
        <f t="shared" si="247"/>
        <v>1.3516186379410622</v>
      </c>
      <c r="AU139" s="177">
        <f t="shared" si="248"/>
        <v>0.52693347672062829</v>
      </c>
      <c r="AW139" s="5">
        <f t="shared" si="216"/>
        <v>1.1830506445082489</v>
      </c>
      <c r="AX139" s="5"/>
      <c r="AY139" s="5">
        <f t="shared" si="217"/>
        <v>3.9567058385897171</v>
      </c>
      <c r="AZ139" s="5"/>
      <c r="BA139" s="5">
        <f t="shared" si="218"/>
        <v>0.52504543756562361</v>
      </c>
      <c r="BB139" s="5"/>
      <c r="BC139" s="5"/>
      <c r="BD139" s="177">
        <f t="shared" si="219"/>
        <v>0.63096462952626853</v>
      </c>
      <c r="BE139" s="177">
        <f t="shared" si="220"/>
        <v>0.59784448464560591</v>
      </c>
      <c r="BF139" s="177">
        <f t="shared" si="221"/>
        <v>0.9814972191354705</v>
      </c>
      <c r="BG139" s="177"/>
      <c r="BH139" s="538">
        <f t="shared" si="222"/>
        <v>4.3792800008454341E-2</v>
      </c>
      <c r="BI139" s="538">
        <f t="shared" si="223"/>
        <v>6.6920551543519793E-2</v>
      </c>
      <c r="BJ139" s="538">
        <f t="shared" si="224"/>
        <v>1.7499999999999998E-2</v>
      </c>
      <c r="BK139" s="538">
        <f t="shared" si="225"/>
        <v>5.0806349999999993E-2</v>
      </c>
      <c r="BL139">
        <f t="shared" si="226"/>
        <v>2.6099999999999999E-3</v>
      </c>
      <c r="BM139">
        <f t="shared" si="227"/>
        <v>1.4E-5</v>
      </c>
      <c r="BN139">
        <f t="shared" si="228"/>
        <v>0.18312329595824156</v>
      </c>
      <c r="BO139" s="469">
        <f t="shared" si="229"/>
        <v>181.62970155197414</v>
      </c>
      <c r="BP139" s="177">
        <f t="shared" si="230"/>
        <v>0.10962</v>
      </c>
      <c r="BQ139" s="177">
        <f t="shared" si="231"/>
        <v>0.189225</v>
      </c>
      <c r="BR139" s="538"/>
      <c r="BT139" s="469">
        <f t="shared" si="232"/>
        <v>298.84500000000003</v>
      </c>
      <c r="BU139" s="538">
        <f t="shared" si="233"/>
        <v>1.9109585458234622E-2</v>
      </c>
      <c r="BV139" s="538">
        <f t="shared" si="234"/>
        <v>8.5780326677080826E-2</v>
      </c>
      <c r="BW139" s="538">
        <f t="shared" si="235"/>
        <v>0.23120082988095883</v>
      </c>
      <c r="BX139" s="538">
        <f t="shared" si="236"/>
        <v>0</v>
      </c>
      <c r="BY139" s="538">
        <f t="shared" si="180"/>
        <v>0.34537698252278837</v>
      </c>
      <c r="BZ139" s="538">
        <f t="shared" si="250"/>
        <v>0.33609074201627431</v>
      </c>
      <c r="CA139" s="641">
        <f t="shared" si="237"/>
        <v>3.9665555555555558E-2</v>
      </c>
      <c r="CB139" s="469">
        <f t="shared" si="238"/>
        <v>1057.2240221108925</v>
      </c>
      <c r="CC139" s="177">
        <f t="shared" si="251"/>
        <v>0.86701083403658541</v>
      </c>
      <c r="CD139" s="5">
        <f t="shared" si="239"/>
        <v>3.5698999999999996</v>
      </c>
      <c r="CE139" s="177">
        <f t="shared" si="240"/>
        <v>0.80459133246818004</v>
      </c>
      <c r="CF139" s="5">
        <f t="shared" si="241"/>
        <v>80.459133246817998</v>
      </c>
      <c r="CG139">
        <f t="shared" si="242"/>
        <v>28.999999999999996</v>
      </c>
      <c r="CI139" s="571">
        <f t="shared" si="243"/>
        <v>-50</v>
      </c>
      <c r="CJ139">
        <f t="shared" si="244"/>
        <v>-50</v>
      </c>
    </row>
    <row r="140" spans="5:88" x14ac:dyDescent="0.2">
      <c r="E140" s="174">
        <v>30</v>
      </c>
      <c r="F140" s="221">
        <f t="shared" si="245"/>
        <v>0.126</v>
      </c>
      <c r="G140" s="221">
        <f t="shared" si="183"/>
        <v>0.2175</v>
      </c>
      <c r="H140" s="221">
        <f t="shared" si="184"/>
        <v>1.9530000000000001</v>
      </c>
      <c r="I140" s="221">
        <f t="shared" si="185"/>
        <v>1.74</v>
      </c>
      <c r="J140" s="551">
        <f t="shared" si="186"/>
        <v>9</v>
      </c>
      <c r="K140" s="451">
        <f t="shared" si="187"/>
        <v>16.399999999999999</v>
      </c>
      <c r="L140" s="451">
        <f t="shared" si="188"/>
        <v>25.4</v>
      </c>
      <c r="M140" s="451"/>
      <c r="N140" s="221">
        <f t="shared" si="189"/>
        <v>0.64566929133858264</v>
      </c>
      <c r="O140" s="176">
        <f t="shared" si="190"/>
        <v>5.6698549287756563</v>
      </c>
      <c r="P140" s="176">
        <f t="shared" si="191"/>
        <v>9.552037446932033</v>
      </c>
      <c r="Q140" s="221">
        <f t="shared" si="192"/>
        <v>0.36579709217907458</v>
      </c>
      <c r="R140" s="221">
        <f t="shared" si="193"/>
        <v>0.70873186609695704</v>
      </c>
      <c r="S140" s="221">
        <f t="shared" si="194"/>
        <v>15.5</v>
      </c>
      <c r="T140" s="221">
        <f t="shared" si="195"/>
        <v>1.4122583559168926</v>
      </c>
      <c r="U140" s="221">
        <f t="shared" si="196"/>
        <v>1.4122583559168926</v>
      </c>
      <c r="V140" s="221">
        <f t="shared" si="197"/>
        <v>0.77501982946658765</v>
      </c>
      <c r="W140" s="201">
        <f t="shared" si="198"/>
        <v>350</v>
      </c>
      <c r="X140" s="451">
        <f t="shared" si="199"/>
        <v>350</v>
      </c>
      <c r="Z140" s="221">
        <f t="shared" si="200"/>
        <v>1.8447694038245221</v>
      </c>
      <c r="AA140" s="177">
        <f t="shared" si="201"/>
        <v>1.0123734533183355</v>
      </c>
      <c r="AB140" s="177">
        <f t="shared" si="202"/>
        <v>0.17283982577713339</v>
      </c>
      <c r="AC140" s="177"/>
      <c r="AD140" s="177">
        <f t="shared" si="203"/>
        <v>0.45</v>
      </c>
      <c r="AE140" s="555">
        <f t="shared" si="204"/>
        <v>682.92682926829275</v>
      </c>
      <c r="AF140" s="538">
        <f t="shared" si="205"/>
        <v>6.4574999999999994E-2</v>
      </c>
      <c r="AH140" s="177">
        <f t="shared" si="206"/>
        <v>1.5312615402869312</v>
      </c>
      <c r="AI140" s="177">
        <f t="shared" si="207"/>
        <v>1.5312615402869312</v>
      </c>
      <c r="AJ140" s="177">
        <f t="shared" si="208"/>
        <v>1.7268604002125416</v>
      </c>
      <c r="AL140" s="555">
        <f t="shared" si="209"/>
        <v>126</v>
      </c>
      <c r="AM140" s="469">
        <f t="shared" si="210"/>
        <v>350</v>
      </c>
      <c r="AO140" s="469">
        <f t="shared" si="211"/>
        <v>126</v>
      </c>
      <c r="AP140" s="469">
        <f t="shared" si="212"/>
        <v>350</v>
      </c>
      <c r="AR140" s="5">
        <f t="shared" si="249"/>
        <v>2.8571428571428572</v>
      </c>
      <c r="AS140" s="5">
        <f t="shared" si="246"/>
        <v>1.5312615402869312</v>
      </c>
      <c r="AT140" s="5">
        <f t="shared" si="247"/>
        <v>1.325881316855926</v>
      </c>
      <c r="AU140" s="177">
        <f t="shared" si="248"/>
        <v>0.53594153910042586</v>
      </c>
      <c r="AW140" s="5">
        <f t="shared" si="216"/>
        <v>1.2447674456526021</v>
      </c>
      <c r="AX140" s="5"/>
      <c r="AY140" s="5">
        <f t="shared" si="217"/>
        <v>4.1631173126550944</v>
      </c>
      <c r="AZ140" s="5"/>
      <c r="BA140" s="5">
        <f t="shared" si="218"/>
        <v>0.53280786251432577</v>
      </c>
      <c r="BB140" s="5"/>
      <c r="BC140" s="5"/>
      <c r="BD140" s="177">
        <f t="shared" si="219"/>
        <v>0.64721333527210889</v>
      </c>
      <c r="BE140" s="177">
        <f t="shared" si="220"/>
        <v>0.6022476236841906</v>
      </c>
      <c r="BF140" s="177">
        <f t="shared" si="221"/>
        <v>0.98872596981032124</v>
      </c>
      <c r="BG140" s="177"/>
      <c r="BH140" s="538">
        <f t="shared" si="222"/>
        <v>4.6077361148945194E-2</v>
      </c>
      <c r="BI140" s="538">
        <f t="shared" si="223"/>
        <v>6.806457546575409E-2</v>
      </c>
      <c r="BJ140" s="538">
        <f t="shared" si="224"/>
        <v>1.7499999999999998E-2</v>
      </c>
      <c r="BK140" s="538">
        <f t="shared" si="225"/>
        <v>5.0806349999999993E-2</v>
      </c>
      <c r="BL140">
        <f t="shared" si="226"/>
        <v>2.6099999999999999E-3</v>
      </c>
      <c r="BM140">
        <f t="shared" si="227"/>
        <v>1.4E-5</v>
      </c>
      <c r="BN140">
        <f t="shared" si="228"/>
        <v>0.18665912683449629</v>
      </c>
      <c r="BO140" s="469">
        <f t="shared" si="229"/>
        <v>185.05828661469928</v>
      </c>
      <c r="BP140" s="177">
        <f t="shared" si="230"/>
        <v>0.1134</v>
      </c>
      <c r="BQ140" s="177">
        <f t="shared" si="231"/>
        <v>0.19575000000000001</v>
      </c>
      <c r="BR140" s="538"/>
      <c r="BT140" s="469">
        <f t="shared" si="232"/>
        <v>309.15000000000003</v>
      </c>
      <c r="BU140" s="538">
        <f t="shared" si="233"/>
        <v>2.0106484864994268E-2</v>
      </c>
      <c r="BV140" s="538">
        <f t="shared" si="234"/>
        <v>8.7048528055981067E-2</v>
      </c>
      <c r="BW140" s="538">
        <f t="shared" si="235"/>
        <v>0.23461897041056645</v>
      </c>
      <c r="BX140" s="538">
        <f t="shared" si="236"/>
        <v>0</v>
      </c>
      <c r="BY140" s="538">
        <f t="shared" si="180"/>
        <v>0.35138142569378839</v>
      </c>
      <c r="BZ140" s="538">
        <f t="shared" si="250"/>
        <v>0.3417739833315418</v>
      </c>
      <c r="CA140" s="641">
        <f t="shared" si="237"/>
        <v>4.1033333333333345E-2</v>
      </c>
      <c r="CB140" s="469">
        <f t="shared" si="238"/>
        <v>1075.9627256902054</v>
      </c>
      <c r="CC140" s="177">
        <f t="shared" si="251"/>
        <v>0.88822388586161805</v>
      </c>
      <c r="CD140" s="5">
        <f t="shared" si="239"/>
        <v>3.6930000000000001</v>
      </c>
      <c r="CE140" s="177">
        <f t="shared" si="240"/>
        <v>0.80611646407353765</v>
      </c>
      <c r="CF140" s="5">
        <f t="shared" si="241"/>
        <v>80.61164640735376</v>
      </c>
      <c r="CG140">
        <f t="shared" si="242"/>
        <v>30</v>
      </c>
      <c r="CI140" s="571">
        <f t="shared" si="243"/>
        <v>-50</v>
      </c>
      <c r="CJ140">
        <f t="shared" si="244"/>
        <v>-50</v>
      </c>
    </row>
    <row r="141" spans="5:88" x14ac:dyDescent="0.2">
      <c r="E141" s="174">
        <v>31</v>
      </c>
      <c r="F141" s="221">
        <f t="shared" si="245"/>
        <v>0.13019999999999998</v>
      </c>
      <c r="G141" s="221">
        <f t="shared" si="183"/>
        <v>0.22475000000000001</v>
      </c>
      <c r="H141" s="221">
        <f t="shared" si="184"/>
        <v>2.0180999999999996</v>
      </c>
      <c r="I141" s="221">
        <f t="shared" si="185"/>
        <v>1.798</v>
      </c>
      <c r="J141" s="551">
        <f t="shared" si="186"/>
        <v>9</v>
      </c>
      <c r="K141" s="451">
        <f t="shared" si="187"/>
        <v>16.399999999999999</v>
      </c>
      <c r="L141" s="451">
        <f t="shared" si="188"/>
        <v>25.4</v>
      </c>
      <c r="M141" s="451"/>
      <c r="N141" s="221">
        <f t="shared" si="189"/>
        <v>0.64566929133858264</v>
      </c>
      <c r="O141" s="176">
        <f t="shared" si="190"/>
        <v>5.6698549287756563</v>
      </c>
      <c r="P141" s="176">
        <f t="shared" si="191"/>
        <v>9.552037446932033</v>
      </c>
      <c r="Q141" s="221">
        <f t="shared" si="192"/>
        <v>0.36579709217907458</v>
      </c>
      <c r="R141" s="221">
        <f t="shared" si="193"/>
        <v>0.70873186609695704</v>
      </c>
      <c r="S141" s="221">
        <f t="shared" si="194"/>
        <v>15.5</v>
      </c>
      <c r="T141" s="221">
        <f t="shared" si="195"/>
        <v>1.4593336344474557</v>
      </c>
      <c r="U141" s="221">
        <f t="shared" si="196"/>
        <v>1.4593336344474557</v>
      </c>
      <c r="V141" s="221">
        <f t="shared" si="197"/>
        <v>0.80085382378214043</v>
      </c>
      <c r="W141" s="201">
        <f t="shared" si="198"/>
        <v>350</v>
      </c>
      <c r="X141" s="451">
        <f t="shared" si="199"/>
        <v>350</v>
      </c>
      <c r="Z141" s="221">
        <f t="shared" si="200"/>
        <v>1.8447694038245221</v>
      </c>
      <c r="AA141" s="177">
        <f t="shared" si="201"/>
        <v>1.0123734533183355</v>
      </c>
      <c r="AB141" s="177">
        <f t="shared" si="202"/>
        <v>0.17283982577713339</v>
      </c>
      <c r="AC141" s="177"/>
      <c r="AD141" s="177">
        <f t="shared" si="203"/>
        <v>0.45</v>
      </c>
      <c r="AE141" s="555">
        <f t="shared" si="204"/>
        <v>705.69105691056893</v>
      </c>
      <c r="AF141" s="538">
        <f t="shared" si="205"/>
        <v>6.4574999999999994E-2</v>
      </c>
      <c r="AH141" s="177">
        <f t="shared" si="206"/>
        <v>1.5565733631668746</v>
      </c>
      <c r="AI141" s="177">
        <f t="shared" si="207"/>
        <v>1.5565733631668746</v>
      </c>
      <c r="AJ141" s="177">
        <f t="shared" si="208"/>
        <v>1.7456098986421291</v>
      </c>
      <c r="AL141" s="555">
        <f t="shared" si="209"/>
        <v>130.19999999999999</v>
      </c>
      <c r="AM141" s="469">
        <f t="shared" si="210"/>
        <v>350</v>
      </c>
      <c r="AO141" s="469">
        <f t="shared" si="211"/>
        <v>130.19999999999999</v>
      </c>
      <c r="AP141" s="469">
        <f t="shared" si="212"/>
        <v>350</v>
      </c>
      <c r="AR141" s="5">
        <f t="shared" si="249"/>
        <v>2.8571428571428572</v>
      </c>
      <c r="AS141" s="5">
        <f t="shared" si="246"/>
        <v>1.5565733631668748</v>
      </c>
      <c r="AT141" s="5">
        <f t="shared" si="247"/>
        <v>1.3005694939759824</v>
      </c>
      <c r="AU141" s="177">
        <f t="shared" si="248"/>
        <v>0.54480067710840618</v>
      </c>
      <c r="AW141" s="5">
        <f t="shared" si="216"/>
        <v>1.3075216250601747</v>
      </c>
      <c r="AX141" s="5"/>
      <c r="AY141" s="5">
        <f t="shared" si="217"/>
        <v>4.3729982921469386</v>
      </c>
      <c r="AZ141" s="5"/>
      <c r="BA141" s="5">
        <f t="shared" si="218"/>
        <v>0.54005746827015011</v>
      </c>
      <c r="BB141" s="5"/>
      <c r="BC141" s="5"/>
      <c r="BD141" s="177">
        <f t="shared" si="219"/>
        <v>0.66332716977488848</v>
      </c>
      <c r="BE141" s="177">
        <f t="shared" si="220"/>
        <v>0.60633099663356138</v>
      </c>
      <c r="BF141" s="177">
        <f t="shared" si="221"/>
        <v>0.99542975197680916</v>
      </c>
      <c r="BG141" s="177"/>
      <c r="BH141" s="538">
        <f t="shared" si="222"/>
        <v>4.8400322757772007E-2</v>
      </c>
      <c r="BI141" s="538">
        <f t="shared" si="223"/>
        <v>6.9189685992767563E-2</v>
      </c>
      <c r="BJ141" s="538">
        <f t="shared" si="224"/>
        <v>1.7499999999999998E-2</v>
      </c>
      <c r="BK141" s="538">
        <f t="shared" si="225"/>
        <v>5.0806349999999993E-2</v>
      </c>
      <c r="BL141">
        <f t="shared" si="226"/>
        <v>2.6099999999999999E-3</v>
      </c>
      <c r="BM141">
        <f t="shared" si="227"/>
        <v>1.4E-5</v>
      </c>
      <c r="BN141">
        <f t="shared" si="228"/>
        <v>0.19021898759326403</v>
      </c>
      <c r="BO141" s="469">
        <f t="shared" si="229"/>
        <v>188.50635875053956</v>
      </c>
      <c r="BP141" s="177">
        <f t="shared" si="230"/>
        <v>0.11717999999999999</v>
      </c>
      <c r="BQ141" s="177">
        <f t="shared" si="231"/>
        <v>0.20227500000000001</v>
      </c>
      <c r="BR141" s="538"/>
      <c r="BT141" s="469">
        <f t="shared" si="232"/>
        <v>319.45499999999998</v>
      </c>
      <c r="BU141" s="538">
        <f t="shared" si="233"/>
        <v>2.112014083975506E-2</v>
      </c>
      <c r="BV141" s="538">
        <f t="shared" si="234"/>
        <v>8.8232946594875475E-2</v>
      </c>
      <c r="BW141" s="538">
        <f t="shared" si="235"/>
        <v>0.23781129386894681</v>
      </c>
      <c r="BX141" s="538">
        <f t="shared" si="236"/>
        <v>0</v>
      </c>
      <c r="BY141" s="538">
        <f t="shared" si="180"/>
        <v>0.35708166410303183</v>
      </c>
      <c r="BZ141" s="538">
        <f t="shared" si="250"/>
        <v>0.34716438130357735</v>
      </c>
      <c r="CA141" s="641">
        <f t="shared" si="237"/>
        <v>4.2401111111111112E-2</v>
      </c>
      <c r="CB141" s="469">
        <f t="shared" si="238"/>
        <v>1093.8115378212976</v>
      </c>
      <c r="CC141" s="177">
        <f t="shared" si="251"/>
        <v>0.90915676280740687</v>
      </c>
      <c r="CD141" s="5">
        <f t="shared" si="239"/>
        <v>3.8160999999999996</v>
      </c>
      <c r="CE141" s="177">
        <f t="shared" si="240"/>
        <v>0.80759632577780782</v>
      </c>
      <c r="CF141" s="5">
        <f t="shared" si="241"/>
        <v>80.759632577780778</v>
      </c>
      <c r="CG141">
        <f t="shared" si="242"/>
        <v>30.999999999999993</v>
      </c>
      <c r="CI141" s="571">
        <f t="shared" si="243"/>
        <v>-50</v>
      </c>
      <c r="CJ141">
        <f t="shared" si="244"/>
        <v>-50</v>
      </c>
    </row>
    <row r="142" spans="5:88" x14ac:dyDescent="0.2">
      <c r="E142" s="174">
        <v>32</v>
      </c>
      <c r="F142" s="221">
        <f t="shared" si="245"/>
        <v>0.13439999999999999</v>
      </c>
      <c r="G142" s="221">
        <f t="shared" ref="G142:G173" si="252">IF(PLOT_TYPE=1, E142/100*Iout2, min_I*EXP(Q142*rr/100))</f>
        <v>0.23199999999999998</v>
      </c>
      <c r="H142" s="221">
        <f t="shared" ref="H142:H173" si="253">F142*Vout</f>
        <v>2.0831999999999997</v>
      </c>
      <c r="I142" s="221">
        <f t="shared" ref="I142:I173" si="254">Vout2*G142</f>
        <v>1.8559999999999999</v>
      </c>
      <c r="J142" s="551">
        <f t="shared" si="186"/>
        <v>9</v>
      </c>
      <c r="K142" s="451">
        <f t="shared" si="187"/>
        <v>16.399999999999999</v>
      </c>
      <c r="L142" s="451">
        <f t="shared" si="188"/>
        <v>25.4</v>
      </c>
      <c r="M142" s="451"/>
      <c r="N142" s="221">
        <f t="shared" si="189"/>
        <v>0.64566929133858264</v>
      </c>
      <c r="O142" s="176">
        <f t="shared" ref="O142:O173" si="255">N142*J142*Isw_max*0.5*Efficiency*Pout/(Pout+Pout2)</f>
        <v>5.6698549287756563</v>
      </c>
      <c r="P142" s="176">
        <f t="shared" ref="P142:P173" si="256">N142*J142*Isw_max*0.5*Efficiency*(Pout2/Pout_total)</f>
        <v>9.552037446932033</v>
      </c>
      <c r="Q142" s="221">
        <f t="shared" si="192"/>
        <v>0.36579709217907458</v>
      </c>
      <c r="R142" s="221">
        <f t="shared" ref="R142:R173" si="257">O142/Vout2</f>
        <v>0.70873186609695704</v>
      </c>
      <c r="S142" s="221">
        <f t="shared" ref="S142:S173" si="258">MIN(Vout,O142/F142)</f>
        <v>15.5</v>
      </c>
      <c r="T142" s="221">
        <f t="shared" ref="T142:T173" si="259">MIN(2*(Vout*F142+Vout2*G142)/(Efficiency*J142*N142), Isw_max)</f>
        <v>1.5064089129780187</v>
      </c>
      <c r="U142" s="221">
        <f t="shared" si="196"/>
        <v>1.5064089129780187</v>
      </c>
      <c r="V142" s="221">
        <f t="shared" si="197"/>
        <v>0.82668781809769321</v>
      </c>
      <c r="W142" s="201">
        <f t="shared" si="198"/>
        <v>350</v>
      </c>
      <c r="X142" s="451">
        <f t="shared" si="199"/>
        <v>350</v>
      </c>
      <c r="Z142" s="221">
        <f t="shared" si="200"/>
        <v>1.8447694038245221</v>
      </c>
      <c r="AA142" s="177">
        <f t="shared" si="201"/>
        <v>1.0123734533183355</v>
      </c>
      <c r="AB142" s="177">
        <f t="shared" ref="AB142:AB173" si="260">0.5*AA142*Z142*Nps*W142/1000*(Pout/(Pout+Pout2))</f>
        <v>0.17283982577713339</v>
      </c>
      <c r="AC142" s="177"/>
      <c r="AD142" s="177">
        <f t="shared" si="203"/>
        <v>0.45</v>
      </c>
      <c r="AE142" s="555">
        <f t="shared" ref="AE142:AE173" si="261">MAX(10, F142/(0.5*AD142/1000000*Isw_min*Nps)/1000*Pout_total/Pout)</f>
        <v>728.45528455284557</v>
      </c>
      <c r="AF142" s="538">
        <f t="shared" ref="AF142:AF173" si="262">0.5*AD142/1000000*Isw_min*Nps*W142*1000*(Pout/Pout_total)</f>
        <v>6.4574999999999994E-2</v>
      </c>
      <c r="AH142" s="177">
        <f t="shared" ref="AH142:AH173" si="263">SQRT((H142+I142)/(0.5*L*Fsw_DCM))</f>
        <v>1.5814801184584537</v>
      </c>
      <c r="AI142" s="177">
        <f t="shared" ref="AI142:AI173" si="264">MAX(IF(F142&gt;AB142,T142,AH142),Isw_min)</f>
        <v>1.5814801184584537</v>
      </c>
      <c r="AJ142" s="177">
        <f t="shared" ref="AJ142:AJ173" si="265">IF(F142&gt;AF142, (AI142-Isw_min)/1.08*0.8+1.2, AE142*0.2/350+1)</f>
        <v>1.764059347006262</v>
      </c>
      <c r="AL142" s="555">
        <f t="shared" ref="AL142:AL173" si="266">F142*1000</f>
        <v>134.4</v>
      </c>
      <c r="AM142" s="469">
        <f t="shared" ref="AM142:AM173" si="267">IF(F142&gt;AF142, X142, AE142)</f>
        <v>350</v>
      </c>
      <c r="AO142" s="469">
        <f t="shared" si="211"/>
        <v>134.4</v>
      </c>
      <c r="AP142" s="469">
        <f t="shared" si="212"/>
        <v>350</v>
      </c>
      <c r="AR142" s="5">
        <f t="shared" si="249"/>
        <v>2.8571428571428572</v>
      </c>
      <c r="AS142" s="5">
        <f t="shared" si="246"/>
        <v>1.5814801184584537</v>
      </c>
      <c r="AT142" s="5">
        <f t="shared" si="247"/>
        <v>1.2756627386844035</v>
      </c>
      <c r="AU142" s="177">
        <f t="shared" si="248"/>
        <v>0.5535180414604588</v>
      </c>
      <c r="AW142" s="5">
        <f t="shared" si="216"/>
        <v>1.371296309166556</v>
      </c>
      <c r="AX142" s="5"/>
      <c r="AY142" s="5">
        <f t="shared" si="217"/>
        <v>4.5862923435295153</v>
      </c>
      <c r="AZ142" s="5"/>
      <c r="BA142" s="5">
        <f t="shared" si="218"/>
        <v>0.54680259613731441</v>
      </c>
      <c r="BB142" s="5"/>
      <c r="BC142" s="5"/>
      <c r="BD142" s="177">
        <f t="shared" si="219"/>
        <v>0.67931155142440547</v>
      </c>
      <c r="BE142" s="177">
        <f t="shared" si="220"/>
        <v>0.61010567756290301</v>
      </c>
      <c r="BF142" s="177">
        <f t="shared" si="221"/>
        <v>1.0016267462293675</v>
      </c>
      <c r="BG142" s="177"/>
      <c r="BH142" s="538">
        <f t="shared" si="222"/>
        <v>5.0761060228849596E-2</v>
      </c>
      <c r="BI142" s="538">
        <f t="shared" si="223"/>
        <v>7.0296791265478262E-2</v>
      </c>
      <c r="BJ142" s="538">
        <f t="shared" si="224"/>
        <v>1.7499999999999998E-2</v>
      </c>
      <c r="BK142" s="538">
        <f t="shared" si="225"/>
        <v>5.0806349999999993E-2</v>
      </c>
      <c r="BL142">
        <f t="shared" si="226"/>
        <v>2.6099999999999999E-3</v>
      </c>
      <c r="BM142">
        <f t="shared" ref="BM142:BM173" si="268">(J142-Vdd)*Qg*AM142</f>
        <v>1.4E-5</v>
      </c>
      <c r="BN142">
        <f t="shared" ref="BN142:BN173" si="269">(BI142+BJ142+BK142+BL142+BM142+BH142*(1+RdsonTC*(Ta-25)))/(1-BH142*RdsonTC*ThetaJA)</f>
        <v>0.19380324947263838</v>
      </c>
      <c r="BO142" s="469">
        <f t="shared" si="229"/>
        <v>191.97420149432784</v>
      </c>
      <c r="BP142" s="177">
        <f t="shared" si="230"/>
        <v>0.12096</v>
      </c>
      <c r="BQ142" s="177">
        <f t="shared" si="231"/>
        <v>0.20879999999999999</v>
      </c>
      <c r="BR142" s="538"/>
      <c r="BT142" s="469">
        <f t="shared" si="232"/>
        <v>329.76</v>
      </c>
      <c r="BU142" s="538">
        <f t="shared" si="233"/>
        <v>2.2150280827134369E-2</v>
      </c>
      <c r="BV142" s="538">
        <f t="shared" si="234"/>
        <v>8.9334945070677352E-2</v>
      </c>
      <c r="BW142" s="538">
        <f t="shared" si="235"/>
        <v>0.24078147330288713</v>
      </c>
      <c r="BX142" s="538">
        <f t="shared" si="236"/>
        <v>0</v>
      </c>
      <c r="BY142" s="538">
        <f t="shared" si="180"/>
        <v>0.36248192407376967</v>
      </c>
      <c r="BZ142" s="538">
        <f t="shared" si="250"/>
        <v>0.35226669920069886</v>
      </c>
      <c r="CA142" s="641">
        <f t="shared" ref="CA142:CA173" si="270">0.5*Lleak*0.000000001*AI142^2*AM142*1000</f>
        <v>4.3768888888888892E-2</v>
      </c>
      <c r="CB142" s="469">
        <f t="shared" si="238"/>
        <v>1110.7842113640565</v>
      </c>
      <c r="CC142" s="177">
        <f t="shared" si="251"/>
        <v>0.92981406243529685</v>
      </c>
      <c r="CD142" s="5">
        <f t="shared" si="239"/>
        <v>3.9391999999999996</v>
      </c>
      <c r="CE142" s="177">
        <f t="shared" si="240"/>
        <v>0.8090344265774746</v>
      </c>
      <c r="CF142" s="5">
        <f t="shared" si="241"/>
        <v>80.903442657747462</v>
      </c>
      <c r="CG142">
        <f t="shared" si="242"/>
        <v>32</v>
      </c>
      <c r="CI142" s="571">
        <f t="shared" ref="CI142:CI173" si="271">IF(ABS(F142-Ioutmax_Vinmin)&lt;Iout/200, AM142, -50)</f>
        <v>-50</v>
      </c>
      <c r="CJ142">
        <f t="shared" ref="CJ142:CJ173" si="272">IF(ABS(F142-Ioutmax_Vinmin)&lt;Iout/200, (O142+P142)*CE142, -50)</f>
        <v>-50</v>
      </c>
    </row>
    <row r="143" spans="5:88" x14ac:dyDescent="0.2">
      <c r="E143" s="174">
        <v>33</v>
      </c>
      <c r="F143" s="221">
        <f t="shared" ref="F143:F174" si="273">IF(PLOT_TYPE=1, E143/100*Iout_max, min_I*EXP(O143*rr/100))</f>
        <v>0.1386</v>
      </c>
      <c r="G143" s="221">
        <f t="shared" si="252"/>
        <v>0.23924999999999999</v>
      </c>
      <c r="H143" s="221">
        <f t="shared" si="253"/>
        <v>2.1482999999999999</v>
      </c>
      <c r="I143" s="221">
        <f t="shared" si="254"/>
        <v>1.9139999999999999</v>
      </c>
      <c r="J143" s="551">
        <f t="shared" si="186"/>
        <v>9</v>
      </c>
      <c r="K143" s="451">
        <f t="shared" si="187"/>
        <v>16.399999999999999</v>
      </c>
      <c r="L143" s="451">
        <f t="shared" si="188"/>
        <v>25.4</v>
      </c>
      <c r="M143" s="451"/>
      <c r="N143" s="221">
        <f t="shared" si="189"/>
        <v>0.64566929133858264</v>
      </c>
      <c r="O143" s="176">
        <f t="shared" si="255"/>
        <v>5.6698549287756563</v>
      </c>
      <c r="P143" s="176">
        <f t="shared" si="256"/>
        <v>9.552037446932033</v>
      </c>
      <c r="Q143" s="221">
        <f t="shared" si="192"/>
        <v>0.36579709217907458</v>
      </c>
      <c r="R143" s="221">
        <f t="shared" si="257"/>
        <v>0.70873186609695704</v>
      </c>
      <c r="S143" s="221">
        <f t="shared" si="258"/>
        <v>15.5</v>
      </c>
      <c r="T143" s="221">
        <f t="shared" si="259"/>
        <v>1.5534841915085817</v>
      </c>
      <c r="U143" s="221">
        <f t="shared" si="196"/>
        <v>1.5534841915085817</v>
      </c>
      <c r="V143" s="221">
        <f t="shared" si="197"/>
        <v>0.8525218124132462</v>
      </c>
      <c r="W143" s="201">
        <f t="shared" si="198"/>
        <v>350</v>
      </c>
      <c r="X143" s="451">
        <f t="shared" si="199"/>
        <v>350</v>
      </c>
      <c r="Z143" s="221">
        <f t="shared" si="200"/>
        <v>1.8447694038245221</v>
      </c>
      <c r="AA143" s="177">
        <f t="shared" si="201"/>
        <v>1.0123734533183355</v>
      </c>
      <c r="AB143" s="177">
        <f t="shared" si="260"/>
        <v>0.17283982577713339</v>
      </c>
      <c r="AC143" s="177"/>
      <c r="AD143" s="177">
        <f t="shared" si="203"/>
        <v>0.45</v>
      </c>
      <c r="AE143" s="555">
        <f t="shared" si="261"/>
        <v>751.21951219512187</v>
      </c>
      <c r="AF143" s="538">
        <f t="shared" si="262"/>
        <v>6.4574999999999994E-2</v>
      </c>
      <c r="AH143" s="177">
        <f t="shared" si="263"/>
        <v>1.6060006523155883</v>
      </c>
      <c r="AI143" s="177">
        <f t="shared" si="264"/>
        <v>1.6060006523155883</v>
      </c>
      <c r="AJ143" s="177">
        <f t="shared" si="265"/>
        <v>1.7822227054189543</v>
      </c>
      <c r="AL143" s="555">
        <f t="shared" si="266"/>
        <v>138.6</v>
      </c>
      <c r="AM143" s="469">
        <f t="shared" si="267"/>
        <v>350</v>
      </c>
      <c r="AO143" s="469">
        <f t="shared" si="211"/>
        <v>138.6</v>
      </c>
      <c r="AP143" s="469">
        <f t="shared" si="212"/>
        <v>350</v>
      </c>
      <c r="AR143" s="5">
        <f t="shared" si="249"/>
        <v>2.8571428571428572</v>
      </c>
      <c r="AS143" s="5">
        <f t="shared" si="246"/>
        <v>1.6060006523155883</v>
      </c>
      <c r="AT143" s="5">
        <f t="shared" si="247"/>
        <v>1.2511422048272689</v>
      </c>
      <c r="AU143" s="177">
        <f t="shared" si="248"/>
        <v>0.56210022831045592</v>
      </c>
      <c r="AW143" s="5">
        <f t="shared" si="216"/>
        <v>1.4360754220060681</v>
      </c>
      <c r="AX143" s="5"/>
      <c r="AY143" s="5">
        <f t="shared" si="217"/>
        <v>4.8029457008313061</v>
      </c>
      <c r="AZ143" s="5"/>
      <c r="BA143" s="5">
        <f t="shared" si="218"/>
        <v>0.55305119313383155</v>
      </c>
      <c r="BB143" s="5"/>
      <c r="BC143" s="5"/>
      <c r="BD143" s="177">
        <f t="shared" si="219"/>
        <v>0.69517151893144535</v>
      </c>
      <c r="BE143" s="177">
        <f t="shared" si="220"/>
        <v>0.61358177206675468</v>
      </c>
      <c r="BF143" s="177">
        <f t="shared" si="221"/>
        <v>1.0073335431917998</v>
      </c>
      <c r="BG143" s="177"/>
      <c r="BH143" s="538">
        <f t="shared" si="222"/>
        <v>5.3158978480679818E-2</v>
      </c>
      <c r="BI143" s="538">
        <f t="shared" si="223"/>
        <v>7.1386728995427889E-2</v>
      </c>
      <c r="BJ143" s="538">
        <f t="shared" si="224"/>
        <v>1.7499999999999998E-2</v>
      </c>
      <c r="BK143" s="538">
        <f t="shared" si="225"/>
        <v>5.0806349999999993E-2</v>
      </c>
      <c r="BL143">
        <f t="shared" si="226"/>
        <v>2.6099999999999999E-3</v>
      </c>
      <c r="BM143">
        <f t="shared" si="268"/>
        <v>1.4E-5</v>
      </c>
      <c r="BN143">
        <f t="shared" si="269"/>
        <v>0.19741224350227524</v>
      </c>
      <c r="BO143" s="469">
        <f t="shared" si="229"/>
        <v>195.4620574761077</v>
      </c>
      <c r="BP143" s="177">
        <f t="shared" si="230"/>
        <v>0.12474</v>
      </c>
      <c r="BQ143" s="177">
        <f t="shared" si="231"/>
        <v>0.21532499999999999</v>
      </c>
      <c r="BR143" s="538"/>
      <c r="BT143" s="469">
        <f t="shared" si="232"/>
        <v>340.065</v>
      </c>
      <c r="BU143" s="538">
        <f t="shared" si="233"/>
        <v>2.3196645155205739E-2</v>
      </c>
      <c r="BV143" s="538">
        <f t="shared" si="234"/>
        <v>9.0355821843018935E-2</v>
      </c>
      <c r="BW143" s="538">
        <f t="shared" si="235"/>
        <v>0.24353300813744291</v>
      </c>
      <c r="BX143" s="538">
        <f t="shared" si="236"/>
        <v>0</v>
      </c>
      <c r="BY143" s="538">
        <f t="shared" si="180"/>
        <v>0.36758625205308476</v>
      </c>
      <c r="BZ143" s="538">
        <f t="shared" si="250"/>
        <v>0.35708547513566757</v>
      </c>
      <c r="CA143" s="641">
        <f t="shared" si="270"/>
        <v>4.5136666666666672E-2</v>
      </c>
      <c r="CB143" s="469">
        <f t="shared" si="238"/>
        <v>1126.8938689910865</v>
      </c>
      <c r="CC143" s="177">
        <f t="shared" si="251"/>
        <v>0.95020016222202675</v>
      </c>
      <c r="CD143" s="5">
        <f t="shared" si="239"/>
        <v>4.0622999999999996</v>
      </c>
      <c r="CE143" s="177">
        <f t="shared" si="240"/>
        <v>0.81043388898349566</v>
      </c>
      <c r="CF143" s="5">
        <f t="shared" si="241"/>
        <v>81.043388898349562</v>
      </c>
      <c r="CG143">
        <f t="shared" si="242"/>
        <v>33</v>
      </c>
      <c r="CI143" s="571">
        <f t="shared" si="271"/>
        <v>-50</v>
      </c>
      <c r="CJ143">
        <f t="shared" si="272"/>
        <v>-50</v>
      </c>
    </row>
    <row r="144" spans="5:88" x14ac:dyDescent="0.2">
      <c r="E144" s="174">
        <v>34</v>
      </c>
      <c r="F144" s="221">
        <f t="shared" si="273"/>
        <v>0.14280000000000001</v>
      </c>
      <c r="G144" s="221">
        <f t="shared" si="252"/>
        <v>0.2465</v>
      </c>
      <c r="H144" s="221">
        <f t="shared" si="253"/>
        <v>2.2134</v>
      </c>
      <c r="I144" s="221">
        <f t="shared" si="254"/>
        <v>1.972</v>
      </c>
      <c r="J144" s="551">
        <f t="shared" si="186"/>
        <v>9</v>
      </c>
      <c r="K144" s="451">
        <f t="shared" si="187"/>
        <v>16.399999999999999</v>
      </c>
      <c r="L144" s="451">
        <f t="shared" si="188"/>
        <v>25.4</v>
      </c>
      <c r="M144" s="451"/>
      <c r="N144" s="221">
        <f t="shared" si="189"/>
        <v>0.64566929133858264</v>
      </c>
      <c r="O144" s="176">
        <f t="shared" si="255"/>
        <v>5.6698549287756563</v>
      </c>
      <c r="P144" s="176">
        <f t="shared" si="256"/>
        <v>9.552037446932033</v>
      </c>
      <c r="Q144" s="221">
        <f t="shared" si="192"/>
        <v>0.36579709217907458</v>
      </c>
      <c r="R144" s="221">
        <f t="shared" si="257"/>
        <v>0.70873186609695704</v>
      </c>
      <c r="S144" s="221">
        <f t="shared" si="258"/>
        <v>15.5</v>
      </c>
      <c r="T144" s="221">
        <f t="shared" si="259"/>
        <v>1.6005594700391448</v>
      </c>
      <c r="U144" s="221">
        <f t="shared" si="196"/>
        <v>1.600559470039145</v>
      </c>
      <c r="V144" s="221">
        <f t="shared" si="197"/>
        <v>0.87835580672879898</v>
      </c>
      <c r="W144" s="201">
        <f t="shared" si="198"/>
        <v>350</v>
      </c>
      <c r="X144" s="451">
        <f t="shared" si="199"/>
        <v>350</v>
      </c>
      <c r="Z144" s="221">
        <f t="shared" si="200"/>
        <v>1.8447694038245221</v>
      </c>
      <c r="AA144" s="177">
        <f t="shared" si="201"/>
        <v>1.0123734533183355</v>
      </c>
      <c r="AB144" s="177">
        <f t="shared" si="260"/>
        <v>0.17283982577713339</v>
      </c>
      <c r="AC144" s="177"/>
      <c r="AD144" s="177">
        <f t="shared" si="203"/>
        <v>0.45</v>
      </c>
      <c r="AE144" s="555">
        <f t="shared" si="261"/>
        <v>773.9837398373985</v>
      </c>
      <c r="AF144" s="538">
        <f t="shared" si="262"/>
        <v>6.4574999999999994E-2</v>
      </c>
      <c r="AH144" s="177">
        <f t="shared" si="263"/>
        <v>1.6301523933046336</v>
      </c>
      <c r="AI144" s="177">
        <f t="shared" si="264"/>
        <v>1.6301523933046336</v>
      </c>
      <c r="AJ144" s="177">
        <f t="shared" si="265"/>
        <v>1.8001128839293581</v>
      </c>
      <c r="AL144" s="555">
        <f t="shared" si="266"/>
        <v>142.80000000000001</v>
      </c>
      <c r="AM144" s="469">
        <f t="shared" si="267"/>
        <v>350</v>
      </c>
      <c r="AO144" s="469">
        <f t="shared" si="211"/>
        <v>142.80000000000001</v>
      </c>
      <c r="AP144" s="469">
        <f t="shared" si="212"/>
        <v>350</v>
      </c>
      <c r="AR144" s="5">
        <f t="shared" si="249"/>
        <v>2.8571428571428572</v>
      </c>
      <c r="AS144" s="5">
        <f t="shared" si="246"/>
        <v>1.6301523933046336</v>
      </c>
      <c r="AT144" s="5">
        <f t="shared" si="247"/>
        <v>1.2269904638382236</v>
      </c>
      <c r="AU144" s="177">
        <f t="shared" si="248"/>
        <v>0.57055333765662175</v>
      </c>
      <c r="AW144" s="5">
        <f t="shared" si="216"/>
        <v>1.5018436242832367</v>
      </c>
      <c r="AX144" s="5"/>
      <c r="AY144" s="5">
        <f t="shared" si="217"/>
        <v>5.0229070618699021</v>
      </c>
      <c r="AZ144" s="5"/>
      <c r="BA144" s="5">
        <f t="shared" si="218"/>
        <v>0.55881084211101306</v>
      </c>
      <c r="BB144" s="5"/>
      <c r="BC144" s="5"/>
      <c r="BD144" s="177">
        <f t="shared" si="219"/>
        <v>0.71091176860148386</v>
      </c>
      <c r="BE144" s="177">
        <f t="shared" si="220"/>
        <v>0.61676851335233696</v>
      </c>
      <c r="BF144" s="177">
        <f t="shared" si="221"/>
        <v>1.0125653012664058</v>
      </c>
      <c r="BG144" s="177"/>
      <c r="BH144" s="538">
        <f t="shared" si="222"/>
        <v>5.5593509700969879E-2</v>
      </c>
      <c r="BI144" s="538">
        <f t="shared" si="223"/>
        <v>7.2460273882390958E-2</v>
      </c>
      <c r="BJ144" s="538">
        <f t="shared" si="224"/>
        <v>1.7499999999999998E-2</v>
      </c>
      <c r="BK144" s="538">
        <f t="shared" si="225"/>
        <v>5.0806349999999993E-2</v>
      </c>
      <c r="BL144">
        <f t="shared" si="226"/>
        <v>2.6099999999999999E-3</v>
      </c>
      <c r="BM144">
        <f t="shared" si="268"/>
        <v>1.4E-5</v>
      </c>
      <c r="BN144">
        <f t="shared" si="269"/>
        <v>0.20104626564066019</v>
      </c>
      <c r="BO144" s="469">
        <f t="shared" si="229"/>
        <v>198.97013358336082</v>
      </c>
      <c r="BP144" s="177">
        <f t="shared" si="230"/>
        <v>0.12852000000000002</v>
      </c>
      <c r="BQ144" s="177">
        <f t="shared" si="231"/>
        <v>0.22184999999999999</v>
      </c>
      <c r="BR144" s="538"/>
      <c r="BT144" s="469">
        <f t="shared" si="232"/>
        <v>350.37</v>
      </c>
      <c r="BU144" s="538">
        <f t="shared" si="233"/>
        <v>2.425898605133231E-2</v>
      </c>
      <c r="BV144" s="538">
        <f t="shared" si="234"/>
        <v>9.1296815775084444E-2</v>
      </c>
      <c r="BW144" s="538">
        <f t="shared" si="235"/>
        <v>0.2460692374388945</v>
      </c>
      <c r="BX144" s="538">
        <f t="shared" si="236"/>
        <v>0</v>
      </c>
      <c r="BY144" s="538">
        <f t="shared" si="180"/>
        <v>0.3723985299052579</v>
      </c>
      <c r="BZ144" s="538">
        <f t="shared" si="250"/>
        <v>0.36162503926531125</v>
      </c>
      <c r="CA144" s="641">
        <f t="shared" si="270"/>
        <v>4.6504444444444439E-2</v>
      </c>
      <c r="CB144" s="469">
        <f t="shared" si="238"/>
        <v>1142.153052880325</v>
      </c>
      <c r="CC144" s="177">
        <f t="shared" si="251"/>
        <v>0.97031923999036263</v>
      </c>
      <c r="CD144" s="5">
        <f t="shared" si="239"/>
        <v>4.1853999999999996</v>
      </c>
      <c r="CE144" s="177">
        <f t="shared" si="240"/>
        <v>0.8117975019927236</v>
      </c>
      <c r="CF144" s="5">
        <f t="shared" si="241"/>
        <v>81.179750199272362</v>
      </c>
      <c r="CG144">
        <f t="shared" si="242"/>
        <v>34</v>
      </c>
      <c r="CI144" s="571">
        <f t="shared" si="271"/>
        <v>-50</v>
      </c>
      <c r="CJ144">
        <f t="shared" si="272"/>
        <v>-50</v>
      </c>
    </row>
    <row r="145" spans="5:88" x14ac:dyDescent="0.2">
      <c r="E145" s="174">
        <v>35</v>
      </c>
      <c r="F145" s="221">
        <f t="shared" si="273"/>
        <v>0.14699999999999999</v>
      </c>
      <c r="G145" s="221">
        <f t="shared" si="252"/>
        <v>0.25374999999999998</v>
      </c>
      <c r="H145" s="221">
        <f t="shared" si="253"/>
        <v>2.2784999999999997</v>
      </c>
      <c r="I145" s="221">
        <f t="shared" si="254"/>
        <v>2.0299999999999998</v>
      </c>
      <c r="J145" s="551">
        <f t="shared" si="186"/>
        <v>9</v>
      </c>
      <c r="K145" s="451">
        <f t="shared" si="187"/>
        <v>16.399999999999999</v>
      </c>
      <c r="L145" s="451">
        <f t="shared" si="188"/>
        <v>25.4</v>
      </c>
      <c r="M145" s="451"/>
      <c r="N145" s="221">
        <f t="shared" si="189"/>
        <v>0.64566929133858264</v>
      </c>
      <c r="O145" s="176">
        <f t="shared" si="255"/>
        <v>5.6698549287756563</v>
      </c>
      <c r="P145" s="176">
        <f t="shared" si="256"/>
        <v>9.552037446932033</v>
      </c>
      <c r="Q145" s="221">
        <f t="shared" si="192"/>
        <v>0.36579709217907458</v>
      </c>
      <c r="R145" s="221">
        <f t="shared" si="257"/>
        <v>0.70873186609695704</v>
      </c>
      <c r="S145" s="221">
        <f t="shared" si="258"/>
        <v>15.5</v>
      </c>
      <c r="T145" s="221">
        <f t="shared" si="259"/>
        <v>1.647634748569708</v>
      </c>
      <c r="U145" s="221">
        <f t="shared" si="196"/>
        <v>1.6476347485697083</v>
      </c>
      <c r="V145" s="221">
        <f t="shared" si="197"/>
        <v>0.90418980104435209</v>
      </c>
      <c r="W145" s="201">
        <f t="shared" si="198"/>
        <v>350</v>
      </c>
      <c r="X145" s="451">
        <f t="shared" si="199"/>
        <v>350</v>
      </c>
      <c r="Z145" s="221">
        <f t="shared" si="200"/>
        <v>1.8447694038245221</v>
      </c>
      <c r="AA145" s="177">
        <f t="shared" si="201"/>
        <v>1.0123734533183355</v>
      </c>
      <c r="AB145" s="177">
        <f t="shared" si="260"/>
        <v>0.17283982577713339</v>
      </c>
      <c r="AC145" s="177"/>
      <c r="AD145" s="177">
        <f t="shared" si="203"/>
        <v>0.45</v>
      </c>
      <c r="AE145" s="555">
        <f t="shared" si="261"/>
        <v>796.7479674796748</v>
      </c>
      <c r="AF145" s="538">
        <f t="shared" si="262"/>
        <v>6.4574999999999994E-2</v>
      </c>
      <c r="AH145" s="177">
        <f t="shared" si="263"/>
        <v>1.6539514973407037</v>
      </c>
      <c r="AI145" s="177">
        <f t="shared" si="264"/>
        <v>1.6539514973407037</v>
      </c>
      <c r="AJ145" s="177">
        <f t="shared" si="265"/>
        <v>1.8177418498820028</v>
      </c>
      <c r="AL145" s="555">
        <f t="shared" si="266"/>
        <v>147</v>
      </c>
      <c r="AM145" s="469">
        <f t="shared" si="267"/>
        <v>350</v>
      </c>
      <c r="AO145" s="469">
        <f t="shared" si="211"/>
        <v>147</v>
      </c>
      <c r="AP145" s="469">
        <f t="shared" si="212"/>
        <v>350</v>
      </c>
      <c r="AR145" s="5">
        <f t="shared" si="249"/>
        <v>2.8571428571428572</v>
      </c>
      <c r="AS145" s="5">
        <f t="shared" si="246"/>
        <v>1.6539514973407039</v>
      </c>
      <c r="AT145" s="5">
        <f t="shared" si="247"/>
        <v>1.2031913598021533</v>
      </c>
      <c r="AU145" s="177">
        <f t="shared" si="248"/>
        <v>0.5788830240692463</v>
      </c>
      <c r="AW145" s="5">
        <f t="shared" si="216"/>
        <v>1.5685862587682804</v>
      </c>
      <c r="AX145" s="5"/>
      <c r="AY145" s="5">
        <f t="shared" si="217"/>
        <v>5.2461274056275444</v>
      </c>
      <c r="AZ145" s="5"/>
      <c r="BA145" s="5">
        <f t="shared" si="218"/>
        <v>0.56408878874675017</v>
      </c>
      <c r="BB145" s="5"/>
      <c r="BC145" s="5"/>
      <c r="BD145" s="177">
        <f t="shared" si="219"/>
        <v>0.72653668696297946</v>
      </c>
      <c r="BE145" s="177">
        <f t="shared" si="220"/>
        <v>0.61967434540144517</v>
      </c>
      <c r="BF145" s="177">
        <f t="shared" si="221"/>
        <v>1.0173358831630759</v>
      </c>
      <c r="BG145" s="177"/>
      <c r="BH145" s="538">
        <f t="shared" si="222"/>
        <v>5.8064111325345662E-2</v>
      </c>
      <c r="BI145" s="538">
        <f t="shared" si="223"/>
        <v>7.3518144056794271E-2</v>
      </c>
      <c r="BJ145" s="538">
        <f t="shared" si="224"/>
        <v>1.7499999999999998E-2</v>
      </c>
      <c r="BK145" s="538">
        <f t="shared" si="225"/>
        <v>5.0806349999999993E-2</v>
      </c>
      <c r="BL145">
        <f t="shared" si="226"/>
        <v>2.6099999999999999E-3</v>
      </c>
      <c r="BM145">
        <f t="shared" si="268"/>
        <v>1.4E-5</v>
      </c>
      <c r="BN145">
        <f t="shared" si="269"/>
        <v>0.20470558117434476</v>
      </c>
      <c r="BO145" s="469">
        <f t="shared" si="229"/>
        <v>202.49860538213994</v>
      </c>
      <c r="BP145" s="177">
        <f t="shared" si="230"/>
        <v>0.1323</v>
      </c>
      <c r="BQ145" s="177">
        <f t="shared" si="231"/>
        <v>0.22837499999999999</v>
      </c>
      <c r="BR145" s="538"/>
      <c r="BT145" s="469">
        <f t="shared" si="232"/>
        <v>360.67499999999995</v>
      </c>
      <c r="BU145" s="538">
        <f t="shared" si="233"/>
        <v>2.5337066760150836E-2</v>
      </c>
      <c r="BV145" s="538">
        <f t="shared" si="234"/>
        <v>9.2159110643690298E-2</v>
      </c>
      <c r="BW145" s="538">
        <f t="shared" si="235"/>
        <v>0.24839335180108693</v>
      </c>
      <c r="BX145" s="538">
        <f t="shared" si="236"/>
        <v>0</v>
      </c>
      <c r="BY145" s="538">
        <f t="shared" si="180"/>
        <v>0.37692248855567906</v>
      </c>
      <c r="BZ145" s="538">
        <f t="shared" si="250"/>
        <v>0.36588952920492807</v>
      </c>
      <c r="CA145" s="641">
        <f t="shared" si="270"/>
        <v>4.7872222222222226E-2</v>
      </c>
      <c r="CB145" s="469">
        <f t="shared" si="238"/>
        <v>1156.5737691877575</v>
      </c>
      <c r="CC145" s="177">
        <f t="shared" si="251"/>
        <v>0.99017529195224607</v>
      </c>
      <c r="CD145" s="5">
        <f t="shared" si="239"/>
        <v>4.3084999999999996</v>
      </c>
      <c r="CE145" s="177">
        <f t="shared" si="240"/>
        <v>0.81312776545183885</v>
      </c>
      <c r="CF145" s="5">
        <f t="shared" si="241"/>
        <v>81.31277654518388</v>
      </c>
      <c r="CG145">
        <f t="shared" si="242"/>
        <v>35</v>
      </c>
      <c r="CI145" s="571">
        <f t="shared" si="271"/>
        <v>-50</v>
      </c>
      <c r="CJ145">
        <f t="shared" si="272"/>
        <v>-50</v>
      </c>
    </row>
    <row r="146" spans="5:88" x14ac:dyDescent="0.2">
      <c r="E146" s="174">
        <v>36</v>
      </c>
      <c r="F146" s="221">
        <f t="shared" si="273"/>
        <v>0.1512</v>
      </c>
      <c r="G146" s="221">
        <f t="shared" si="252"/>
        <v>0.26100000000000001</v>
      </c>
      <c r="H146" s="221">
        <f t="shared" si="253"/>
        <v>2.3435999999999999</v>
      </c>
      <c r="I146" s="221">
        <f t="shared" si="254"/>
        <v>2.0880000000000001</v>
      </c>
      <c r="J146" s="551">
        <f t="shared" si="186"/>
        <v>9</v>
      </c>
      <c r="K146" s="451">
        <f t="shared" si="187"/>
        <v>16.399999999999999</v>
      </c>
      <c r="L146" s="451">
        <f t="shared" si="188"/>
        <v>25.4</v>
      </c>
      <c r="M146" s="451"/>
      <c r="N146" s="221">
        <f t="shared" si="189"/>
        <v>0.64566929133858264</v>
      </c>
      <c r="O146" s="176">
        <f t="shared" si="255"/>
        <v>5.6698549287756563</v>
      </c>
      <c r="P146" s="176">
        <f t="shared" si="256"/>
        <v>9.552037446932033</v>
      </c>
      <c r="Q146" s="221">
        <f t="shared" si="192"/>
        <v>0.36579709217907458</v>
      </c>
      <c r="R146" s="221">
        <f t="shared" si="257"/>
        <v>0.70873186609695704</v>
      </c>
      <c r="S146" s="221">
        <f t="shared" si="258"/>
        <v>15.5</v>
      </c>
      <c r="T146" s="221">
        <f t="shared" si="259"/>
        <v>1.6947100271002711</v>
      </c>
      <c r="U146" s="221">
        <f t="shared" si="196"/>
        <v>1.6947100271002711</v>
      </c>
      <c r="V146" s="221">
        <f t="shared" si="197"/>
        <v>0.93002379535990498</v>
      </c>
      <c r="W146" s="201">
        <f t="shared" si="198"/>
        <v>350</v>
      </c>
      <c r="X146" s="451">
        <f t="shared" si="199"/>
        <v>350</v>
      </c>
      <c r="Z146" s="221">
        <f t="shared" si="200"/>
        <v>1.8447694038245221</v>
      </c>
      <c r="AA146" s="177">
        <f t="shared" si="201"/>
        <v>1.0123734533183355</v>
      </c>
      <c r="AB146" s="177">
        <f t="shared" si="260"/>
        <v>0.17283982577713339</v>
      </c>
      <c r="AC146" s="177"/>
      <c r="AD146" s="177">
        <f t="shared" si="203"/>
        <v>0.45</v>
      </c>
      <c r="AE146" s="555">
        <f t="shared" si="261"/>
        <v>819.51219512195144</v>
      </c>
      <c r="AF146" s="538">
        <f t="shared" si="262"/>
        <v>6.4574999999999994E-2</v>
      </c>
      <c r="AH146" s="177">
        <f t="shared" si="263"/>
        <v>1.6774129741105157</v>
      </c>
      <c r="AI146" s="177">
        <f t="shared" si="264"/>
        <v>1.6774129741105157</v>
      </c>
      <c r="AJ146" s="177">
        <f t="shared" si="265"/>
        <v>1.8351207215633449</v>
      </c>
      <c r="AL146" s="555">
        <f t="shared" si="266"/>
        <v>151.19999999999999</v>
      </c>
      <c r="AM146" s="469">
        <f t="shared" si="267"/>
        <v>350</v>
      </c>
      <c r="AO146" s="469">
        <f t="shared" si="211"/>
        <v>151.19999999999999</v>
      </c>
      <c r="AP146" s="469">
        <f t="shared" si="212"/>
        <v>350</v>
      </c>
      <c r="AR146" s="5">
        <f t="shared" si="249"/>
        <v>2.8571428571428572</v>
      </c>
      <c r="AS146" s="5">
        <f t="shared" si="246"/>
        <v>1.6774129741105159</v>
      </c>
      <c r="AT146" s="5">
        <f t="shared" si="247"/>
        <v>1.1797298830323413</v>
      </c>
      <c r="AU146" s="177">
        <f t="shared" si="248"/>
        <v>0.58709454093868052</v>
      </c>
      <c r="AW146" s="5">
        <f t="shared" si="216"/>
        <v>1.6362893011968389</v>
      </c>
      <c r="AX146" s="5"/>
      <c r="AY146" s="5">
        <f t="shared" si="217"/>
        <v>5.4725598280355587</v>
      </c>
      <c r="AZ146" s="5"/>
      <c r="BA146" s="5">
        <f t="shared" si="218"/>
        <v>0.56889196581781776</v>
      </c>
      <c r="BB146" s="5"/>
      <c r="BC146" s="5"/>
      <c r="BD146" s="177">
        <f t="shared" si="219"/>
        <v>0.74205037944514163</v>
      </c>
      <c r="BE146" s="177">
        <f t="shared" si="220"/>
        <v>0.62230699519616783</v>
      </c>
      <c r="BF146" s="177">
        <f t="shared" si="221"/>
        <v>1.0216579744741794</v>
      </c>
      <c r="BG146" s="177"/>
      <c r="BH146" s="538">
        <f t="shared" si="222"/>
        <v>6.0570264219814651E-2</v>
      </c>
      <c r="BI146" s="538">
        <f t="shared" si="223"/>
        <v>7.4561006699212423E-2</v>
      </c>
      <c r="BJ146" s="538">
        <f t="shared" si="224"/>
        <v>1.7499999999999998E-2</v>
      </c>
      <c r="BK146" s="538">
        <f t="shared" si="225"/>
        <v>5.0806349999999993E-2</v>
      </c>
      <c r="BL146">
        <f t="shared" si="226"/>
        <v>2.6099999999999999E-3</v>
      </c>
      <c r="BM146">
        <f t="shared" si="268"/>
        <v>1.4E-5</v>
      </c>
      <c r="BN146">
        <f t="shared" si="269"/>
        <v>0.20839042850067524</v>
      </c>
      <c r="BO146" s="469">
        <f t="shared" si="229"/>
        <v>206.04762091902705</v>
      </c>
      <c r="BP146" s="177">
        <f t="shared" si="230"/>
        <v>0.13608000000000001</v>
      </c>
      <c r="BQ146" s="177">
        <f t="shared" si="231"/>
        <v>0.23490000000000003</v>
      </c>
      <c r="BR146" s="538"/>
      <c r="BT146" s="469">
        <f t="shared" si="232"/>
        <v>370.98</v>
      </c>
      <c r="BU146" s="538">
        <f t="shared" si="233"/>
        <v>2.6430660750464574E-2</v>
      </c>
      <c r="BV146" s="538">
        <f t="shared" si="234"/>
        <v>9.2943839104819972E-2</v>
      </c>
      <c r="BW146" s="538">
        <f t="shared" si="235"/>
        <v>0.25050840403360386</v>
      </c>
      <c r="BX146" s="538">
        <f t="shared" si="236"/>
        <v>0</v>
      </c>
      <c r="BY146" s="538">
        <f t="shared" si="180"/>
        <v>0.38116172020247024</v>
      </c>
      <c r="BZ146" s="538">
        <f t="shared" si="250"/>
        <v>0.36988290388888839</v>
      </c>
      <c r="CA146" s="641">
        <f t="shared" si="270"/>
        <v>4.9240000000000006E-2</v>
      </c>
      <c r="CB146" s="469">
        <f t="shared" si="238"/>
        <v>1170.1675279802471</v>
      </c>
      <c r="CC146" s="177">
        <f t="shared" si="251"/>
        <v>1.0097721487031455</v>
      </c>
      <c r="CD146" s="5">
        <f t="shared" si="239"/>
        <v>4.4315999999999995</v>
      </c>
      <c r="CE146" s="177">
        <f t="shared" si="240"/>
        <v>0.81442692741686362</v>
      </c>
      <c r="CF146" s="5">
        <f t="shared" si="241"/>
        <v>81.442692741686358</v>
      </c>
      <c r="CG146">
        <f t="shared" si="242"/>
        <v>36.000000000000007</v>
      </c>
      <c r="CI146" s="571">
        <f t="shared" si="271"/>
        <v>-50</v>
      </c>
      <c r="CJ146">
        <f t="shared" si="272"/>
        <v>-50</v>
      </c>
    </row>
    <row r="147" spans="5:88" x14ac:dyDescent="0.2">
      <c r="E147" s="174">
        <v>37</v>
      </c>
      <c r="F147" s="221">
        <f t="shared" si="273"/>
        <v>0.15539999999999998</v>
      </c>
      <c r="G147" s="221">
        <f t="shared" si="252"/>
        <v>0.26824999999999999</v>
      </c>
      <c r="H147" s="221">
        <f t="shared" si="253"/>
        <v>2.4086999999999996</v>
      </c>
      <c r="I147" s="221">
        <f t="shared" si="254"/>
        <v>2.1459999999999999</v>
      </c>
      <c r="J147" s="551">
        <f t="shared" si="186"/>
        <v>9</v>
      </c>
      <c r="K147" s="451">
        <f t="shared" si="187"/>
        <v>16.399999999999999</v>
      </c>
      <c r="L147" s="451">
        <f t="shared" si="188"/>
        <v>25.4</v>
      </c>
      <c r="M147" s="451"/>
      <c r="N147" s="221">
        <f t="shared" si="189"/>
        <v>0.64566929133858264</v>
      </c>
      <c r="O147" s="176">
        <f t="shared" si="255"/>
        <v>5.6698549287756563</v>
      </c>
      <c r="P147" s="176">
        <f t="shared" si="256"/>
        <v>9.552037446932033</v>
      </c>
      <c r="Q147" s="221">
        <f t="shared" si="192"/>
        <v>0.36579709217907458</v>
      </c>
      <c r="R147" s="221">
        <f t="shared" si="257"/>
        <v>0.70873186609695704</v>
      </c>
      <c r="S147" s="221">
        <f t="shared" si="258"/>
        <v>15.5</v>
      </c>
      <c r="T147" s="221">
        <f t="shared" si="259"/>
        <v>1.7417853056308341</v>
      </c>
      <c r="U147" s="221">
        <f t="shared" si="196"/>
        <v>1.7417853056308343</v>
      </c>
      <c r="V147" s="221">
        <f t="shared" si="197"/>
        <v>0.95585778967545787</v>
      </c>
      <c r="W147" s="201">
        <f t="shared" si="198"/>
        <v>350</v>
      </c>
      <c r="X147" s="451">
        <f t="shared" si="199"/>
        <v>350</v>
      </c>
      <c r="Z147" s="221">
        <f t="shared" si="200"/>
        <v>1.8447694038245221</v>
      </c>
      <c r="AA147" s="177">
        <f t="shared" si="201"/>
        <v>1.0123734533183355</v>
      </c>
      <c r="AB147" s="177">
        <f t="shared" si="260"/>
        <v>0.17283982577713339</v>
      </c>
      <c r="AC147" s="177"/>
      <c r="AD147" s="177">
        <f t="shared" si="203"/>
        <v>0.45</v>
      </c>
      <c r="AE147" s="555">
        <f t="shared" si="261"/>
        <v>842.27642276422762</v>
      </c>
      <c r="AF147" s="538">
        <f t="shared" si="262"/>
        <v>6.4574999999999994E-2</v>
      </c>
      <c r="AH147" s="177">
        <f t="shared" si="263"/>
        <v>1.7005507977925904</v>
      </c>
      <c r="AI147" s="177">
        <f t="shared" si="264"/>
        <v>1.7005507977925904</v>
      </c>
      <c r="AJ147" s="177">
        <f t="shared" si="265"/>
        <v>1.8522598502167336</v>
      </c>
      <c r="AL147" s="555">
        <f t="shared" si="266"/>
        <v>155.39999999999998</v>
      </c>
      <c r="AM147" s="469">
        <f t="shared" si="267"/>
        <v>350</v>
      </c>
      <c r="AO147" s="469">
        <f t="shared" si="211"/>
        <v>155.39999999999998</v>
      </c>
      <c r="AP147" s="469">
        <f t="shared" si="212"/>
        <v>350</v>
      </c>
      <c r="AR147" s="5">
        <f t="shared" si="249"/>
        <v>2.8571428571428572</v>
      </c>
      <c r="AS147" s="5">
        <f t="shared" si="246"/>
        <v>1.7005507977925904</v>
      </c>
      <c r="AT147" s="5">
        <f t="shared" si="247"/>
        <v>1.1565920593502668</v>
      </c>
      <c r="AU147" s="177">
        <f t="shared" si="248"/>
        <v>0.59519277922740665</v>
      </c>
      <c r="AW147" s="5">
        <f t="shared" si="216"/>
        <v>1.704939315980442</v>
      </c>
      <c r="AX147" s="5"/>
      <c r="AY147" s="5">
        <f t="shared" si="217"/>
        <v>5.7021593938482793</v>
      </c>
      <c r="AZ147" s="5"/>
      <c r="BA147" s="5">
        <f t="shared" si="218"/>
        <v>0.57322701509403029</v>
      </c>
      <c r="BB147" s="5"/>
      <c r="BC147" s="5"/>
      <c r="BD147" s="177">
        <f t="shared" si="219"/>
        <v>0.75745669567973817</v>
      </c>
      <c r="BE147" s="177">
        <f t="shared" si="220"/>
        <v>0.62467353563890027</v>
      </c>
      <c r="BF147" s="177">
        <f t="shared" si="221"/>
        <v>1.0255431869720255</v>
      </c>
      <c r="BG147" s="177"/>
      <c r="BH147" s="538">
        <f t="shared" si="222"/>
        <v>6.3111471041307418E-2</v>
      </c>
      <c r="BI147" s="538">
        <f t="shared" si="223"/>
        <v>7.5589482961880644E-2</v>
      </c>
      <c r="BJ147" s="538">
        <f t="shared" si="224"/>
        <v>1.7499999999999998E-2</v>
      </c>
      <c r="BK147" s="538">
        <f t="shared" si="225"/>
        <v>5.0806349999999993E-2</v>
      </c>
      <c r="BL147">
        <f t="shared" si="226"/>
        <v>2.6099999999999999E-3</v>
      </c>
      <c r="BM147">
        <f t="shared" si="268"/>
        <v>1.4E-5</v>
      </c>
      <c r="BN147">
        <f t="shared" si="269"/>
        <v>0.21210102239294984</v>
      </c>
      <c r="BO147" s="469">
        <f t="shared" si="229"/>
        <v>209.61730400318802</v>
      </c>
      <c r="BP147" s="177">
        <f t="shared" si="230"/>
        <v>0.13985999999999998</v>
      </c>
      <c r="BQ147" s="177">
        <f t="shared" si="231"/>
        <v>0.241425</v>
      </c>
      <c r="BR147" s="538"/>
      <c r="BT147" s="469">
        <f t="shared" si="232"/>
        <v>381.28499999999997</v>
      </c>
      <c r="BU147" s="538">
        <f t="shared" si="233"/>
        <v>2.7539550999843239E-2</v>
      </c>
      <c r="BV147" s="538">
        <f t="shared" si="234"/>
        <v>9.3652086270625046E-2</v>
      </c>
      <c r="BW147" s="538">
        <f t="shared" si="235"/>
        <v>0.25241731880273732</v>
      </c>
      <c r="BX147" s="538">
        <f t="shared" si="236"/>
        <v>0</v>
      </c>
      <c r="BY147" s="538">
        <f t="shared" si="180"/>
        <v>0.38511968927919249</v>
      </c>
      <c r="BZ147" s="538">
        <f t="shared" si="250"/>
        <v>0.3736089560732056</v>
      </c>
      <c r="CA147" s="641">
        <f t="shared" si="270"/>
        <v>5.0607777777777772E-2</v>
      </c>
      <c r="CB147" s="469">
        <f t="shared" si="238"/>
        <v>1182.9453792033814</v>
      </c>
      <c r="CC147" s="177">
        <f t="shared" si="251"/>
        <v>1.0291134894499201</v>
      </c>
      <c r="CD147" s="5">
        <f t="shared" si="239"/>
        <v>4.5546999999999995</v>
      </c>
      <c r="CE147" s="177">
        <f t="shared" si="240"/>
        <v>0.81569701577706144</v>
      </c>
      <c r="CF147" s="5">
        <f t="shared" si="241"/>
        <v>81.569701577706141</v>
      </c>
      <c r="CG147">
        <f t="shared" si="242"/>
        <v>37</v>
      </c>
      <c r="CI147" s="571">
        <f t="shared" si="271"/>
        <v>-50</v>
      </c>
      <c r="CJ147">
        <f t="shared" si="272"/>
        <v>-50</v>
      </c>
    </row>
    <row r="148" spans="5:88" x14ac:dyDescent="0.2">
      <c r="E148" s="174">
        <v>38</v>
      </c>
      <c r="F148" s="221">
        <f t="shared" si="273"/>
        <v>0.15959999999999999</v>
      </c>
      <c r="G148" s="221">
        <f t="shared" si="252"/>
        <v>0.27549999999999997</v>
      </c>
      <c r="H148" s="221">
        <f t="shared" si="253"/>
        <v>2.4737999999999998</v>
      </c>
      <c r="I148" s="221">
        <f t="shared" si="254"/>
        <v>2.2039999999999997</v>
      </c>
      <c r="J148" s="551">
        <f t="shared" si="186"/>
        <v>9</v>
      </c>
      <c r="K148" s="451">
        <f t="shared" si="187"/>
        <v>16.399999999999999</v>
      </c>
      <c r="L148" s="451">
        <f t="shared" si="188"/>
        <v>25.4</v>
      </c>
      <c r="M148" s="451"/>
      <c r="N148" s="221">
        <f t="shared" si="189"/>
        <v>0.64566929133858264</v>
      </c>
      <c r="O148" s="176">
        <f t="shared" si="255"/>
        <v>5.6698549287756563</v>
      </c>
      <c r="P148" s="176">
        <f t="shared" si="256"/>
        <v>9.552037446932033</v>
      </c>
      <c r="Q148" s="221">
        <f t="shared" si="192"/>
        <v>0.36579709217907458</v>
      </c>
      <c r="R148" s="221">
        <f t="shared" si="257"/>
        <v>0.70873186609695704</v>
      </c>
      <c r="S148" s="221">
        <f t="shared" si="258"/>
        <v>15.5</v>
      </c>
      <c r="T148" s="221">
        <f t="shared" si="259"/>
        <v>1.7888605841613971</v>
      </c>
      <c r="U148" s="221">
        <f t="shared" si="196"/>
        <v>1.7888605841613971</v>
      </c>
      <c r="V148" s="221">
        <f t="shared" si="197"/>
        <v>0.98169178399101076</v>
      </c>
      <c r="W148" s="201">
        <f t="shared" si="198"/>
        <v>350</v>
      </c>
      <c r="X148" s="451">
        <f t="shared" si="199"/>
        <v>350</v>
      </c>
      <c r="Z148" s="221">
        <f t="shared" si="200"/>
        <v>1.8447694038245221</v>
      </c>
      <c r="AA148" s="177">
        <f t="shared" si="201"/>
        <v>1.0123734533183355</v>
      </c>
      <c r="AB148" s="177">
        <f t="shared" si="260"/>
        <v>0.17283982577713339</v>
      </c>
      <c r="AC148" s="177"/>
      <c r="AD148" s="177">
        <f t="shared" si="203"/>
        <v>0.45</v>
      </c>
      <c r="AE148" s="555">
        <f t="shared" si="261"/>
        <v>865.04065040650403</v>
      </c>
      <c r="AF148" s="538">
        <f t="shared" si="262"/>
        <v>6.4574999999999994E-2</v>
      </c>
      <c r="AH148" s="177">
        <f t="shared" si="263"/>
        <v>1.7233780043947833</v>
      </c>
      <c r="AI148" s="177">
        <f t="shared" si="264"/>
        <v>1.7233780043947833</v>
      </c>
      <c r="AJ148" s="177">
        <f t="shared" si="265"/>
        <v>1.8691688921442839</v>
      </c>
      <c r="AL148" s="555">
        <f t="shared" si="266"/>
        <v>159.6</v>
      </c>
      <c r="AM148" s="469">
        <f t="shared" si="267"/>
        <v>350</v>
      </c>
      <c r="AO148" s="469">
        <f t="shared" si="211"/>
        <v>159.6</v>
      </c>
      <c r="AP148" s="469">
        <f t="shared" si="212"/>
        <v>350</v>
      </c>
      <c r="AR148" s="5">
        <f t="shared" si="249"/>
        <v>2.8571428571428572</v>
      </c>
      <c r="AS148" s="5">
        <f t="shared" si="246"/>
        <v>1.7233780043947831</v>
      </c>
      <c r="AT148" s="5">
        <f t="shared" si="247"/>
        <v>1.1337648527480741</v>
      </c>
      <c r="AU148" s="177">
        <f t="shared" si="248"/>
        <v>0.60318230153817409</v>
      </c>
      <c r="AW148" s="5">
        <f t="shared" si="216"/>
        <v>1.774523416138112</v>
      </c>
      <c r="AX148" s="5"/>
      <c r="AY148" s="5">
        <f t="shared" si="217"/>
        <v>5.9348830026345336</v>
      </c>
      <c r="AZ148" s="5"/>
      <c r="BA148" s="5">
        <f t="shared" si="218"/>
        <v>0.57710030714571703</v>
      </c>
      <c r="BB148" s="5"/>
      <c r="BC148" s="5"/>
      <c r="BD148" s="177">
        <f t="shared" si="219"/>
        <v>0.77275925190468597</v>
      </c>
      <c r="BE148" s="177">
        <f t="shared" si="220"/>
        <v>0.6267804405103049</v>
      </c>
      <c r="BF148" s="177">
        <f t="shared" si="221"/>
        <v>1.0290021488348124</v>
      </c>
      <c r="BG148" s="177"/>
      <c r="BH148" s="538">
        <f t="shared" si="222"/>
        <v>6.5687254754471888E-2</v>
      </c>
      <c r="BI148" s="538">
        <f t="shared" si="223"/>
        <v>7.6604152295348116E-2</v>
      </c>
      <c r="BJ148" s="538">
        <f t="shared" si="224"/>
        <v>1.7499999999999998E-2</v>
      </c>
      <c r="BK148" s="538">
        <f t="shared" si="225"/>
        <v>5.0806349999999993E-2</v>
      </c>
      <c r="BL148">
        <f t="shared" si="226"/>
        <v>2.6099999999999999E-3</v>
      </c>
      <c r="BM148">
        <f t="shared" si="268"/>
        <v>1.4E-5</v>
      </c>
      <c r="BN148">
        <f t="shared" si="269"/>
        <v>0.21583755682901642</v>
      </c>
      <c r="BO148" s="469">
        <f t="shared" si="229"/>
        <v>213.20775704982</v>
      </c>
      <c r="BP148" s="177">
        <f t="shared" si="230"/>
        <v>0.14363999999999999</v>
      </c>
      <c r="BQ148" s="177">
        <f t="shared" si="231"/>
        <v>0.24794999999999998</v>
      </c>
      <c r="BR148" s="538"/>
      <c r="BT148" s="469">
        <f t="shared" si="232"/>
        <v>391.59</v>
      </c>
      <c r="BU148" s="538">
        <f t="shared" si="233"/>
        <v>2.8663529347405917E-2</v>
      </c>
      <c r="BV148" s="538">
        <f t="shared" si="234"/>
        <v>9.428489294551004E-2</v>
      </c>
      <c r="BW148" s="538">
        <f t="shared" si="235"/>
        <v>0.25412290135359872</v>
      </c>
      <c r="BX148" s="538">
        <f t="shared" si="236"/>
        <v>0</v>
      </c>
      <c r="BY148" s="538">
        <f t="shared" si="180"/>
        <v>0.38879974232424486</v>
      </c>
      <c r="BZ148" s="538">
        <f t="shared" si="250"/>
        <v>0.37707132364651469</v>
      </c>
      <c r="CA148" s="641">
        <f t="shared" si="270"/>
        <v>5.1975555555555553E-2</v>
      </c>
      <c r="CB148" s="469">
        <f t="shared" si="238"/>
        <v>1194.9179451728296</v>
      </c>
      <c r="CC148" s="177">
        <f t="shared" si="251"/>
        <v>1.0482028547088169</v>
      </c>
      <c r="CD148" s="5">
        <f t="shared" si="239"/>
        <v>4.6777999999999995</v>
      </c>
      <c r="CE148" s="177">
        <f t="shared" si="240"/>
        <v>0.81693986515448191</v>
      </c>
      <c r="CF148" s="5">
        <f t="shared" si="241"/>
        <v>81.693986515448188</v>
      </c>
      <c r="CG148">
        <f t="shared" si="242"/>
        <v>38</v>
      </c>
      <c r="CI148" s="571">
        <f t="shared" si="271"/>
        <v>-50</v>
      </c>
      <c r="CJ148">
        <f t="shared" si="272"/>
        <v>-50</v>
      </c>
    </row>
    <row r="149" spans="5:88" x14ac:dyDescent="0.2">
      <c r="E149" s="174">
        <v>39</v>
      </c>
      <c r="F149" s="221">
        <f t="shared" si="273"/>
        <v>0.1638</v>
      </c>
      <c r="G149" s="221">
        <f t="shared" si="252"/>
        <v>0.28275</v>
      </c>
      <c r="H149" s="221">
        <f t="shared" si="253"/>
        <v>2.5388999999999999</v>
      </c>
      <c r="I149" s="221">
        <f t="shared" si="254"/>
        <v>2.262</v>
      </c>
      <c r="J149" s="551">
        <f t="shared" si="186"/>
        <v>9</v>
      </c>
      <c r="K149" s="451">
        <f t="shared" si="187"/>
        <v>16.399999999999999</v>
      </c>
      <c r="L149" s="451">
        <f t="shared" si="188"/>
        <v>25.4</v>
      </c>
      <c r="M149" s="451"/>
      <c r="N149" s="221">
        <f t="shared" si="189"/>
        <v>0.64566929133858264</v>
      </c>
      <c r="O149" s="176">
        <f t="shared" si="255"/>
        <v>5.6698549287756563</v>
      </c>
      <c r="P149" s="176">
        <f t="shared" si="256"/>
        <v>9.552037446932033</v>
      </c>
      <c r="Q149" s="221">
        <f t="shared" si="192"/>
        <v>0.36579709217907458</v>
      </c>
      <c r="R149" s="221">
        <f t="shared" si="257"/>
        <v>0.70873186609695704</v>
      </c>
      <c r="S149" s="221">
        <f t="shared" si="258"/>
        <v>15.5</v>
      </c>
      <c r="T149" s="221">
        <f t="shared" si="259"/>
        <v>1.8359358626919606</v>
      </c>
      <c r="U149" s="221">
        <f t="shared" si="196"/>
        <v>1.8359358626919606</v>
      </c>
      <c r="V149" s="221">
        <f t="shared" si="197"/>
        <v>1.0075257783065639</v>
      </c>
      <c r="W149" s="201">
        <f t="shared" si="198"/>
        <v>350</v>
      </c>
      <c r="X149" s="451">
        <f t="shared" si="199"/>
        <v>350</v>
      </c>
      <c r="Z149" s="221">
        <f t="shared" si="200"/>
        <v>1.8447694038245221</v>
      </c>
      <c r="AA149" s="177">
        <f t="shared" si="201"/>
        <v>1.0123734533183355</v>
      </c>
      <c r="AB149" s="177">
        <f t="shared" si="260"/>
        <v>0.17283982577713339</v>
      </c>
      <c r="AC149" s="177"/>
      <c r="AD149" s="177">
        <f t="shared" si="203"/>
        <v>0.45</v>
      </c>
      <c r="AE149" s="555">
        <f t="shared" si="261"/>
        <v>887.80487804878044</v>
      </c>
      <c r="AF149" s="538">
        <f t="shared" si="262"/>
        <v>6.4574999999999994E-2</v>
      </c>
      <c r="AH149" s="177">
        <f t="shared" si="263"/>
        <v>1.7459067776346124</v>
      </c>
      <c r="AI149" s="177">
        <f t="shared" si="264"/>
        <v>1.7459067776346124</v>
      </c>
      <c r="AJ149" s="177">
        <f t="shared" si="265"/>
        <v>1.8858568723219351</v>
      </c>
      <c r="AL149" s="555">
        <f t="shared" si="266"/>
        <v>163.80000000000001</v>
      </c>
      <c r="AM149" s="469">
        <f t="shared" si="267"/>
        <v>350</v>
      </c>
      <c r="AO149" s="469">
        <f t="shared" si="211"/>
        <v>163.80000000000001</v>
      </c>
      <c r="AP149" s="469">
        <f t="shared" si="212"/>
        <v>350</v>
      </c>
      <c r="AR149" s="5">
        <f t="shared" si="249"/>
        <v>2.8571428571428572</v>
      </c>
      <c r="AS149" s="5">
        <f t="shared" si="246"/>
        <v>1.7459067776346124</v>
      </c>
      <c r="AT149" s="5">
        <f t="shared" si="247"/>
        <v>1.1112360795082448</v>
      </c>
      <c r="AU149" s="177">
        <f t="shared" si="248"/>
        <v>0.61106737217211438</v>
      </c>
      <c r="AW149" s="5">
        <f t="shared" si="216"/>
        <v>1.8450292269454809</v>
      </c>
      <c r="AX149" s="5"/>
      <c r="AY149" s="5">
        <f t="shared" si="217"/>
        <v>6.1706892672023335</v>
      </c>
      <c r="AZ149" s="5"/>
      <c r="BA149" s="5">
        <f t="shared" si="218"/>
        <v>0.58051795931347372</v>
      </c>
      <c r="BB149" s="5"/>
      <c r="BC149" s="5"/>
      <c r="BD149" s="177">
        <f t="shared" si="219"/>
        <v>0.78796145086879732</v>
      </c>
      <c r="BE149" s="177">
        <f t="shared" si="220"/>
        <v>0.62863363257801597</v>
      </c>
      <c r="BF149" s="177">
        <f t="shared" si="221"/>
        <v>1.0320445836279686</v>
      </c>
      <c r="BG149" s="177"/>
      <c r="BH149" s="538">
        <f t="shared" si="222"/>
        <v>6.8297157286078602E-2</v>
      </c>
      <c r="BI149" s="538">
        <f t="shared" si="223"/>
        <v>7.7605556265858522E-2</v>
      </c>
      <c r="BJ149" s="538">
        <f t="shared" si="224"/>
        <v>1.7499999999999998E-2</v>
      </c>
      <c r="BK149" s="538">
        <f t="shared" si="225"/>
        <v>5.0806349999999993E-2</v>
      </c>
      <c r="BL149">
        <f t="shared" si="226"/>
        <v>2.6099999999999999E-3</v>
      </c>
      <c r="BM149">
        <f t="shared" si="268"/>
        <v>1.4E-5</v>
      </c>
      <c r="BN149">
        <f t="shared" si="269"/>
        <v>0.21960020745001274</v>
      </c>
      <c r="BO149" s="469">
        <f t="shared" si="229"/>
        <v>216.81906355193712</v>
      </c>
      <c r="BP149" s="177">
        <f t="shared" si="230"/>
        <v>0.14742</v>
      </c>
      <c r="BQ149" s="177">
        <f t="shared" si="231"/>
        <v>0.25447500000000001</v>
      </c>
      <c r="BR149" s="538"/>
      <c r="BT149" s="469">
        <f t="shared" si="232"/>
        <v>401.89499999999998</v>
      </c>
      <c r="BU149" s="538">
        <f t="shared" si="233"/>
        <v>2.9802395906652485E-2</v>
      </c>
      <c r="BV149" s="538">
        <f t="shared" si="234"/>
        <v>9.4843258561975674E-2</v>
      </c>
      <c r="BW149" s="538">
        <f t="shared" si="235"/>
        <v>0.25562784542299843</v>
      </c>
      <c r="BX149" s="538">
        <f t="shared" si="236"/>
        <v>0</v>
      </c>
      <c r="BY149" s="538">
        <f t="shared" si="180"/>
        <v>0.3922051168896285</v>
      </c>
      <c r="BZ149" s="538">
        <f t="shared" si="250"/>
        <v>0.38027349989162662</v>
      </c>
      <c r="CA149" s="641">
        <f t="shared" si="270"/>
        <v>5.3343333333333326E-2</v>
      </c>
      <c r="CB149" s="469">
        <f t="shared" si="238"/>
        <v>1206.0954500062151</v>
      </c>
      <c r="CC149" s="177">
        <f t="shared" si="251"/>
        <v>1.0670436576729745</v>
      </c>
      <c r="CD149" s="5">
        <f t="shared" si="239"/>
        <v>4.8009000000000004</v>
      </c>
      <c r="CE149" s="177">
        <f t="shared" si="240"/>
        <v>0.81815713989044547</v>
      </c>
      <c r="CF149" s="5">
        <f t="shared" si="241"/>
        <v>81.815713989044554</v>
      </c>
      <c r="CG149">
        <f t="shared" si="242"/>
        <v>39</v>
      </c>
      <c r="CI149" s="571">
        <f t="shared" si="271"/>
        <v>-50</v>
      </c>
      <c r="CJ149">
        <f t="shared" si="272"/>
        <v>-50</v>
      </c>
    </row>
    <row r="150" spans="5:88" x14ac:dyDescent="0.2">
      <c r="E150" s="174">
        <v>40</v>
      </c>
      <c r="F150" s="221">
        <f t="shared" si="273"/>
        <v>0.16800000000000001</v>
      </c>
      <c r="G150" s="221">
        <f t="shared" si="252"/>
        <v>0.28999999999999998</v>
      </c>
      <c r="H150" s="221">
        <f t="shared" si="253"/>
        <v>2.6040000000000001</v>
      </c>
      <c r="I150" s="221">
        <f t="shared" si="254"/>
        <v>2.3199999999999998</v>
      </c>
      <c r="J150" s="551">
        <f t="shared" si="186"/>
        <v>9</v>
      </c>
      <c r="K150" s="451">
        <f t="shared" si="187"/>
        <v>16.399999999999999</v>
      </c>
      <c r="L150" s="451">
        <f t="shared" si="188"/>
        <v>25.4</v>
      </c>
      <c r="M150" s="451"/>
      <c r="N150" s="221">
        <f t="shared" si="189"/>
        <v>0.64566929133858264</v>
      </c>
      <c r="O150" s="176">
        <f t="shared" si="255"/>
        <v>5.6698549287756563</v>
      </c>
      <c r="P150" s="176">
        <f t="shared" si="256"/>
        <v>9.552037446932033</v>
      </c>
      <c r="Q150" s="221">
        <f t="shared" si="192"/>
        <v>0.36579709217907458</v>
      </c>
      <c r="R150" s="221">
        <f t="shared" si="257"/>
        <v>0.70873186609695704</v>
      </c>
      <c r="S150" s="221">
        <f t="shared" si="258"/>
        <v>15.5</v>
      </c>
      <c r="T150" s="221">
        <f t="shared" si="259"/>
        <v>1.8830111412225234</v>
      </c>
      <c r="U150" s="221">
        <f t="shared" si="196"/>
        <v>1.8830111412225234</v>
      </c>
      <c r="V150" s="221">
        <f t="shared" si="197"/>
        <v>1.0333597726221166</v>
      </c>
      <c r="W150" s="201">
        <f t="shared" si="198"/>
        <v>350</v>
      </c>
      <c r="X150" s="451">
        <f t="shared" si="199"/>
        <v>342.8919124288289</v>
      </c>
      <c r="Z150" s="221">
        <f t="shared" si="200"/>
        <v>1.8447694038245221</v>
      </c>
      <c r="AA150" s="177">
        <f t="shared" si="201"/>
        <v>1.0123734533183355</v>
      </c>
      <c r="AB150" s="177">
        <f t="shared" si="260"/>
        <v>0.17283982577713339</v>
      </c>
      <c r="AC150" s="177"/>
      <c r="AD150" s="177">
        <f t="shared" si="203"/>
        <v>0.45</v>
      </c>
      <c r="AE150" s="555">
        <f t="shared" si="261"/>
        <v>910.56910569105708</v>
      </c>
      <c r="AF150" s="538">
        <f t="shared" si="262"/>
        <v>6.4574999999999994E-2</v>
      </c>
      <c r="AH150" s="177">
        <f t="shared" si="263"/>
        <v>1.7681485249687612</v>
      </c>
      <c r="AI150" s="177">
        <f t="shared" si="264"/>
        <v>1.7681485249687612</v>
      </c>
      <c r="AJ150" s="177">
        <f t="shared" si="265"/>
        <v>1.9023322407176009</v>
      </c>
      <c r="AL150" s="555">
        <f t="shared" si="266"/>
        <v>168</v>
      </c>
      <c r="AM150" s="469">
        <f t="shared" si="267"/>
        <v>342.8919124288289</v>
      </c>
      <c r="AO150" s="469">
        <f t="shared" si="211"/>
        <v>168</v>
      </c>
      <c r="AP150" s="469">
        <f t="shared" si="212"/>
        <v>342.8919124288289</v>
      </c>
      <c r="AR150" s="5">
        <f t="shared" si="249"/>
        <v>2.9163709138446401</v>
      </c>
      <c r="AS150" s="5">
        <f t="shared" si="246"/>
        <v>1.7681485249687614</v>
      </c>
      <c r="AT150" s="5">
        <f t="shared" si="247"/>
        <v>1.1482223888758787</v>
      </c>
      <c r="AU150" s="177">
        <f t="shared" si="248"/>
        <v>0.60628382918475154</v>
      </c>
      <c r="AW150" s="5">
        <f t="shared" si="216"/>
        <v>1.9164448528693672</v>
      </c>
      <c r="AX150" s="5"/>
      <c r="AY150" s="5">
        <f t="shared" si="217"/>
        <v>6.4095384030117595</v>
      </c>
      <c r="AZ150" s="5"/>
      <c r="BA150" s="5">
        <f t="shared" si="218"/>
        <v>0.61522039107670534</v>
      </c>
      <c r="BB150" s="5"/>
      <c r="BC150" s="5"/>
      <c r="BD150" s="177">
        <f t="shared" si="219"/>
        <v>0.79487000366812721</v>
      </c>
      <c r="BE150" s="177">
        <f t="shared" si="220"/>
        <v>0.64054514234754256</v>
      </c>
      <c r="BF150" s="177">
        <f t="shared" si="221"/>
        <v>1.0516000265813741</v>
      </c>
      <c r="BG150" s="177"/>
      <c r="BH150" s="538">
        <f t="shared" si="222"/>
        <v>6.9500015500450554E-2</v>
      </c>
      <c r="BI150" s="538">
        <f t="shared" si="223"/>
        <v>7.6998046306463439E-2</v>
      </c>
      <c r="BJ150" s="538">
        <f t="shared" si="224"/>
        <v>1.7144595621441445E-2</v>
      </c>
      <c r="BK150" s="538">
        <f t="shared" si="225"/>
        <v>4.9774532900081228E-2</v>
      </c>
      <c r="BL150">
        <f t="shared" si="226"/>
        <v>2.6099999999999999E-3</v>
      </c>
      <c r="BM150">
        <f t="shared" si="268"/>
        <v>1.3715676497153157E-5</v>
      </c>
      <c r="BN150">
        <f t="shared" si="269"/>
        <v>0.21884712864969294</v>
      </c>
      <c r="BO150" s="469">
        <f t="shared" si="229"/>
        <v>216.02719032843666</v>
      </c>
      <c r="BP150" s="177">
        <f t="shared" si="230"/>
        <v>0.1512</v>
      </c>
      <c r="BQ150" s="177">
        <f t="shared" si="231"/>
        <v>0.26100000000000001</v>
      </c>
      <c r="BR150" s="538"/>
      <c r="BT150" s="469">
        <f t="shared" si="232"/>
        <v>412.2</v>
      </c>
      <c r="BU150" s="538">
        <f t="shared" si="233"/>
        <v>3.0327279491105693E-2</v>
      </c>
      <c r="BV150" s="538">
        <f t="shared" si="234"/>
        <v>9.8471539052408047E-2</v>
      </c>
      <c r="BW150" s="538">
        <f t="shared" si="235"/>
        <v>0.2654070278174272</v>
      </c>
      <c r="BX150" s="538">
        <f t="shared" si="236"/>
        <v>0</v>
      </c>
      <c r="BY150" s="538">
        <f t="shared" si="180"/>
        <v>0.4070425299632664</v>
      </c>
      <c r="BZ150" s="538">
        <f t="shared" si="250"/>
        <v>0.39420584636094091</v>
      </c>
      <c r="CA150" s="641">
        <f t="shared" si="270"/>
        <v>5.359999291427154E-2</v>
      </c>
      <c r="CB150" s="469">
        <f t="shared" si="238"/>
        <v>1249.0542155994199</v>
      </c>
      <c r="CC150" s="177">
        <f t="shared" si="251"/>
        <v>1.091689651527231</v>
      </c>
      <c r="CD150" s="5">
        <f t="shared" si="239"/>
        <v>4.9239999999999995</v>
      </c>
      <c r="CE150" s="177">
        <f t="shared" si="240"/>
        <v>0.81852626801482709</v>
      </c>
      <c r="CF150" s="5">
        <f t="shared" si="241"/>
        <v>81.852626801482714</v>
      </c>
      <c r="CG150">
        <f t="shared" si="242"/>
        <v>40</v>
      </c>
      <c r="CI150" s="571">
        <f t="shared" si="271"/>
        <v>-50</v>
      </c>
      <c r="CJ150">
        <f t="shared" si="272"/>
        <v>-50</v>
      </c>
    </row>
    <row r="151" spans="5:88" x14ac:dyDescent="0.2">
      <c r="E151" s="174">
        <v>41</v>
      </c>
      <c r="F151" s="221">
        <f t="shared" si="273"/>
        <v>0.17219999999999999</v>
      </c>
      <c r="G151" s="221">
        <f t="shared" si="252"/>
        <v>0.29724999999999996</v>
      </c>
      <c r="H151" s="221">
        <f t="shared" si="253"/>
        <v>2.6690999999999998</v>
      </c>
      <c r="I151" s="221">
        <f t="shared" si="254"/>
        <v>2.3779999999999997</v>
      </c>
      <c r="J151" s="551">
        <f t="shared" si="186"/>
        <v>9</v>
      </c>
      <c r="K151" s="451">
        <f t="shared" si="187"/>
        <v>16.399999999999999</v>
      </c>
      <c r="L151" s="451">
        <f t="shared" si="188"/>
        <v>25.4</v>
      </c>
      <c r="M151" s="451"/>
      <c r="N151" s="221">
        <f t="shared" si="189"/>
        <v>0.64566929133858264</v>
      </c>
      <c r="O151" s="176">
        <f t="shared" si="255"/>
        <v>5.6698549287756563</v>
      </c>
      <c r="P151" s="176">
        <f t="shared" si="256"/>
        <v>9.552037446932033</v>
      </c>
      <c r="Q151" s="221">
        <f t="shared" si="192"/>
        <v>0.36579709217907458</v>
      </c>
      <c r="R151" s="221">
        <f t="shared" si="257"/>
        <v>0.70873186609695704</v>
      </c>
      <c r="S151" s="221">
        <f t="shared" si="258"/>
        <v>15.5</v>
      </c>
      <c r="T151" s="221">
        <f t="shared" si="259"/>
        <v>1.9300864197530865</v>
      </c>
      <c r="U151" s="221">
        <f t="shared" si="196"/>
        <v>1.9300864197530863</v>
      </c>
      <c r="V151" s="221">
        <f t="shared" si="197"/>
        <v>1.0591937669376694</v>
      </c>
      <c r="W151" s="201">
        <f t="shared" si="198"/>
        <v>350</v>
      </c>
      <c r="X151" s="451">
        <f t="shared" si="199"/>
        <v>334.52869505251601</v>
      </c>
      <c r="Z151" s="221">
        <f t="shared" si="200"/>
        <v>1.8447694038245221</v>
      </c>
      <c r="AA151" s="177">
        <f t="shared" si="201"/>
        <v>1.0123734533183355</v>
      </c>
      <c r="AB151" s="177">
        <f t="shared" si="260"/>
        <v>0.17283982577713339</v>
      </c>
      <c r="AC151" s="177"/>
      <c r="AD151" s="177">
        <f t="shared" si="203"/>
        <v>0.45</v>
      </c>
      <c r="AE151" s="555">
        <f t="shared" si="261"/>
        <v>933.33333333333337</v>
      </c>
      <c r="AF151" s="538">
        <f t="shared" si="262"/>
        <v>6.4574999999999994E-2</v>
      </c>
      <c r="AH151" s="177">
        <f t="shared" si="263"/>
        <v>1.7901139451185604</v>
      </c>
      <c r="AI151" s="177">
        <f t="shared" si="264"/>
        <v>1.7901139451185604</v>
      </c>
      <c r="AJ151" s="177">
        <f t="shared" si="265"/>
        <v>1.9186029223100447</v>
      </c>
      <c r="AL151" s="555">
        <f t="shared" si="266"/>
        <v>172.2</v>
      </c>
      <c r="AM151" s="469">
        <f t="shared" si="267"/>
        <v>334.52869505251601</v>
      </c>
      <c r="AO151" s="469">
        <f t="shared" si="211"/>
        <v>172.2</v>
      </c>
      <c r="AP151" s="469">
        <f t="shared" si="212"/>
        <v>334.52869505251601</v>
      </c>
      <c r="AR151" s="5">
        <f t="shared" si="249"/>
        <v>2.9892801866907557</v>
      </c>
      <c r="AS151" s="5">
        <f t="shared" si="246"/>
        <v>1.7901139451185606</v>
      </c>
      <c r="AT151" s="5">
        <f t="shared" si="247"/>
        <v>1.1991662415721951</v>
      </c>
      <c r="AU151" s="177">
        <f t="shared" si="248"/>
        <v>0.59884448205582341</v>
      </c>
      <c r="AW151" s="5">
        <f t="shared" si="216"/>
        <v>1.9887588474155879</v>
      </c>
      <c r="AX151" s="5"/>
      <c r="AY151" s="5">
        <f t="shared" si="217"/>
        <v>6.6513921273311496</v>
      </c>
      <c r="AZ151" s="5"/>
      <c r="BA151" s="5">
        <f t="shared" si="218"/>
        <v>0.65857913896714926</v>
      </c>
      <c r="BB151" s="5"/>
      <c r="BC151" s="5"/>
      <c r="BD151" s="177">
        <f t="shared" si="219"/>
        <v>0.79979203452769954</v>
      </c>
      <c r="BE151" s="177">
        <f t="shared" si="220"/>
        <v>0.65460065205845563</v>
      </c>
      <c r="BF151" s="177">
        <f t="shared" si="221"/>
        <v>1.0746753313622999</v>
      </c>
      <c r="BG151" s="177"/>
      <c r="BH151" s="538">
        <f t="shared" si="222"/>
        <v>7.0363402834335273E-2</v>
      </c>
      <c r="BI151" s="538">
        <f t="shared" si="223"/>
        <v>7.6053249221089553E-2</v>
      </c>
      <c r="BJ151" s="538">
        <f t="shared" si="224"/>
        <v>1.6726434752625797E-2</v>
      </c>
      <c r="BK151" s="538">
        <f t="shared" si="225"/>
        <v>4.8560519902518272E-2</v>
      </c>
      <c r="BL151">
        <f t="shared" si="226"/>
        <v>2.6099999999999999E-3</v>
      </c>
      <c r="BM151">
        <f t="shared" si="268"/>
        <v>1.3381147802100641E-5</v>
      </c>
      <c r="BN151">
        <f t="shared" si="269"/>
        <v>0.2171459874520317</v>
      </c>
      <c r="BO151" s="469">
        <f t="shared" si="229"/>
        <v>214.31360671056891</v>
      </c>
      <c r="BP151" s="177">
        <f t="shared" si="230"/>
        <v>0.15498000000000001</v>
      </c>
      <c r="BQ151" s="177">
        <f t="shared" si="231"/>
        <v>0.26752499999999996</v>
      </c>
      <c r="BR151" s="538"/>
      <c r="BT151" s="469">
        <f t="shared" si="232"/>
        <v>422.50499999999994</v>
      </c>
      <c r="BU151" s="538">
        <f t="shared" si="233"/>
        <v>3.0704030327709936E-2</v>
      </c>
      <c r="BV151" s="538">
        <f t="shared" si="234"/>
        <v>0.10284048328208527</v>
      </c>
      <c r="BW151" s="538">
        <f t="shared" si="235"/>
        <v>0.27718249628128055</v>
      </c>
      <c r="BX151" s="538">
        <f t="shared" si="236"/>
        <v>0</v>
      </c>
      <c r="BY151" s="538">
        <f t="shared" si="180"/>
        <v>0.42468125484791364</v>
      </c>
      <c r="BZ151" s="538">
        <f t="shared" si="250"/>
        <v>0.41072700989107574</v>
      </c>
      <c r="CA151" s="641">
        <f t="shared" si="270"/>
        <v>5.359999291427154E-2</v>
      </c>
      <c r="CB151" s="469">
        <f t="shared" si="238"/>
        <v>1299.7352675443367</v>
      </c>
      <c r="CC151" s="177">
        <f t="shared" si="251"/>
        <v>1.1179322352142169</v>
      </c>
      <c r="CD151" s="5">
        <f t="shared" si="239"/>
        <v>5.0470999999999995</v>
      </c>
      <c r="CE151" s="177">
        <f t="shared" si="240"/>
        <v>0.81866563019270699</v>
      </c>
      <c r="CF151" s="5">
        <f t="shared" si="241"/>
        <v>81.8665630192707</v>
      </c>
      <c r="CG151">
        <f t="shared" si="242"/>
        <v>41</v>
      </c>
      <c r="CI151" s="571">
        <f t="shared" si="271"/>
        <v>-50</v>
      </c>
      <c r="CJ151">
        <f t="shared" si="272"/>
        <v>-50</v>
      </c>
    </row>
    <row r="152" spans="5:88" x14ac:dyDescent="0.2">
      <c r="E152" s="174">
        <v>42</v>
      </c>
      <c r="F152" s="221">
        <f t="shared" si="273"/>
        <v>0.17639999999999997</v>
      </c>
      <c r="G152" s="221">
        <f t="shared" si="252"/>
        <v>0.30449999999999999</v>
      </c>
      <c r="H152" s="221">
        <f t="shared" si="253"/>
        <v>2.7341999999999995</v>
      </c>
      <c r="I152" s="221">
        <f t="shared" si="254"/>
        <v>2.4359999999999999</v>
      </c>
      <c r="J152" s="551">
        <f t="shared" si="186"/>
        <v>9</v>
      </c>
      <c r="K152" s="451">
        <f t="shared" si="187"/>
        <v>16.399999999999999</v>
      </c>
      <c r="L152" s="451">
        <f t="shared" si="188"/>
        <v>25.4</v>
      </c>
      <c r="M152" s="451"/>
      <c r="N152" s="221">
        <f t="shared" si="189"/>
        <v>0.64566929133858264</v>
      </c>
      <c r="O152" s="176">
        <f t="shared" si="255"/>
        <v>5.6698549287756563</v>
      </c>
      <c r="P152" s="176">
        <f t="shared" si="256"/>
        <v>9.552037446932033</v>
      </c>
      <c r="Q152" s="221">
        <f t="shared" si="192"/>
        <v>0.36579709217907458</v>
      </c>
      <c r="R152" s="221">
        <f t="shared" si="257"/>
        <v>0.70873186609695704</v>
      </c>
      <c r="S152" s="221">
        <f t="shared" si="258"/>
        <v>15.5</v>
      </c>
      <c r="T152" s="221">
        <f t="shared" si="259"/>
        <v>1.9771616982836495</v>
      </c>
      <c r="U152" s="221">
        <f t="shared" si="196"/>
        <v>1.9771616982836493</v>
      </c>
      <c r="V152" s="221">
        <f t="shared" si="197"/>
        <v>1.0850277612532224</v>
      </c>
      <c r="W152" s="201">
        <f t="shared" si="198"/>
        <v>350</v>
      </c>
      <c r="X152" s="451">
        <f t="shared" si="199"/>
        <v>326.56372612269422</v>
      </c>
      <c r="Z152" s="221">
        <f t="shared" si="200"/>
        <v>1.8447694038245221</v>
      </c>
      <c r="AA152" s="177">
        <f t="shared" si="201"/>
        <v>1.0123734533183355</v>
      </c>
      <c r="AB152" s="177">
        <f t="shared" si="260"/>
        <v>0.17283982577713339</v>
      </c>
      <c r="AC152" s="177"/>
      <c r="AD152" s="177">
        <f t="shared" si="203"/>
        <v>0.45</v>
      </c>
      <c r="AE152" s="555">
        <f t="shared" si="261"/>
        <v>956.09756097560967</v>
      </c>
      <c r="AF152" s="538">
        <f t="shared" si="262"/>
        <v>6.4574999999999994E-2</v>
      </c>
      <c r="AH152" s="177">
        <f t="shared" si="263"/>
        <v>1.8118130882258983</v>
      </c>
      <c r="AI152" s="177">
        <f t="shared" si="264"/>
        <v>1.9771616982836495</v>
      </c>
      <c r="AJ152" s="177">
        <f t="shared" si="265"/>
        <v>2.0571568135434442</v>
      </c>
      <c r="AL152" s="555">
        <f t="shared" si="266"/>
        <v>176.39999999999998</v>
      </c>
      <c r="AM152" s="469">
        <f t="shared" si="267"/>
        <v>326.56372612269422</v>
      </c>
      <c r="AO152" s="469">
        <f t="shared" si="211"/>
        <v>176.39999999999998</v>
      </c>
      <c r="AP152" s="469">
        <f t="shared" si="212"/>
        <v>326.56372612269422</v>
      </c>
      <c r="AR152" s="5">
        <f t="shared" si="249"/>
        <v>3.0621894595368717</v>
      </c>
      <c r="AS152" s="5">
        <f t="shared" si="246"/>
        <v>1.9771616982836493</v>
      </c>
      <c r="AT152" s="5">
        <f t="shared" si="247"/>
        <v>1.0850277612532224</v>
      </c>
      <c r="AU152" s="177">
        <f t="shared" si="248"/>
        <v>0.64566929133858264</v>
      </c>
      <c r="AW152" s="5">
        <f t="shared" si="216"/>
        <v>2.2501375714660363</v>
      </c>
      <c r="AX152" s="5"/>
      <c r="AY152" s="5">
        <f t="shared" si="217"/>
        <v>7.5255717140921394</v>
      </c>
      <c r="AZ152" s="5"/>
      <c r="BA152" s="5">
        <f t="shared" si="218"/>
        <v>0.61042858123838672</v>
      </c>
      <c r="BB152" s="5"/>
      <c r="BC152" s="5"/>
      <c r="BD152" s="177">
        <f t="shared" si="219"/>
        <v>0.91724769071876067</v>
      </c>
      <c r="BE152" s="177">
        <f t="shared" si="220"/>
        <v>0.67949451868605681</v>
      </c>
      <c r="BF152" s="177">
        <f t="shared" si="221"/>
        <v>1.1155442554655364</v>
      </c>
      <c r="BG152" s="177"/>
      <c r="BH152" s="538">
        <f t="shared" si="222"/>
        <v>9.2547765874178914E-2</v>
      </c>
      <c r="BI152" s="538">
        <f t="shared" si="223"/>
        <v>8.2000000000000003E-2</v>
      </c>
      <c r="BJ152" s="538">
        <f t="shared" si="224"/>
        <v>1.6328186306134713E-2</v>
      </c>
      <c r="BK152" s="538">
        <f t="shared" si="225"/>
        <v>4.7404317047696411E-2</v>
      </c>
      <c r="BL152">
        <f t="shared" si="226"/>
        <v>2.6099999999999999E-3</v>
      </c>
      <c r="BM152">
        <f t="shared" si="268"/>
        <v>1.3062549044907769E-5</v>
      </c>
      <c r="BN152">
        <f t="shared" si="269"/>
        <v>0.24508822867413443</v>
      </c>
      <c r="BO152" s="469">
        <f t="shared" si="229"/>
        <v>240.89026922801006</v>
      </c>
      <c r="BP152" s="177">
        <f t="shared" si="230"/>
        <v>0.15875999999999998</v>
      </c>
      <c r="BQ152" s="177">
        <f t="shared" si="231"/>
        <v>0.27405000000000002</v>
      </c>
      <c r="BR152" s="538"/>
      <c r="BT152" s="469">
        <f t="shared" si="232"/>
        <v>432.81</v>
      </c>
      <c r="BU152" s="538">
        <f t="shared" si="233"/>
        <v>4.0384479654187164E-2</v>
      </c>
      <c r="BV152" s="538">
        <f t="shared" si="234"/>
        <v>0.11081107222185504</v>
      </c>
      <c r="BW152" s="538">
        <f t="shared" si="235"/>
        <v>0.29866535661651789</v>
      </c>
      <c r="BX152" s="538">
        <f t="shared" si="236"/>
        <v>0</v>
      </c>
      <c r="BY152" s="538">
        <f t="shared" si="180"/>
        <v>0.4666553069184155</v>
      </c>
      <c r="BZ152" s="538">
        <f t="shared" si="250"/>
        <v>0.44986090849256011</v>
      </c>
      <c r="CA152" s="641">
        <f t="shared" si="270"/>
        <v>6.3829629629629625E-2</v>
      </c>
      <c r="CB152" s="469">
        <f t="shared" si="238"/>
        <v>1430.2067535331655</v>
      </c>
      <c r="CC152" s="177">
        <f t="shared" si="251"/>
        <v>1.2083831652221797</v>
      </c>
      <c r="CD152" s="5">
        <f t="shared" si="239"/>
        <v>5.1701999999999995</v>
      </c>
      <c r="CE152" s="177">
        <f t="shared" si="240"/>
        <v>0.81055617933922652</v>
      </c>
      <c r="CF152" s="5">
        <f t="shared" si="241"/>
        <v>81.055617933922647</v>
      </c>
      <c r="CG152">
        <f t="shared" si="242"/>
        <v>41.999999999999993</v>
      </c>
      <c r="CI152" s="571">
        <f t="shared" si="271"/>
        <v>-50</v>
      </c>
      <c r="CJ152">
        <f t="shared" si="272"/>
        <v>-50</v>
      </c>
    </row>
    <row r="153" spans="5:88" x14ac:dyDescent="0.2">
      <c r="E153" s="174">
        <v>43</v>
      </c>
      <c r="F153" s="221">
        <f t="shared" si="273"/>
        <v>0.18059999999999998</v>
      </c>
      <c r="G153" s="221">
        <f t="shared" si="252"/>
        <v>0.31174999999999997</v>
      </c>
      <c r="H153" s="221">
        <f t="shared" si="253"/>
        <v>2.7992999999999997</v>
      </c>
      <c r="I153" s="221">
        <f t="shared" si="254"/>
        <v>2.4939999999999998</v>
      </c>
      <c r="J153" s="551">
        <f t="shared" si="186"/>
        <v>9</v>
      </c>
      <c r="K153" s="451">
        <f t="shared" si="187"/>
        <v>16.399999999999999</v>
      </c>
      <c r="L153" s="451">
        <f t="shared" si="188"/>
        <v>25.4</v>
      </c>
      <c r="M153" s="451"/>
      <c r="N153" s="221">
        <f t="shared" si="189"/>
        <v>0.64566929133858264</v>
      </c>
      <c r="O153" s="176">
        <f t="shared" si="255"/>
        <v>5.6698549287756563</v>
      </c>
      <c r="P153" s="176">
        <f t="shared" si="256"/>
        <v>9.552037446932033</v>
      </c>
      <c r="Q153" s="221">
        <f t="shared" si="192"/>
        <v>0.36579709217907458</v>
      </c>
      <c r="R153" s="221">
        <f t="shared" si="257"/>
        <v>0.70873186609695704</v>
      </c>
      <c r="S153" s="221">
        <f t="shared" si="258"/>
        <v>15.5</v>
      </c>
      <c r="T153" s="221">
        <f t="shared" si="259"/>
        <v>2.0242369768142128</v>
      </c>
      <c r="U153" s="221">
        <f t="shared" si="196"/>
        <v>2.0242369768142128</v>
      </c>
      <c r="V153" s="221">
        <f t="shared" si="197"/>
        <v>1.1108617555687754</v>
      </c>
      <c r="W153" s="201">
        <f t="shared" si="198"/>
        <v>350</v>
      </c>
      <c r="X153" s="451">
        <f t="shared" si="199"/>
        <v>318.96922086402685</v>
      </c>
      <c r="Z153" s="221">
        <f t="shared" si="200"/>
        <v>1.8447694038245221</v>
      </c>
      <c r="AA153" s="177">
        <f t="shared" si="201"/>
        <v>1.0123734533183355</v>
      </c>
      <c r="AB153" s="177">
        <f t="shared" si="260"/>
        <v>0.17283982577713339</v>
      </c>
      <c r="AC153" s="177"/>
      <c r="AD153" s="177">
        <f t="shared" si="203"/>
        <v>0.45</v>
      </c>
      <c r="AE153" s="555">
        <f t="shared" si="261"/>
        <v>978.86178861788619</v>
      </c>
      <c r="AF153" s="538">
        <f t="shared" si="262"/>
        <v>6.4574999999999994E-2</v>
      </c>
      <c r="AH153" s="177">
        <f t="shared" si="263"/>
        <v>1.8332554095993816</v>
      </c>
      <c r="AI153" s="177">
        <f t="shared" si="264"/>
        <v>2.0242369768142128</v>
      </c>
      <c r="AJ153" s="177">
        <f t="shared" si="265"/>
        <v>2.0920273902327504</v>
      </c>
      <c r="AL153" s="555">
        <f t="shared" si="266"/>
        <v>180.6</v>
      </c>
      <c r="AM153" s="469">
        <f t="shared" si="267"/>
        <v>318.96922086402685</v>
      </c>
      <c r="AO153" s="469">
        <f t="shared" si="211"/>
        <v>180.6</v>
      </c>
      <c r="AP153" s="469">
        <f t="shared" si="212"/>
        <v>318.96922086402685</v>
      </c>
      <c r="AR153" s="5">
        <f t="shared" si="249"/>
        <v>3.1350987323829882</v>
      </c>
      <c r="AS153" s="5">
        <f t="shared" si="246"/>
        <v>2.0242369768142128</v>
      </c>
      <c r="AT153" s="5">
        <f t="shared" si="247"/>
        <v>1.1108617555687754</v>
      </c>
      <c r="AU153" s="177">
        <f t="shared" si="248"/>
        <v>0.64566929133858264</v>
      </c>
      <c r="AW153" s="5">
        <f t="shared" si="216"/>
        <v>2.3585625678235278</v>
      </c>
      <c r="AX153" s="5"/>
      <c r="AY153" s="5">
        <f t="shared" si="217"/>
        <v>7.8881984690228855</v>
      </c>
      <c r="AZ153" s="5"/>
      <c r="BA153" s="5">
        <f t="shared" si="218"/>
        <v>0.63984265686495312</v>
      </c>
      <c r="BB153" s="5"/>
      <c r="BC153" s="5"/>
      <c r="BD153" s="177">
        <f t="shared" si="219"/>
        <v>0.93908692145015982</v>
      </c>
      <c r="BE153" s="177">
        <f t="shared" si="220"/>
        <v>0.69567295960715347</v>
      </c>
      <c r="BF153" s="177">
        <f t="shared" si="221"/>
        <v>1.1421048329766206</v>
      </c>
      <c r="BG153" s="177"/>
      <c r="BH153" s="538">
        <f t="shared" si="222"/>
        <v>9.7007267064261243E-2</v>
      </c>
      <c r="BI153" s="538">
        <f t="shared" si="223"/>
        <v>8.199999999999999E-2</v>
      </c>
      <c r="BJ153" s="538">
        <f t="shared" si="224"/>
        <v>1.5948461043201342E-2</v>
      </c>
      <c r="BK153" s="538">
        <f t="shared" si="225"/>
        <v>4.6301891069842997E-2</v>
      </c>
      <c r="BL153">
        <f t="shared" si="226"/>
        <v>2.6099999999999999E-3</v>
      </c>
      <c r="BM153">
        <f t="shared" si="268"/>
        <v>1.2758768834561075E-5</v>
      </c>
      <c r="BN153">
        <f t="shared" si="269"/>
        <v>0.24832485669126692</v>
      </c>
      <c r="BO153" s="469">
        <f t="shared" si="229"/>
        <v>243.86761917730558</v>
      </c>
      <c r="BP153" s="177">
        <f t="shared" si="230"/>
        <v>0.16253999999999999</v>
      </c>
      <c r="BQ153" s="177">
        <f t="shared" si="231"/>
        <v>0.28057499999999996</v>
      </c>
      <c r="BR153" s="538"/>
      <c r="BT153" s="469">
        <f t="shared" si="232"/>
        <v>443.11499999999995</v>
      </c>
      <c r="BU153" s="538">
        <f t="shared" si="233"/>
        <v>4.2330443809859453E-2</v>
      </c>
      <c r="BV153" s="538">
        <f t="shared" si="234"/>
        <v>0.11615060801485828</v>
      </c>
      <c r="BW153" s="538">
        <f t="shared" si="235"/>
        <v>0.31305682788205302</v>
      </c>
      <c r="BX153" s="538">
        <f t="shared" si="236"/>
        <v>0</v>
      </c>
      <c r="BY153" s="538">
        <f t="shared" si="180"/>
        <v>0.49002303348409643</v>
      </c>
      <c r="BZ153" s="538">
        <f t="shared" si="250"/>
        <v>0.47153787970677075</v>
      </c>
      <c r="CA153" s="641">
        <f t="shared" si="270"/>
        <v>6.5349382716049384E-2</v>
      </c>
      <c r="CB153" s="469">
        <f t="shared" si="238"/>
        <v>1498.4481756136875</v>
      </c>
      <c r="CC153" s="177">
        <f t="shared" si="251"/>
        <v>1.2468122728914128</v>
      </c>
      <c r="CD153" s="5">
        <f t="shared" si="239"/>
        <v>5.2932999999999995</v>
      </c>
      <c r="CE153" s="177">
        <f t="shared" si="240"/>
        <v>0.80935919432768522</v>
      </c>
      <c r="CF153" s="5">
        <f t="shared" si="241"/>
        <v>80.935919432768515</v>
      </c>
      <c r="CG153">
        <f t="shared" si="242"/>
        <v>43</v>
      </c>
      <c r="CI153" s="571">
        <f t="shared" si="271"/>
        <v>-50</v>
      </c>
      <c r="CJ153">
        <f t="shared" si="272"/>
        <v>-50</v>
      </c>
    </row>
    <row r="154" spans="5:88" x14ac:dyDescent="0.2">
      <c r="E154" s="174">
        <v>44</v>
      </c>
      <c r="F154" s="221">
        <f t="shared" si="273"/>
        <v>0.18479999999999999</v>
      </c>
      <c r="G154" s="221">
        <f t="shared" si="252"/>
        <v>0.31900000000000001</v>
      </c>
      <c r="H154" s="221">
        <f t="shared" si="253"/>
        <v>2.8643999999999998</v>
      </c>
      <c r="I154" s="221">
        <f t="shared" si="254"/>
        <v>2.552</v>
      </c>
      <c r="J154" s="551">
        <f t="shared" si="186"/>
        <v>9</v>
      </c>
      <c r="K154" s="451">
        <f t="shared" si="187"/>
        <v>16.399999999999999</v>
      </c>
      <c r="L154" s="451">
        <f t="shared" si="188"/>
        <v>25.4</v>
      </c>
      <c r="M154" s="451"/>
      <c r="N154" s="221">
        <f t="shared" si="189"/>
        <v>0.64566929133858264</v>
      </c>
      <c r="O154" s="176">
        <f t="shared" si="255"/>
        <v>5.6698549287756563</v>
      </c>
      <c r="P154" s="176">
        <f t="shared" si="256"/>
        <v>9.552037446932033</v>
      </c>
      <c r="Q154" s="221">
        <f t="shared" si="192"/>
        <v>0.36579709217907458</v>
      </c>
      <c r="R154" s="221">
        <f t="shared" si="257"/>
        <v>0.70873186609695704</v>
      </c>
      <c r="S154" s="221">
        <f t="shared" si="258"/>
        <v>15.5</v>
      </c>
      <c r="T154" s="221">
        <f t="shared" si="259"/>
        <v>2.0713122553447758</v>
      </c>
      <c r="U154" s="221">
        <f t="shared" si="196"/>
        <v>2.0713122553447758</v>
      </c>
      <c r="V154" s="221">
        <f t="shared" si="197"/>
        <v>1.1366957498843282</v>
      </c>
      <c r="W154" s="201">
        <f t="shared" si="198"/>
        <v>350</v>
      </c>
      <c r="X154" s="451">
        <f t="shared" si="199"/>
        <v>311.71992038984445</v>
      </c>
      <c r="Z154" s="221">
        <f t="shared" si="200"/>
        <v>1.8447694038245221</v>
      </c>
      <c r="AA154" s="177">
        <f t="shared" si="201"/>
        <v>1.0123734533183355</v>
      </c>
      <c r="AB154" s="177">
        <f t="shared" si="260"/>
        <v>0.17283982577713339</v>
      </c>
      <c r="AC154" s="177"/>
      <c r="AD154" s="177">
        <f t="shared" si="203"/>
        <v>0.45</v>
      </c>
      <c r="AE154" s="555">
        <f t="shared" si="261"/>
        <v>1001.6260162601626</v>
      </c>
      <c r="AF154" s="538">
        <f t="shared" si="262"/>
        <v>6.4574999999999994E-2</v>
      </c>
      <c r="AH154" s="177">
        <f t="shared" si="263"/>
        <v>1.854449817866239</v>
      </c>
      <c r="AI154" s="177">
        <f t="shared" si="264"/>
        <v>2.0713122553447758</v>
      </c>
      <c r="AJ154" s="177">
        <f t="shared" si="265"/>
        <v>2.1268979669220562</v>
      </c>
      <c r="AL154" s="555">
        <f t="shared" si="266"/>
        <v>184.79999999999998</v>
      </c>
      <c r="AM154" s="469">
        <f t="shared" si="267"/>
        <v>311.71992038984445</v>
      </c>
      <c r="AO154" s="469">
        <f t="shared" si="211"/>
        <v>184.79999999999998</v>
      </c>
      <c r="AP154" s="469">
        <f t="shared" si="212"/>
        <v>311.71992038984445</v>
      </c>
      <c r="AR154" s="5">
        <f t="shared" si="249"/>
        <v>3.2080080052291042</v>
      </c>
      <c r="AS154" s="5">
        <f t="shared" si="246"/>
        <v>2.0713122553447758</v>
      </c>
      <c r="AT154" s="5">
        <f t="shared" si="247"/>
        <v>1.1366957498843284</v>
      </c>
      <c r="AU154" s="177">
        <f t="shared" si="248"/>
        <v>0.64566929133858264</v>
      </c>
      <c r="AW154" s="5">
        <f t="shared" si="216"/>
        <v>2.4695387405659006</v>
      </c>
      <c r="AX154" s="5"/>
      <c r="AY154" s="5">
        <f t="shared" si="217"/>
        <v>8.259357618187293</v>
      </c>
      <c r="AZ154" s="5"/>
      <c r="BA154" s="5">
        <f t="shared" si="218"/>
        <v>0.66994882838861525</v>
      </c>
      <c r="BB154" s="5"/>
      <c r="BC154" s="5"/>
      <c r="BD154" s="177">
        <f t="shared" si="219"/>
        <v>0.96092615218155886</v>
      </c>
      <c r="BE154" s="177">
        <f t="shared" si="220"/>
        <v>0.71185140052825002</v>
      </c>
      <c r="BF154" s="177">
        <f t="shared" si="221"/>
        <v>1.168665410487705</v>
      </c>
      <c r="BG154" s="177"/>
      <c r="BH154" s="538">
        <f t="shared" si="222"/>
        <v>0.10157169769411022</v>
      </c>
      <c r="BI154" s="538">
        <f t="shared" si="223"/>
        <v>8.2000000000000003E-2</v>
      </c>
      <c r="BJ154" s="538">
        <f t="shared" si="224"/>
        <v>1.5585996019492222E-2</v>
      </c>
      <c r="BK154" s="538">
        <f t="shared" si="225"/>
        <v>4.5249575363710208E-2</v>
      </c>
      <c r="BL154">
        <f t="shared" si="226"/>
        <v>2.6099999999999999E-3</v>
      </c>
      <c r="BM154">
        <f t="shared" si="268"/>
        <v>1.2468796815593779E-5</v>
      </c>
      <c r="BN154">
        <f t="shared" si="269"/>
        <v>0.25174748017061421</v>
      </c>
      <c r="BO154" s="469">
        <f t="shared" si="229"/>
        <v>247.01726907731268</v>
      </c>
      <c r="BP154" s="177">
        <f t="shared" si="230"/>
        <v>0.16632</v>
      </c>
      <c r="BQ154" s="177">
        <f t="shared" si="231"/>
        <v>0.28710000000000002</v>
      </c>
      <c r="BR154" s="538"/>
      <c r="BT154" s="469">
        <f t="shared" si="232"/>
        <v>453.42000000000007</v>
      </c>
      <c r="BU154" s="538">
        <f t="shared" si="233"/>
        <v>4.4322195357429914E-2</v>
      </c>
      <c r="BV154" s="538">
        <f t="shared" si="234"/>
        <v>0.12161577994416743</v>
      </c>
      <c r="BW154" s="538">
        <f t="shared" si="235"/>
        <v>0.32778692200089504</v>
      </c>
      <c r="BX154" s="538">
        <f t="shared" si="236"/>
        <v>0</v>
      </c>
      <c r="BY154" s="538">
        <f t="shared" si="180"/>
        <v>0.5140279698317558</v>
      </c>
      <c r="BZ154" s="538">
        <f t="shared" si="250"/>
        <v>0.49372489730249236</v>
      </c>
      <c r="CA154" s="641">
        <f t="shared" si="270"/>
        <v>6.6869135802469143E-2</v>
      </c>
      <c r="CB154" s="469">
        <f t="shared" si="238"/>
        <v>1568.3469002392096</v>
      </c>
      <c r="CC154" s="177">
        <f t="shared" si="251"/>
        <v>1.2860645858048392</v>
      </c>
      <c r="CD154" s="5">
        <f t="shared" si="239"/>
        <v>5.4163999999999994</v>
      </c>
      <c r="CE154" s="177">
        <f t="shared" si="240"/>
        <v>0.8081206443778014</v>
      </c>
      <c r="CF154" s="5">
        <f t="shared" si="241"/>
        <v>80.812064437780137</v>
      </c>
      <c r="CG154">
        <f t="shared" si="242"/>
        <v>44</v>
      </c>
      <c r="CI154" s="571">
        <f t="shared" si="271"/>
        <v>-50</v>
      </c>
      <c r="CJ154">
        <f t="shared" si="272"/>
        <v>-50</v>
      </c>
    </row>
    <row r="155" spans="5:88" x14ac:dyDescent="0.2">
      <c r="E155" s="174">
        <v>45</v>
      </c>
      <c r="F155" s="221">
        <f t="shared" si="273"/>
        <v>0.189</v>
      </c>
      <c r="G155" s="221">
        <f t="shared" si="252"/>
        <v>0.32624999999999998</v>
      </c>
      <c r="H155" s="221">
        <f t="shared" si="253"/>
        <v>2.9295</v>
      </c>
      <c r="I155" s="221">
        <f t="shared" si="254"/>
        <v>2.61</v>
      </c>
      <c r="J155" s="551">
        <f t="shared" si="186"/>
        <v>9</v>
      </c>
      <c r="K155" s="451">
        <f t="shared" si="187"/>
        <v>16.399999999999999</v>
      </c>
      <c r="L155" s="451">
        <f t="shared" si="188"/>
        <v>25.4</v>
      </c>
      <c r="M155" s="451"/>
      <c r="N155" s="221">
        <f t="shared" si="189"/>
        <v>0.64566929133858264</v>
      </c>
      <c r="O155" s="176">
        <f t="shared" si="255"/>
        <v>5.6698549287756563</v>
      </c>
      <c r="P155" s="176">
        <f t="shared" si="256"/>
        <v>9.552037446932033</v>
      </c>
      <c r="Q155" s="221">
        <f t="shared" si="192"/>
        <v>0.36579709217907458</v>
      </c>
      <c r="R155" s="221">
        <f t="shared" si="257"/>
        <v>0.70873186609695704</v>
      </c>
      <c r="S155" s="221">
        <f t="shared" si="258"/>
        <v>15.5</v>
      </c>
      <c r="T155" s="221">
        <f t="shared" si="259"/>
        <v>2.1183875338753393</v>
      </c>
      <c r="U155" s="221">
        <f t="shared" si="196"/>
        <v>2.1183875338753393</v>
      </c>
      <c r="V155" s="221">
        <f t="shared" si="197"/>
        <v>1.1625297441998816</v>
      </c>
      <c r="W155" s="201">
        <f t="shared" si="198"/>
        <v>350</v>
      </c>
      <c r="X155" s="451">
        <f t="shared" si="199"/>
        <v>304.79281104784781</v>
      </c>
      <c r="Z155" s="221">
        <f t="shared" si="200"/>
        <v>1.8447694038245221</v>
      </c>
      <c r="AA155" s="177">
        <f t="shared" si="201"/>
        <v>1.0123734533183355</v>
      </c>
      <c r="AB155" s="177">
        <f t="shared" si="260"/>
        <v>0.17283982577713339</v>
      </c>
      <c r="AC155" s="177"/>
      <c r="AD155" s="177">
        <f t="shared" si="203"/>
        <v>0.45</v>
      </c>
      <c r="AE155" s="555">
        <f t="shared" si="261"/>
        <v>1024.3902439024391</v>
      </c>
      <c r="AF155" s="538">
        <f t="shared" si="262"/>
        <v>6.4574999999999994E-2</v>
      </c>
      <c r="AH155" s="177">
        <f t="shared" si="263"/>
        <v>1.875404718225604</v>
      </c>
      <c r="AI155" s="177">
        <f t="shared" si="264"/>
        <v>2.1183875338753393</v>
      </c>
      <c r="AJ155" s="177">
        <f t="shared" si="265"/>
        <v>2.1617685436113625</v>
      </c>
      <c r="AL155" s="555">
        <f t="shared" si="266"/>
        <v>189</v>
      </c>
      <c r="AM155" s="469">
        <f t="shared" si="267"/>
        <v>304.79281104784781</v>
      </c>
      <c r="AO155" s="469">
        <f t="shared" si="211"/>
        <v>189</v>
      </c>
      <c r="AP155" s="469">
        <f t="shared" si="212"/>
        <v>304.79281104784781</v>
      </c>
      <c r="AR155" s="5">
        <f t="shared" si="249"/>
        <v>3.2809172780752212</v>
      </c>
      <c r="AS155" s="5">
        <f t="shared" si="246"/>
        <v>2.1183875338753393</v>
      </c>
      <c r="AT155" s="5">
        <f t="shared" si="247"/>
        <v>1.1625297441998819</v>
      </c>
      <c r="AU155" s="177">
        <f t="shared" si="248"/>
        <v>0.64566929133858253</v>
      </c>
      <c r="AW155" s="5">
        <f t="shared" si="216"/>
        <v>2.5830660896931552</v>
      </c>
      <c r="AX155" s="5"/>
      <c r="AY155" s="5">
        <f t="shared" si="217"/>
        <v>8.6390491615853673</v>
      </c>
      <c r="AZ155" s="5"/>
      <c r="BA155" s="5">
        <f t="shared" si="218"/>
        <v>0.70074709580937311</v>
      </c>
      <c r="BB155" s="5"/>
      <c r="BC155" s="5"/>
      <c r="BD155" s="177">
        <f t="shared" si="219"/>
        <v>0.9827653829129579</v>
      </c>
      <c r="BE155" s="177">
        <f t="shared" si="220"/>
        <v>0.72802984144934679</v>
      </c>
      <c r="BF155" s="177">
        <f t="shared" si="221"/>
        <v>1.1952259879987894</v>
      </c>
      <c r="BG155" s="177"/>
      <c r="BH155" s="538">
        <f t="shared" si="222"/>
        <v>0.1062410577637258</v>
      </c>
      <c r="BI155" s="538">
        <f t="shared" si="223"/>
        <v>8.199999999999999E-2</v>
      </c>
      <c r="BJ155" s="538">
        <f t="shared" si="224"/>
        <v>1.5239640552392389E-2</v>
      </c>
      <c r="BK155" s="538">
        <f t="shared" si="225"/>
        <v>4.4244029244516633E-2</v>
      </c>
      <c r="BL155">
        <f t="shared" si="226"/>
        <v>2.6099999999999999E-3</v>
      </c>
      <c r="BM155">
        <f t="shared" si="268"/>
        <v>1.2191712441913912E-5</v>
      </c>
      <c r="BN155">
        <f t="shared" si="269"/>
        <v>0.25535219905932749</v>
      </c>
      <c r="BO155" s="469">
        <f t="shared" si="229"/>
        <v>250.3347275606348</v>
      </c>
      <c r="BP155" s="177">
        <f t="shared" si="230"/>
        <v>0.1701</v>
      </c>
      <c r="BQ155" s="177">
        <f t="shared" si="231"/>
        <v>0.29362499999999997</v>
      </c>
      <c r="BR155" s="538"/>
      <c r="BT155" s="469">
        <f t="shared" si="232"/>
        <v>463.72499999999997</v>
      </c>
      <c r="BU155" s="538">
        <f t="shared" si="233"/>
        <v>4.6359734296898533E-2</v>
      </c>
      <c r="BV155" s="538">
        <f t="shared" si="234"/>
        <v>0.12720658800978263</v>
      </c>
      <c r="BW155" s="538">
        <f t="shared" si="235"/>
        <v>0.34285563897304372</v>
      </c>
      <c r="BX155" s="538">
        <f t="shared" si="236"/>
        <v>0</v>
      </c>
      <c r="BY155" s="538">
        <f t="shared" si="180"/>
        <v>0.53867672035337455</v>
      </c>
      <c r="BZ155" s="538">
        <f t="shared" si="250"/>
        <v>0.51642196127972495</v>
      </c>
      <c r="CA155" s="641">
        <f t="shared" si="270"/>
        <v>6.8388888888888902E-2</v>
      </c>
      <c r="CB155" s="469">
        <f t="shared" si="238"/>
        <v>1639.9095318017132</v>
      </c>
      <c r="CC155" s="177">
        <f t="shared" si="251"/>
        <v>1.3261428083015909</v>
      </c>
      <c r="CD155" s="5">
        <f t="shared" si="239"/>
        <v>5.5395000000000003</v>
      </c>
      <c r="CE155" s="177">
        <f t="shared" si="240"/>
        <v>0.80684360586046133</v>
      </c>
      <c r="CF155" s="5">
        <f t="shared" si="241"/>
        <v>80.684360586046139</v>
      </c>
      <c r="CG155">
        <f t="shared" si="242"/>
        <v>45</v>
      </c>
      <c r="CI155" s="571">
        <f t="shared" si="271"/>
        <v>-50</v>
      </c>
      <c r="CJ155">
        <f t="shared" si="272"/>
        <v>-50</v>
      </c>
    </row>
    <row r="156" spans="5:88" s="77" customFormat="1" x14ac:dyDescent="0.2">
      <c r="E156" s="193">
        <v>46</v>
      </c>
      <c r="F156" s="333">
        <f t="shared" si="273"/>
        <v>0.19320000000000001</v>
      </c>
      <c r="G156" s="221">
        <f t="shared" si="252"/>
        <v>0.33350000000000002</v>
      </c>
      <c r="H156" s="333">
        <f t="shared" si="253"/>
        <v>2.9946000000000002</v>
      </c>
      <c r="I156" s="221">
        <f t="shared" si="254"/>
        <v>2.6680000000000001</v>
      </c>
      <c r="J156" s="551">
        <f t="shared" si="186"/>
        <v>9</v>
      </c>
      <c r="K156" s="545">
        <f t="shared" si="187"/>
        <v>16.399999999999999</v>
      </c>
      <c r="L156" s="545">
        <f t="shared" si="188"/>
        <v>25.4</v>
      </c>
      <c r="M156" s="545"/>
      <c r="N156" s="333">
        <f t="shared" si="189"/>
        <v>0.64566929133858264</v>
      </c>
      <c r="O156" s="176">
        <f t="shared" si="255"/>
        <v>5.6698549287756563</v>
      </c>
      <c r="P156" s="176">
        <f t="shared" si="256"/>
        <v>9.552037446932033</v>
      </c>
      <c r="Q156" s="333">
        <f t="shared" si="192"/>
        <v>0.36579709217907458</v>
      </c>
      <c r="R156" s="221">
        <f t="shared" si="257"/>
        <v>0.70873186609695704</v>
      </c>
      <c r="S156" s="333">
        <f t="shared" si="258"/>
        <v>15.5</v>
      </c>
      <c r="T156" s="221">
        <f t="shared" si="259"/>
        <v>2.1654628124059023</v>
      </c>
      <c r="U156" s="333">
        <f t="shared" si="196"/>
        <v>2.1654628124059023</v>
      </c>
      <c r="V156" s="333">
        <f t="shared" si="197"/>
        <v>1.1883637385154344</v>
      </c>
      <c r="W156" s="547">
        <f t="shared" si="198"/>
        <v>350</v>
      </c>
      <c r="X156" s="545">
        <f t="shared" si="199"/>
        <v>298.16688037289464</v>
      </c>
      <c r="Z156" s="333">
        <f t="shared" si="200"/>
        <v>1.8447694038245221</v>
      </c>
      <c r="AA156" s="548">
        <f t="shared" si="201"/>
        <v>1.0123734533183355</v>
      </c>
      <c r="AB156" s="177">
        <f t="shared" si="260"/>
        <v>0.17283982577713339</v>
      </c>
      <c r="AC156" s="548"/>
      <c r="AD156" s="548">
        <f t="shared" si="203"/>
        <v>0.45</v>
      </c>
      <c r="AE156" s="555">
        <f t="shared" si="261"/>
        <v>1047.1544715447155</v>
      </c>
      <c r="AF156" s="538">
        <f t="shared" si="262"/>
        <v>6.4574999999999994E-2</v>
      </c>
      <c r="AH156" s="177">
        <f t="shared" si="263"/>
        <v>1.8961280513988468</v>
      </c>
      <c r="AI156" s="548">
        <f t="shared" si="264"/>
        <v>2.1654628124059023</v>
      </c>
      <c r="AJ156" s="548">
        <f t="shared" si="265"/>
        <v>2.1966391203006683</v>
      </c>
      <c r="AL156" s="573">
        <f t="shared" si="266"/>
        <v>193.20000000000002</v>
      </c>
      <c r="AM156" s="574">
        <f t="shared" si="267"/>
        <v>298.16688037289464</v>
      </c>
      <c r="AO156" s="77">
        <f t="shared" si="211"/>
        <v>193.20000000000002</v>
      </c>
      <c r="AP156" s="77">
        <f t="shared" si="212"/>
        <v>298.16688037289464</v>
      </c>
      <c r="AR156" s="544">
        <f t="shared" si="249"/>
        <v>3.3538265509213367</v>
      </c>
      <c r="AS156" s="5">
        <f t="shared" si="246"/>
        <v>2.1654628124059023</v>
      </c>
      <c r="AT156" s="5">
        <f t="shared" si="247"/>
        <v>1.1883637385154344</v>
      </c>
      <c r="AU156" s="177">
        <f t="shared" si="248"/>
        <v>0.64566929133858264</v>
      </c>
      <c r="AW156" s="5">
        <f t="shared" si="216"/>
        <v>2.6991446152052925</v>
      </c>
      <c r="AX156" s="5"/>
      <c r="AY156" s="5">
        <f t="shared" si="217"/>
        <v>9.0272730992171049</v>
      </c>
      <c r="AZ156" s="5"/>
      <c r="BA156" s="5">
        <f t="shared" si="218"/>
        <v>0.73223745912722626</v>
      </c>
      <c r="BB156" s="5"/>
      <c r="BC156" s="5"/>
      <c r="BD156" s="177">
        <f t="shared" si="219"/>
        <v>1.0046046136443572</v>
      </c>
      <c r="BE156" s="177">
        <f t="shared" si="220"/>
        <v>0.74420828237044334</v>
      </c>
      <c r="BF156" s="177">
        <f t="shared" si="221"/>
        <v>1.2217865655098734</v>
      </c>
      <c r="BG156" s="177"/>
      <c r="BH156" s="538">
        <f t="shared" si="222"/>
        <v>0.11101534727310809</v>
      </c>
      <c r="BI156" s="538">
        <f t="shared" si="223"/>
        <v>8.2000000000000003E-2</v>
      </c>
      <c r="BJ156" s="538">
        <f t="shared" si="224"/>
        <v>1.4908344018644732E-2</v>
      </c>
      <c r="BK156" s="538">
        <f t="shared" si="225"/>
        <v>4.3282202521809754E-2</v>
      </c>
      <c r="BL156">
        <f t="shared" si="226"/>
        <v>2.6099999999999999E-3</v>
      </c>
      <c r="BM156">
        <f t="shared" si="268"/>
        <v>1.1926675214915786E-5</v>
      </c>
      <c r="BN156">
        <f t="shared" si="269"/>
        <v>0.25913552013422037</v>
      </c>
      <c r="BO156" s="469">
        <f t="shared" si="229"/>
        <v>253.81589381356261</v>
      </c>
      <c r="BP156" s="177">
        <f t="shared" si="230"/>
        <v>0.17388000000000001</v>
      </c>
      <c r="BQ156" s="177">
        <f t="shared" si="231"/>
        <v>0.30015000000000003</v>
      </c>
      <c r="BR156" s="538"/>
      <c r="BS156"/>
      <c r="BT156" s="469">
        <f t="shared" si="232"/>
        <v>474.03000000000009</v>
      </c>
      <c r="BU156" s="538">
        <f t="shared" si="233"/>
        <v>4.8443060628265353E-2</v>
      </c>
      <c r="BV156" s="538">
        <f t="shared" si="234"/>
        <v>0.13292303221170373</v>
      </c>
      <c r="BW156" s="538">
        <f t="shared" si="235"/>
        <v>0.35826297879849889</v>
      </c>
      <c r="BX156" s="538">
        <f t="shared" si="236"/>
        <v>0</v>
      </c>
      <c r="BY156" s="538">
        <f t="shared" si="180"/>
        <v>0.56397610374153395</v>
      </c>
      <c r="BZ156" s="538">
        <f t="shared" si="250"/>
        <v>0.53962907163846796</v>
      </c>
      <c r="CA156" s="641">
        <f t="shared" si="270"/>
        <v>6.9908641975308675E-2</v>
      </c>
      <c r="CB156" s="469">
        <f t="shared" si="238"/>
        <v>1713.1428889937788</v>
      </c>
      <c r="CC156" s="177">
        <f t="shared" si="251"/>
        <v>1.3670502658510633</v>
      </c>
      <c r="CD156" s="5">
        <f t="shared" si="239"/>
        <v>5.6626000000000003</v>
      </c>
      <c r="CE156" s="177">
        <f t="shared" si="240"/>
        <v>0.80553082811360066</v>
      </c>
      <c r="CF156" s="5">
        <f t="shared" si="241"/>
        <v>80.553082811360071</v>
      </c>
      <c r="CG156">
        <f t="shared" si="242"/>
        <v>46</v>
      </c>
      <c r="CI156" s="571">
        <f t="shared" si="271"/>
        <v>-50</v>
      </c>
      <c r="CJ156">
        <f t="shared" si="272"/>
        <v>-50</v>
      </c>
    </row>
    <row r="157" spans="5:88" x14ac:dyDescent="0.2">
      <c r="E157" s="174">
        <v>47</v>
      </c>
      <c r="F157" s="221">
        <f t="shared" si="273"/>
        <v>0.19739999999999999</v>
      </c>
      <c r="G157" s="221">
        <f t="shared" si="252"/>
        <v>0.34075</v>
      </c>
      <c r="H157" s="221">
        <f t="shared" si="253"/>
        <v>3.0596999999999999</v>
      </c>
      <c r="I157" s="221">
        <f t="shared" si="254"/>
        <v>2.726</v>
      </c>
      <c r="J157" s="551">
        <f t="shared" si="186"/>
        <v>9</v>
      </c>
      <c r="K157" s="451">
        <f t="shared" si="187"/>
        <v>16.399999999999999</v>
      </c>
      <c r="L157" s="451">
        <f t="shared" si="188"/>
        <v>25.4</v>
      </c>
      <c r="M157" s="451"/>
      <c r="N157" s="221">
        <f t="shared" si="189"/>
        <v>0.64566929133858264</v>
      </c>
      <c r="O157" s="176">
        <f t="shared" si="255"/>
        <v>5.6698549287756563</v>
      </c>
      <c r="P157" s="176">
        <f t="shared" si="256"/>
        <v>9.552037446932033</v>
      </c>
      <c r="Q157" s="221">
        <f t="shared" si="192"/>
        <v>0.36579709217907458</v>
      </c>
      <c r="R157" s="221">
        <f t="shared" si="257"/>
        <v>0.70873186609695704</v>
      </c>
      <c r="S157" s="221">
        <f t="shared" si="258"/>
        <v>15.5</v>
      </c>
      <c r="T157" s="221">
        <f t="shared" si="259"/>
        <v>2.2125380909364654</v>
      </c>
      <c r="U157" s="221">
        <f t="shared" si="196"/>
        <v>2.2125380909364654</v>
      </c>
      <c r="V157" s="221">
        <f t="shared" si="197"/>
        <v>1.2141977328309872</v>
      </c>
      <c r="W157" s="201">
        <f t="shared" si="198"/>
        <v>350</v>
      </c>
      <c r="X157" s="451">
        <f t="shared" si="199"/>
        <v>291.82290419474799</v>
      </c>
      <c r="Z157" s="221">
        <f t="shared" si="200"/>
        <v>1.8447694038245221</v>
      </c>
      <c r="AA157" s="177">
        <f t="shared" si="201"/>
        <v>1.0123734533183355</v>
      </c>
      <c r="AB157" s="177">
        <f t="shared" si="260"/>
        <v>0.17283982577713339</v>
      </c>
      <c r="AC157" s="177"/>
      <c r="AD157" s="177">
        <f t="shared" si="203"/>
        <v>0.45</v>
      </c>
      <c r="AE157" s="555">
        <f t="shared" si="261"/>
        <v>1069.9186991869919</v>
      </c>
      <c r="AF157" s="538">
        <f t="shared" si="262"/>
        <v>6.4574999999999994E-2</v>
      </c>
      <c r="AH157" s="177">
        <f t="shared" si="263"/>
        <v>1.9166273287888591</v>
      </c>
      <c r="AI157" s="177">
        <f t="shared" si="264"/>
        <v>2.2125380909364654</v>
      </c>
      <c r="AJ157" s="177">
        <f t="shared" si="265"/>
        <v>2.2315096969899741</v>
      </c>
      <c r="AL157" s="555">
        <f t="shared" si="266"/>
        <v>197.4</v>
      </c>
      <c r="AM157" s="469">
        <f t="shared" si="267"/>
        <v>291.82290419474799</v>
      </c>
      <c r="AO157">
        <f t="shared" si="211"/>
        <v>197.4</v>
      </c>
      <c r="AP157">
        <f t="shared" si="212"/>
        <v>291.82290419474799</v>
      </c>
      <c r="AR157" s="5">
        <f t="shared" si="249"/>
        <v>3.4267358237674519</v>
      </c>
      <c r="AS157" s="5">
        <f t="shared" si="246"/>
        <v>2.2125380909364654</v>
      </c>
      <c r="AT157" s="5">
        <f t="shared" si="247"/>
        <v>1.2141977328309865</v>
      </c>
      <c r="AU157" s="177">
        <f t="shared" si="248"/>
        <v>0.64566929133858275</v>
      </c>
      <c r="AW157" s="5">
        <f t="shared" si="216"/>
        <v>2.8177743171023115</v>
      </c>
      <c r="AX157" s="5"/>
      <c r="AY157" s="5">
        <f t="shared" si="217"/>
        <v>9.4240294310825075</v>
      </c>
      <c r="AZ157" s="5"/>
      <c r="BA157" s="5">
        <f t="shared" si="218"/>
        <v>0.7644199183421746</v>
      </c>
      <c r="BB157" s="5"/>
      <c r="BC157" s="5"/>
      <c r="BD157" s="177">
        <f t="shared" si="219"/>
        <v>1.0264438443757562</v>
      </c>
      <c r="BE157" s="177">
        <f t="shared" si="220"/>
        <v>0.76038672329153978</v>
      </c>
      <c r="BF157" s="177">
        <f t="shared" si="221"/>
        <v>1.2483471430209574</v>
      </c>
      <c r="BG157" s="177"/>
      <c r="BH157" s="538">
        <f t="shared" si="222"/>
        <v>0.11589456622225698</v>
      </c>
      <c r="BI157" s="538">
        <f t="shared" si="223"/>
        <v>8.2000000000000003E-2</v>
      </c>
      <c r="BJ157" s="538">
        <f t="shared" si="224"/>
        <v>1.4591145209737399E-2</v>
      </c>
      <c r="BK157" s="538">
        <f t="shared" si="225"/>
        <v>4.236130459581381E-2</v>
      </c>
      <c r="BL157">
        <f t="shared" si="226"/>
        <v>2.6099999999999999E-3</v>
      </c>
      <c r="BM157">
        <f t="shared" si="268"/>
        <v>1.167291616778992E-5</v>
      </c>
      <c r="BN157">
        <f t="shared" si="269"/>
        <v>0.2630943156366391</v>
      </c>
      <c r="BO157" s="469">
        <f t="shared" si="229"/>
        <v>257.45701602780821</v>
      </c>
      <c r="BP157" s="177">
        <f t="shared" si="230"/>
        <v>0.17765999999999998</v>
      </c>
      <c r="BQ157" s="177">
        <f t="shared" si="231"/>
        <v>0.30667500000000003</v>
      </c>
      <c r="BR157" s="538"/>
      <c r="BT157" s="469">
        <f t="shared" si="232"/>
        <v>484.33500000000004</v>
      </c>
      <c r="BU157" s="538">
        <f t="shared" si="233"/>
        <v>5.0572174351530323E-2</v>
      </c>
      <c r="BV157" s="538">
        <f t="shared" si="234"/>
        <v>0.13876511254993071</v>
      </c>
      <c r="BW157" s="538">
        <f t="shared" si="235"/>
        <v>0.37400894147726077</v>
      </c>
      <c r="BX157" s="538">
        <f t="shared" si="236"/>
        <v>0</v>
      </c>
      <c r="BY157" s="538">
        <f t="shared" si="180"/>
        <v>0.58993315794042478</v>
      </c>
      <c r="BZ157" s="538">
        <f t="shared" si="250"/>
        <v>0.56334622837872184</v>
      </c>
      <c r="CA157" s="641">
        <f t="shared" si="270"/>
        <v>7.1428395061728434E-2</v>
      </c>
      <c r="CB157" s="469">
        <f t="shared" si="238"/>
        <v>1788.054009759597</v>
      </c>
      <c r="CC157" s="177">
        <f t="shared" si="251"/>
        <v>1.4087908686387924</v>
      </c>
      <c r="CD157" s="5">
        <f t="shared" si="239"/>
        <v>5.7857000000000003</v>
      </c>
      <c r="CE157" s="177">
        <f t="shared" si="240"/>
        <v>0.80418477215951523</v>
      </c>
      <c r="CF157" s="5">
        <f t="shared" si="241"/>
        <v>80.418477215951526</v>
      </c>
      <c r="CG157">
        <f t="shared" si="242"/>
        <v>47</v>
      </c>
      <c r="CI157" s="571">
        <f t="shared" si="271"/>
        <v>-50</v>
      </c>
      <c r="CJ157">
        <f t="shared" si="272"/>
        <v>-50</v>
      </c>
    </row>
    <row r="158" spans="5:88" x14ac:dyDescent="0.2">
      <c r="E158" s="174">
        <v>48</v>
      </c>
      <c r="F158" s="221">
        <f t="shared" si="273"/>
        <v>0.20159999999999997</v>
      </c>
      <c r="G158" s="221">
        <f t="shared" si="252"/>
        <v>0.34799999999999998</v>
      </c>
      <c r="H158" s="221">
        <f t="shared" si="253"/>
        <v>3.1247999999999996</v>
      </c>
      <c r="I158" s="221">
        <f t="shared" si="254"/>
        <v>2.7839999999999998</v>
      </c>
      <c r="J158" s="551">
        <f t="shared" si="186"/>
        <v>9</v>
      </c>
      <c r="K158" s="451">
        <f t="shared" si="187"/>
        <v>16.399999999999999</v>
      </c>
      <c r="L158" s="451">
        <f t="shared" si="188"/>
        <v>25.4</v>
      </c>
      <c r="M158" s="451"/>
      <c r="N158" s="221">
        <f t="shared" si="189"/>
        <v>0.64566929133858264</v>
      </c>
      <c r="O158" s="176">
        <f t="shared" si="255"/>
        <v>5.6698549287756563</v>
      </c>
      <c r="P158" s="176">
        <f t="shared" si="256"/>
        <v>9.552037446932033</v>
      </c>
      <c r="Q158" s="221">
        <f t="shared" si="192"/>
        <v>0.36579709217907458</v>
      </c>
      <c r="R158" s="221">
        <f t="shared" si="257"/>
        <v>0.70873186609695704</v>
      </c>
      <c r="S158" s="221">
        <f t="shared" si="258"/>
        <v>15.5</v>
      </c>
      <c r="T158" s="221">
        <f t="shared" si="259"/>
        <v>2.259613369467028</v>
      </c>
      <c r="U158" s="221">
        <f t="shared" si="196"/>
        <v>2.259613369467028</v>
      </c>
      <c r="V158" s="221">
        <f t="shared" si="197"/>
        <v>1.2400317271465398</v>
      </c>
      <c r="W158" s="201">
        <f t="shared" si="198"/>
        <v>350</v>
      </c>
      <c r="X158" s="451">
        <f t="shared" si="199"/>
        <v>285.74326035735743</v>
      </c>
      <c r="Z158" s="221">
        <f t="shared" si="200"/>
        <v>1.8447694038245221</v>
      </c>
      <c r="AA158" s="177">
        <f t="shared" si="201"/>
        <v>1.0123734533183355</v>
      </c>
      <c r="AB158" s="177">
        <f t="shared" si="260"/>
        <v>0.17283982577713339</v>
      </c>
      <c r="AC158" s="177"/>
      <c r="AD158" s="177">
        <f t="shared" si="203"/>
        <v>0.45</v>
      </c>
      <c r="AE158" s="555">
        <f t="shared" si="261"/>
        <v>1092.6829268292681</v>
      </c>
      <c r="AF158" s="538">
        <f t="shared" si="262"/>
        <v>6.4574999999999994E-2</v>
      </c>
      <c r="AH158" s="177">
        <f t="shared" si="263"/>
        <v>1.9369096642897539</v>
      </c>
      <c r="AI158" s="177">
        <f t="shared" si="264"/>
        <v>2.259613369467028</v>
      </c>
      <c r="AJ158" s="177">
        <f t="shared" si="265"/>
        <v>2.26638027367928</v>
      </c>
      <c r="AL158" s="555">
        <f t="shared" si="266"/>
        <v>201.59999999999997</v>
      </c>
      <c r="AM158" s="469">
        <f t="shared" si="267"/>
        <v>285.74326035735743</v>
      </c>
      <c r="AO158">
        <f t="shared" si="211"/>
        <v>201.59999999999997</v>
      </c>
      <c r="AP158">
        <f t="shared" si="212"/>
        <v>285.74326035735743</v>
      </c>
      <c r="AR158" s="5">
        <f t="shared" si="249"/>
        <v>3.4996450966135679</v>
      </c>
      <c r="AS158" s="5">
        <f t="shared" si="246"/>
        <v>2.259613369467028</v>
      </c>
      <c r="AT158" s="5">
        <f t="shared" si="247"/>
        <v>1.24003172714654</v>
      </c>
      <c r="AU158" s="177">
        <f t="shared" si="248"/>
        <v>0.64566929133858264</v>
      </c>
      <c r="AW158" s="5">
        <f t="shared" si="216"/>
        <v>2.9389551953842115</v>
      </c>
      <c r="AX158" s="5"/>
      <c r="AY158" s="5">
        <f t="shared" si="217"/>
        <v>9.8293181571815715</v>
      </c>
      <c r="AZ158" s="5"/>
      <c r="BA158" s="5">
        <f t="shared" si="218"/>
        <v>0.79729447345421955</v>
      </c>
      <c r="BB158" s="5"/>
      <c r="BC158" s="5"/>
      <c r="BD158" s="177">
        <f t="shared" si="219"/>
        <v>1.048283075107155</v>
      </c>
      <c r="BE158" s="177">
        <f t="shared" si="220"/>
        <v>0.77656516421263633</v>
      </c>
      <c r="BF158" s="177">
        <f t="shared" si="221"/>
        <v>1.2749077205320414</v>
      </c>
      <c r="BG158" s="177"/>
      <c r="BH158" s="538">
        <f t="shared" si="222"/>
        <v>0.12087871461117244</v>
      </c>
      <c r="BI158" s="538">
        <f t="shared" si="223"/>
        <v>8.2000000000000003E-2</v>
      </c>
      <c r="BJ158" s="538">
        <f t="shared" si="224"/>
        <v>1.4287163017867871E-2</v>
      </c>
      <c r="BK158" s="538">
        <f t="shared" si="225"/>
        <v>4.1478777416734357E-2</v>
      </c>
      <c r="BL158">
        <f t="shared" si="226"/>
        <v>2.6099999999999999E-3</v>
      </c>
      <c r="BM158">
        <f t="shared" si="268"/>
        <v>1.1429730414294298E-5</v>
      </c>
      <c r="BN158">
        <f t="shared" si="269"/>
        <v>0.26722578710782285</v>
      </c>
      <c r="BO158" s="469">
        <f t="shared" si="229"/>
        <v>261.25465504577465</v>
      </c>
      <c r="BP158" s="177">
        <f t="shared" si="230"/>
        <v>0.18143999999999999</v>
      </c>
      <c r="BQ158" s="177">
        <f t="shared" si="231"/>
        <v>0.31319999999999998</v>
      </c>
      <c r="BR158" s="538"/>
      <c r="BT158" s="469">
        <f t="shared" si="232"/>
        <v>494.64</v>
      </c>
      <c r="BU158" s="538">
        <f t="shared" si="233"/>
        <v>5.2747075466693431E-2</v>
      </c>
      <c r="BV158" s="538">
        <f t="shared" si="234"/>
        <v>0.14473282902446372</v>
      </c>
      <c r="BW158" s="538">
        <f t="shared" si="235"/>
        <v>0.39009352700932931</v>
      </c>
      <c r="BX158" s="538">
        <f t="shared" si="236"/>
        <v>0</v>
      </c>
      <c r="BY158" s="538">
        <f t="shared" si="180"/>
        <v>0.61655514529490307</v>
      </c>
      <c r="BZ158" s="538">
        <f t="shared" si="250"/>
        <v>0.58757343150048646</v>
      </c>
      <c r="CA158" s="641">
        <f t="shared" si="270"/>
        <v>7.2948148148148151E-2</v>
      </c>
      <c r="CB158" s="469">
        <f t="shared" si="238"/>
        <v>1864.6501564440241</v>
      </c>
      <c r="CC158" s="177">
        <f t="shared" si="251"/>
        <v>1.4513690805508741</v>
      </c>
      <c r="CD158" s="5">
        <f t="shared" si="239"/>
        <v>5.9087999999999994</v>
      </c>
      <c r="CE158" s="177">
        <f t="shared" si="240"/>
        <v>0.802807644136044</v>
      </c>
      <c r="CF158" s="5">
        <f t="shared" si="241"/>
        <v>80.280764413604402</v>
      </c>
      <c r="CG158">
        <f t="shared" si="242"/>
        <v>48</v>
      </c>
      <c r="CI158" s="571">
        <f t="shared" si="271"/>
        <v>-50</v>
      </c>
      <c r="CJ158">
        <f t="shared" si="272"/>
        <v>-50</v>
      </c>
    </row>
    <row r="159" spans="5:88" x14ac:dyDescent="0.2">
      <c r="E159" s="174">
        <v>49</v>
      </c>
      <c r="F159" s="221">
        <f t="shared" si="273"/>
        <v>0.20579999999999998</v>
      </c>
      <c r="G159" s="221">
        <f t="shared" si="252"/>
        <v>0.35525000000000001</v>
      </c>
      <c r="H159" s="221">
        <f t="shared" si="253"/>
        <v>3.1898999999999997</v>
      </c>
      <c r="I159" s="221">
        <f t="shared" si="254"/>
        <v>2.8420000000000001</v>
      </c>
      <c r="J159" s="551">
        <f t="shared" si="186"/>
        <v>9</v>
      </c>
      <c r="K159" s="451">
        <f t="shared" si="187"/>
        <v>16.399999999999999</v>
      </c>
      <c r="L159" s="451">
        <f t="shared" si="188"/>
        <v>25.4</v>
      </c>
      <c r="M159" s="451"/>
      <c r="N159" s="221">
        <f t="shared" si="189"/>
        <v>0.64566929133858264</v>
      </c>
      <c r="O159" s="176">
        <f t="shared" si="255"/>
        <v>5.6698549287756563</v>
      </c>
      <c r="P159" s="176">
        <f t="shared" si="256"/>
        <v>9.552037446932033</v>
      </c>
      <c r="Q159" s="221">
        <f t="shared" si="192"/>
        <v>0.36579709217907458</v>
      </c>
      <c r="R159" s="221">
        <f t="shared" si="257"/>
        <v>0.70873186609695704</v>
      </c>
      <c r="S159" s="221">
        <f t="shared" si="258"/>
        <v>15.5</v>
      </c>
      <c r="T159" s="221">
        <f t="shared" si="259"/>
        <v>2.3066886479975914</v>
      </c>
      <c r="U159" s="221">
        <f t="shared" si="196"/>
        <v>2.3066886479975914</v>
      </c>
      <c r="V159" s="221">
        <f t="shared" si="197"/>
        <v>1.265865721462093</v>
      </c>
      <c r="W159" s="201">
        <f t="shared" si="198"/>
        <v>350</v>
      </c>
      <c r="X159" s="451">
        <f t="shared" si="199"/>
        <v>279.91176524802358</v>
      </c>
      <c r="Z159" s="221">
        <f t="shared" si="200"/>
        <v>1.8447694038245221</v>
      </c>
      <c r="AA159" s="177">
        <f t="shared" si="201"/>
        <v>1.0123734533183355</v>
      </c>
      <c r="AB159" s="177">
        <f t="shared" si="260"/>
        <v>0.17283982577713339</v>
      </c>
      <c r="AC159" s="177"/>
      <c r="AD159" s="177">
        <f t="shared" si="203"/>
        <v>0.45</v>
      </c>
      <c r="AE159" s="555">
        <f t="shared" si="261"/>
        <v>1115.4471544715448</v>
      </c>
      <c r="AF159" s="538">
        <f t="shared" si="262"/>
        <v>6.4574999999999994E-2</v>
      </c>
      <c r="AH159" s="177">
        <f t="shared" si="263"/>
        <v>1.9569818031289352</v>
      </c>
      <c r="AI159" s="177">
        <f t="shared" si="264"/>
        <v>2.3066886479975914</v>
      </c>
      <c r="AJ159" s="177">
        <f t="shared" si="265"/>
        <v>2.3012508503685862</v>
      </c>
      <c r="AL159" s="555">
        <f t="shared" si="266"/>
        <v>205.79999999999998</v>
      </c>
      <c r="AM159" s="469">
        <f t="shared" si="267"/>
        <v>279.91176524802358</v>
      </c>
      <c r="AO159">
        <f t="shared" si="211"/>
        <v>205.79999999999998</v>
      </c>
      <c r="AP159">
        <f t="shared" si="212"/>
        <v>279.91176524802358</v>
      </c>
      <c r="AR159" s="5">
        <f t="shared" si="249"/>
        <v>3.572554369459684</v>
      </c>
      <c r="AS159" s="5">
        <f t="shared" si="246"/>
        <v>2.3066886479975914</v>
      </c>
      <c r="AT159" s="5">
        <f t="shared" si="247"/>
        <v>1.2658657214620925</v>
      </c>
      <c r="AU159" s="177">
        <f t="shared" si="248"/>
        <v>0.64566929133858275</v>
      </c>
      <c r="AW159" s="5">
        <f t="shared" si="216"/>
        <v>3.0626872500509958</v>
      </c>
      <c r="AX159" s="5"/>
      <c r="AY159" s="5">
        <f t="shared" si="217"/>
        <v>10.243139277514304</v>
      </c>
      <c r="AZ159" s="5"/>
      <c r="BA159" s="5">
        <f t="shared" si="218"/>
        <v>0.83086112446335969</v>
      </c>
      <c r="BB159" s="5"/>
      <c r="BC159" s="5"/>
      <c r="BD159" s="177">
        <f t="shared" si="219"/>
        <v>1.0701223058385543</v>
      </c>
      <c r="BE159" s="177">
        <f t="shared" si="220"/>
        <v>0.79274360513373288</v>
      </c>
      <c r="BF159" s="177">
        <f t="shared" si="221"/>
        <v>1.3014682980431256</v>
      </c>
      <c r="BG159" s="177"/>
      <c r="BH159" s="538">
        <f t="shared" si="222"/>
        <v>0.12596779243985468</v>
      </c>
      <c r="BI159" s="538">
        <f t="shared" si="223"/>
        <v>8.2000000000000003E-2</v>
      </c>
      <c r="BJ159" s="538">
        <f t="shared" si="224"/>
        <v>1.3995588262401179E-2</v>
      </c>
      <c r="BK159" s="538">
        <f t="shared" si="225"/>
        <v>4.0632271755168349E-2</v>
      </c>
      <c r="BL159">
        <f t="shared" si="226"/>
        <v>2.6099999999999999E-3</v>
      </c>
      <c r="BM159">
        <f t="shared" si="268"/>
        <v>1.1196470609920944E-5</v>
      </c>
      <c r="BN159">
        <f t="shared" si="269"/>
        <v>0.27152743368278792</v>
      </c>
      <c r="BO159" s="469">
        <f t="shared" si="229"/>
        <v>265.20565245742421</v>
      </c>
      <c r="BP159" s="177">
        <f t="shared" si="230"/>
        <v>0.18522</v>
      </c>
      <c r="BQ159" s="177">
        <f t="shared" si="231"/>
        <v>0.31972500000000004</v>
      </c>
      <c r="BR159" s="538"/>
      <c r="BT159" s="469">
        <f t="shared" si="232"/>
        <v>504.94499999999999</v>
      </c>
      <c r="BU159" s="538">
        <f t="shared" si="233"/>
        <v>5.4967763973754767E-2</v>
      </c>
      <c r="BV159" s="538">
        <f t="shared" si="234"/>
        <v>0.15082618163530268</v>
      </c>
      <c r="BW159" s="538">
        <f t="shared" si="235"/>
        <v>0.40651673539470479</v>
      </c>
      <c r="BX159" s="538">
        <f t="shared" si="236"/>
        <v>0</v>
      </c>
      <c r="BY159" s="538">
        <f t="shared" si="180"/>
        <v>0.64384955790494192</v>
      </c>
      <c r="BZ159" s="538">
        <f t="shared" si="250"/>
        <v>0.61231068100376218</v>
      </c>
      <c r="CA159" s="641">
        <f t="shared" si="270"/>
        <v>7.4467901234567924E-2</v>
      </c>
      <c r="CB159" s="469">
        <f t="shared" si="238"/>
        <v>1942.9388211470341</v>
      </c>
      <c r="CC159" s="177">
        <f t="shared" si="251"/>
        <v>1.4947898928222978</v>
      </c>
      <c r="CD159" s="5">
        <f t="shared" si="239"/>
        <v>6.0319000000000003</v>
      </c>
      <c r="CE159" s="177">
        <f t="shared" si="240"/>
        <v>0.80140142425054883</v>
      </c>
      <c r="CF159" s="5">
        <f t="shared" si="241"/>
        <v>80.14014242505489</v>
      </c>
      <c r="CG159">
        <f t="shared" si="242"/>
        <v>49</v>
      </c>
      <c r="CI159" s="571">
        <f t="shared" si="271"/>
        <v>-50</v>
      </c>
      <c r="CJ159">
        <f t="shared" si="272"/>
        <v>-50</v>
      </c>
    </row>
    <row r="160" spans="5:88" x14ac:dyDescent="0.2">
      <c r="E160" s="174">
        <v>50</v>
      </c>
      <c r="F160" s="221">
        <f t="shared" si="273"/>
        <v>0.21</v>
      </c>
      <c r="G160" s="221">
        <f t="shared" si="252"/>
        <v>0.36249999999999999</v>
      </c>
      <c r="H160" s="221">
        <f t="shared" si="253"/>
        <v>3.2549999999999999</v>
      </c>
      <c r="I160" s="221">
        <f t="shared" si="254"/>
        <v>2.9</v>
      </c>
      <c r="J160" s="551">
        <f t="shared" si="186"/>
        <v>9</v>
      </c>
      <c r="K160" s="451">
        <f t="shared" si="187"/>
        <v>16.399999999999999</v>
      </c>
      <c r="L160" s="451">
        <f t="shared" si="188"/>
        <v>25.4</v>
      </c>
      <c r="M160" s="451"/>
      <c r="N160" s="221">
        <f t="shared" si="189"/>
        <v>0.64566929133858264</v>
      </c>
      <c r="O160" s="176">
        <f t="shared" si="255"/>
        <v>5.6698549287756563</v>
      </c>
      <c r="P160" s="176">
        <f t="shared" si="256"/>
        <v>9.552037446932033</v>
      </c>
      <c r="Q160" s="221">
        <f t="shared" si="192"/>
        <v>0.36579709217907458</v>
      </c>
      <c r="R160" s="221">
        <f t="shared" si="257"/>
        <v>0.70873186609695704</v>
      </c>
      <c r="S160" s="221">
        <f t="shared" si="258"/>
        <v>15.5</v>
      </c>
      <c r="T160" s="221">
        <f t="shared" si="259"/>
        <v>2.353763926528154</v>
      </c>
      <c r="U160" s="221">
        <f t="shared" si="196"/>
        <v>2.353763926528154</v>
      </c>
      <c r="V160" s="221">
        <f t="shared" si="197"/>
        <v>1.2916997157776458</v>
      </c>
      <c r="W160" s="201">
        <f t="shared" si="198"/>
        <v>350</v>
      </c>
      <c r="X160" s="451">
        <f t="shared" si="199"/>
        <v>274.31352994306314</v>
      </c>
      <c r="Z160" s="221">
        <f t="shared" si="200"/>
        <v>1.8447694038245221</v>
      </c>
      <c r="AA160" s="177">
        <f t="shared" si="201"/>
        <v>1.0123734533183355</v>
      </c>
      <c r="AB160" s="177">
        <f t="shared" si="260"/>
        <v>0.17283982577713339</v>
      </c>
      <c r="AC160" s="177"/>
      <c r="AD160" s="177">
        <f t="shared" si="203"/>
        <v>0.45</v>
      </c>
      <c r="AE160" s="555">
        <f t="shared" si="261"/>
        <v>1138.2113821138212</v>
      </c>
      <c r="AF160" s="538">
        <f t="shared" si="262"/>
        <v>6.4574999999999994E-2</v>
      </c>
      <c r="AH160" s="177">
        <f t="shared" si="263"/>
        <v>1.9768501480730671</v>
      </c>
      <c r="AI160" s="177">
        <f t="shared" si="264"/>
        <v>2.353763926528154</v>
      </c>
      <c r="AJ160" s="177">
        <f t="shared" si="265"/>
        <v>2.3361214270578921</v>
      </c>
      <c r="AL160" s="555">
        <f t="shared" si="266"/>
        <v>210</v>
      </c>
      <c r="AM160" s="469">
        <f t="shared" si="267"/>
        <v>274.31352994306314</v>
      </c>
      <c r="AO160">
        <f t="shared" si="211"/>
        <v>210</v>
      </c>
      <c r="AP160">
        <f t="shared" si="212"/>
        <v>274.31352994306314</v>
      </c>
      <c r="AR160" s="5">
        <f t="shared" si="249"/>
        <v>3.6454636423057996</v>
      </c>
      <c r="AS160" s="5">
        <f t="shared" si="246"/>
        <v>2.353763926528154</v>
      </c>
      <c r="AT160" s="5">
        <f t="shared" si="247"/>
        <v>1.2916997157776455</v>
      </c>
      <c r="AU160" s="177">
        <f t="shared" si="248"/>
        <v>0.64566929133858264</v>
      </c>
      <c r="AW160" s="5">
        <f t="shared" si="216"/>
        <v>3.1889704811026602</v>
      </c>
      <c r="AX160" s="5"/>
      <c r="AY160" s="5">
        <f t="shared" si="217"/>
        <v>10.665492792080698</v>
      </c>
      <c r="AZ160" s="5"/>
      <c r="BA160" s="5">
        <f t="shared" si="218"/>
        <v>0.86511987136959578</v>
      </c>
      <c r="BB160" s="5"/>
      <c r="BC160" s="5"/>
      <c r="BD160" s="177">
        <f t="shared" si="219"/>
        <v>1.0919615365699531</v>
      </c>
      <c r="BE160" s="177">
        <f t="shared" si="220"/>
        <v>0.80892204605482942</v>
      </c>
      <c r="BF160" s="177">
        <f t="shared" si="221"/>
        <v>1.3280288755542098</v>
      </c>
      <c r="BG160" s="177"/>
      <c r="BH160" s="538">
        <f t="shared" si="222"/>
        <v>0.13116179970830344</v>
      </c>
      <c r="BI160" s="538">
        <f t="shared" si="223"/>
        <v>8.2000000000000003E-2</v>
      </c>
      <c r="BJ160" s="538">
        <f t="shared" si="224"/>
        <v>1.3715676497153157E-2</v>
      </c>
      <c r="BK160" s="538">
        <f t="shared" si="225"/>
        <v>3.9819626320064985E-2</v>
      </c>
      <c r="BL160">
        <f t="shared" si="226"/>
        <v>2.6099999999999999E-3</v>
      </c>
      <c r="BM160">
        <f t="shared" si="268"/>
        <v>1.0972541197722526E-5</v>
      </c>
      <c r="BN160">
        <f t="shared" si="269"/>
        <v>0.27599702421950578</v>
      </c>
      <c r="BO160" s="469">
        <f t="shared" si="229"/>
        <v>269.3071025255216</v>
      </c>
      <c r="BP160" s="177">
        <f t="shared" si="230"/>
        <v>0.189</v>
      </c>
      <c r="BQ160" s="177">
        <f t="shared" si="231"/>
        <v>0.32624999999999998</v>
      </c>
      <c r="BR160" s="538"/>
      <c r="BT160" s="469">
        <f t="shared" si="232"/>
        <v>515.25</v>
      </c>
      <c r="BU160" s="538">
        <f t="shared" si="233"/>
        <v>5.7234239872714227E-2</v>
      </c>
      <c r="BV160" s="538">
        <f t="shared" si="234"/>
        <v>0.15704517038244756</v>
      </c>
      <c r="BW160" s="538">
        <f t="shared" si="235"/>
        <v>0.42327856663338692</v>
      </c>
      <c r="BX160" s="538">
        <f t="shared" si="236"/>
        <v>0</v>
      </c>
      <c r="BY160" s="538">
        <f t="shared" si="180"/>
        <v>0.6718241231931863</v>
      </c>
      <c r="BZ160" s="538">
        <f t="shared" si="250"/>
        <v>0.63755797688854865</v>
      </c>
      <c r="CA160" s="641">
        <f t="shared" si="270"/>
        <v>7.5987654320987655E-2</v>
      </c>
      <c r="CB160" s="469">
        <f t="shared" si="238"/>
        <v>2022.9277312912711</v>
      </c>
      <c r="CC160" s="177">
        <f t="shared" si="251"/>
        <v>1.5390588017336797</v>
      </c>
      <c r="CD160" s="5">
        <f t="shared" si="239"/>
        <v>6.1549999999999994</v>
      </c>
      <c r="CE160" s="177">
        <f t="shared" si="240"/>
        <v>0.79996789192891427</v>
      </c>
      <c r="CF160" s="5">
        <f t="shared" si="241"/>
        <v>79.996789192891427</v>
      </c>
      <c r="CG160">
        <f t="shared" si="242"/>
        <v>50</v>
      </c>
      <c r="CI160" s="571">
        <f t="shared" si="271"/>
        <v>-50</v>
      </c>
      <c r="CJ160">
        <f t="shared" si="272"/>
        <v>-50</v>
      </c>
    </row>
    <row r="161" spans="5:88" x14ac:dyDescent="0.2">
      <c r="E161" s="174">
        <v>51</v>
      </c>
      <c r="F161" s="221">
        <f t="shared" si="273"/>
        <v>0.2142</v>
      </c>
      <c r="G161" s="221">
        <f t="shared" si="252"/>
        <v>0.36974999999999997</v>
      </c>
      <c r="H161" s="221">
        <f t="shared" si="253"/>
        <v>3.3201000000000001</v>
      </c>
      <c r="I161" s="221">
        <f t="shared" si="254"/>
        <v>2.9579999999999997</v>
      </c>
      <c r="J161" s="551">
        <f t="shared" si="186"/>
        <v>9</v>
      </c>
      <c r="K161" s="451">
        <f t="shared" si="187"/>
        <v>16.399999999999999</v>
      </c>
      <c r="L161" s="451">
        <f t="shared" si="188"/>
        <v>25.4</v>
      </c>
      <c r="M161" s="451"/>
      <c r="N161" s="221">
        <f t="shared" si="189"/>
        <v>0.64566929133858264</v>
      </c>
      <c r="O161" s="176">
        <f t="shared" si="255"/>
        <v>5.6698549287756563</v>
      </c>
      <c r="P161" s="176">
        <f t="shared" si="256"/>
        <v>9.552037446932033</v>
      </c>
      <c r="Q161" s="221">
        <f t="shared" si="192"/>
        <v>0.36579709217907458</v>
      </c>
      <c r="R161" s="221">
        <f t="shared" si="257"/>
        <v>0.70873186609695704</v>
      </c>
      <c r="S161" s="221">
        <f t="shared" si="258"/>
        <v>15.5</v>
      </c>
      <c r="T161" s="221">
        <f t="shared" si="259"/>
        <v>2.4008392050587175</v>
      </c>
      <c r="U161" s="221">
        <f t="shared" si="196"/>
        <v>2.400839205058718</v>
      </c>
      <c r="V161" s="221">
        <f t="shared" si="197"/>
        <v>1.3175337100931988</v>
      </c>
      <c r="W161" s="201">
        <f t="shared" si="198"/>
        <v>350</v>
      </c>
      <c r="X161" s="451">
        <f t="shared" si="199"/>
        <v>268.93483327751284</v>
      </c>
      <c r="Z161" s="221">
        <f t="shared" si="200"/>
        <v>1.8447694038245221</v>
      </c>
      <c r="AA161" s="177">
        <f t="shared" si="201"/>
        <v>1.0123734533183355</v>
      </c>
      <c r="AB161" s="177">
        <f t="shared" si="260"/>
        <v>0.17283982577713339</v>
      </c>
      <c r="AC161" s="177"/>
      <c r="AD161" s="177">
        <f t="shared" si="203"/>
        <v>0.45</v>
      </c>
      <c r="AE161" s="555">
        <f t="shared" si="261"/>
        <v>1160.9756097560976</v>
      </c>
      <c r="AF161" s="538">
        <f t="shared" si="262"/>
        <v>6.4574999999999994E-2</v>
      </c>
      <c r="AH161" s="177">
        <f t="shared" si="263"/>
        <v>1.9965207832865748</v>
      </c>
      <c r="AI161" s="177">
        <f t="shared" si="264"/>
        <v>2.4008392050587175</v>
      </c>
      <c r="AJ161" s="177">
        <f t="shared" si="265"/>
        <v>2.3709920037471983</v>
      </c>
      <c r="AL161" s="555">
        <f t="shared" si="266"/>
        <v>214.2</v>
      </c>
      <c r="AM161" s="469">
        <f t="shared" si="267"/>
        <v>268.93483327751284</v>
      </c>
      <c r="AO161">
        <f t="shared" si="211"/>
        <v>214.2</v>
      </c>
      <c r="AP161">
        <f t="shared" si="212"/>
        <v>268.93483327751284</v>
      </c>
      <c r="AR161" s="5">
        <f t="shared" si="249"/>
        <v>3.718372915151916</v>
      </c>
      <c r="AS161" s="5">
        <f t="shared" si="246"/>
        <v>2.400839205058718</v>
      </c>
      <c r="AT161" s="5">
        <f t="shared" si="247"/>
        <v>1.3175337100931981</v>
      </c>
      <c r="AU161" s="177">
        <f t="shared" si="248"/>
        <v>0.64566929133858286</v>
      </c>
      <c r="AW161" s="5">
        <f t="shared" si="216"/>
        <v>3.3178048885392086</v>
      </c>
      <c r="AX161" s="5"/>
      <c r="AY161" s="5">
        <f t="shared" si="217"/>
        <v>11.096378700880761</v>
      </c>
      <c r="AZ161" s="5"/>
      <c r="BA161" s="5">
        <f t="shared" si="218"/>
        <v>0.90007071417292739</v>
      </c>
      <c r="BB161" s="5"/>
      <c r="BC161" s="5"/>
      <c r="BD161" s="177">
        <f t="shared" si="219"/>
        <v>1.1138007673013524</v>
      </c>
      <c r="BE161" s="177">
        <f t="shared" si="220"/>
        <v>0.82510048697592586</v>
      </c>
      <c r="BF161" s="177">
        <f t="shared" si="221"/>
        <v>1.354589453065294</v>
      </c>
      <c r="BG161" s="177"/>
      <c r="BH161" s="538">
        <f t="shared" si="222"/>
        <v>0.13646073641651896</v>
      </c>
      <c r="BI161" s="538">
        <f t="shared" si="223"/>
        <v>8.2000000000000003E-2</v>
      </c>
      <c r="BJ161" s="538">
        <f t="shared" si="224"/>
        <v>1.3446741663875642E-2</v>
      </c>
      <c r="BK161" s="538">
        <f t="shared" si="225"/>
        <v>3.903884933339704E-2</v>
      </c>
      <c r="BL161">
        <f t="shared" si="226"/>
        <v>2.6099999999999999E-3</v>
      </c>
      <c r="BM161">
        <f t="shared" si="268"/>
        <v>1.0757393331100514E-5</v>
      </c>
      <c r="BN161">
        <f t="shared" si="269"/>
        <v>0.28063257273793563</v>
      </c>
      <c r="BO161" s="469">
        <f t="shared" si="229"/>
        <v>273.55632741379168</v>
      </c>
      <c r="BP161" s="177">
        <f t="shared" si="230"/>
        <v>0.19278000000000001</v>
      </c>
      <c r="BQ161" s="177">
        <f t="shared" si="231"/>
        <v>0.33277499999999999</v>
      </c>
      <c r="BR161" s="538"/>
      <c r="BT161" s="469">
        <f t="shared" si="232"/>
        <v>525.55499999999995</v>
      </c>
      <c r="BU161" s="538">
        <f t="shared" si="233"/>
        <v>5.9546503163571907E-2</v>
      </c>
      <c r="BV161" s="538">
        <f t="shared" si="234"/>
        <v>0.16338979526589842</v>
      </c>
      <c r="BW161" s="538">
        <f t="shared" si="235"/>
        <v>0.44037902072537571</v>
      </c>
      <c r="BX161" s="538">
        <f t="shared" si="236"/>
        <v>0</v>
      </c>
      <c r="BY161" s="538">
        <f t="shared" si="180"/>
        <v>0.70048680969370514</v>
      </c>
      <c r="BZ161" s="538">
        <f t="shared" si="250"/>
        <v>0.66331531915484598</v>
      </c>
      <c r="CA161" s="641">
        <f t="shared" si="270"/>
        <v>7.7507407407407428E-2</v>
      </c>
      <c r="CB161" s="469">
        <f t="shared" si="238"/>
        <v>2104.6248554108047</v>
      </c>
      <c r="CC161" s="177">
        <f t="shared" si="251"/>
        <v>1.5841817898390482</v>
      </c>
      <c r="CD161" s="5">
        <f t="shared" si="239"/>
        <v>6.2781000000000002</v>
      </c>
      <c r="CE161" s="177">
        <f t="shared" si="240"/>
        <v>0.79850864772025953</v>
      </c>
      <c r="CF161" s="5">
        <f t="shared" si="241"/>
        <v>79.850864772025957</v>
      </c>
      <c r="CG161">
        <f t="shared" si="242"/>
        <v>51</v>
      </c>
      <c r="CI161" s="571">
        <f t="shared" si="271"/>
        <v>-50</v>
      </c>
      <c r="CJ161">
        <f t="shared" si="272"/>
        <v>-50</v>
      </c>
    </row>
    <row r="162" spans="5:88" x14ac:dyDescent="0.2">
      <c r="E162" s="174">
        <v>52</v>
      </c>
      <c r="F162" s="221">
        <f t="shared" si="273"/>
        <v>0.21840000000000001</v>
      </c>
      <c r="G162" s="221">
        <f t="shared" si="252"/>
        <v>0.377</v>
      </c>
      <c r="H162" s="221">
        <f t="shared" si="253"/>
        <v>3.3852000000000002</v>
      </c>
      <c r="I162" s="221">
        <f t="shared" si="254"/>
        <v>3.016</v>
      </c>
      <c r="J162" s="551">
        <f t="shared" si="186"/>
        <v>9</v>
      </c>
      <c r="K162" s="451">
        <f t="shared" si="187"/>
        <v>16.399999999999999</v>
      </c>
      <c r="L162" s="451">
        <f t="shared" si="188"/>
        <v>25.4</v>
      </c>
      <c r="M162" s="451"/>
      <c r="N162" s="221">
        <f t="shared" si="189"/>
        <v>0.64566929133858264</v>
      </c>
      <c r="O162" s="176">
        <f t="shared" si="255"/>
        <v>5.6698549287756563</v>
      </c>
      <c r="P162" s="176">
        <f t="shared" si="256"/>
        <v>9.552037446932033</v>
      </c>
      <c r="Q162" s="221">
        <f t="shared" si="192"/>
        <v>0.36579709217907458</v>
      </c>
      <c r="R162" s="221">
        <f t="shared" si="257"/>
        <v>0.70873186609695704</v>
      </c>
      <c r="S162" s="221">
        <f t="shared" si="258"/>
        <v>15.5</v>
      </c>
      <c r="T162" s="221">
        <f t="shared" si="259"/>
        <v>2.4479144835892805</v>
      </c>
      <c r="U162" s="221">
        <f t="shared" si="196"/>
        <v>2.447914483589281</v>
      </c>
      <c r="V162" s="221">
        <f t="shared" si="197"/>
        <v>1.3433677044087518</v>
      </c>
      <c r="W162" s="201">
        <f t="shared" si="198"/>
        <v>350</v>
      </c>
      <c r="X162" s="451">
        <f t="shared" si="199"/>
        <v>263.76300956063756</v>
      </c>
      <c r="Z162" s="221">
        <f t="shared" si="200"/>
        <v>1.8447694038245221</v>
      </c>
      <c r="AA162" s="177">
        <f t="shared" si="201"/>
        <v>1.0123734533183355</v>
      </c>
      <c r="AB162" s="177">
        <f t="shared" si="260"/>
        <v>0.17283982577713339</v>
      </c>
      <c r="AC162" s="177"/>
      <c r="AD162" s="177">
        <f t="shared" si="203"/>
        <v>0.45</v>
      </c>
      <c r="AE162" s="555">
        <f t="shared" si="261"/>
        <v>1183.739837398374</v>
      </c>
      <c r="AF162" s="538">
        <f t="shared" si="262"/>
        <v>6.4574999999999994E-2</v>
      </c>
      <c r="AH162" s="177">
        <f t="shared" si="263"/>
        <v>2.0159994960946714</v>
      </c>
      <c r="AI162" s="177">
        <f t="shared" si="264"/>
        <v>2.4479144835892805</v>
      </c>
      <c r="AJ162" s="177">
        <f t="shared" si="265"/>
        <v>2.4058625804365041</v>
      </c>
      <c r="AL162" s="555">
        <f t="shared" si="266"/>
        <v>218.4</v>
      </c>
      <c r="AM162" s="469">
        <f t="shared" si="267"/>
        <v>263.76300956063756</v>
      </c>
      <c r="AO162">
        <f t="shared" si="211"/>
        <v>218.4</v>
      </c>
      <c r="AP162">
        <f t="shared" si="212"/>
        <v>263.76300956063756</v>
      </c>
      <c r="AR162" s="5">
        <f t="shared" si="249"/>
        <v>3.791282187998033</v>
      </c>
      <c r="AS162" s="5">
        <f t="shared" si="246"/>
        <v>2.447914483589281</v>
      </c>
      <c r="AT162" s="5">
        <f t="shared" si="247"/>
        <v>1.343367704408752</v>
      </c>
      <c r="AU162" s="177">
        <f t="shared" si="248"/>
        <v>0.64566929133858264</v>
      </c>
      <c r="AW162" s="5">
        <f t="shared" si="216"/>
        <v>3.4491904723606388</v>
      </c>
      <c r="AX162" s="5"/>
      <c r="AY162" s="5">
        <f t="shared" si="217"/>
        <v>11.535797003914487</v>
      </c>
      <c r="AZ162" s="5"/>
      <c r="BA162" s="5">
        <f t="shared" si="218"/>
        <v>0.93571365287335528</v>
      </c>
      <c r="BB162" s="5"/>
      <c r="BC162" s="5"/>
      <c r="BD162" s="177">
        <f t="shared" si="219"/>
        <v>1.1356399980327514</v>
      </c>
      <c r="BE162" s="177">
        <f t="shared" si="220"/>
        <v>0.84127892789702274</v>
      </c>
      <c r="BF162" s="177">
        <f t="shared" si="221"/>
        <v>1.3811500305763784</v>
      </c>
      <c r="BG162" s="177"/>
      <c r="BH162" s="538">
        <f t="shared" si="222"/>
        <v>0.14186460256450104</v>
      </c>
      <c r="BI162" s="538">
        <f t="shared" si="223"/>
        <v>8.199999999999999E-2</v>
      </c>
      <c r="BJ162" s="538">
        <f t="shared" si="224"/>
        <v>1.3188150478031877E-2</v>
      </c>
      <c r="BK162" s="538">
        <f t="shared" si="225"/>
        <v>3.8288102230831705E-2</v>
      </c>
      <c r="BL162">
        <f t="shared" si="226"/>
        <v>2.6099999999999999E-3</v>
      </c>
      <c r="BM162">
        <f t="shared" si="268"/>
        <v>1.0550520382425502E-5</v>
      </c>
      <c r="BN162">
        <f t="shared" si="269"/>
        <v>0.28543231672432634</v>
      </c>
      <c r="BO162" s="469">
        <f t="shared" si="229"/>
        <v>277.9508552733646</v>
      </c>
      <c r="BP162" s="177">
        <f t="shared" si="230"/>
        <v>0.19656000000000001</v>
      </c>
      <c r="BQ162" s="177">
        <f t="shared" si="231"/>
        <v>0.33929999999999999</v>
      </c>
      <c r="BR162" s="538"/>
      <c r="BT162" s="469">
        <f t="shared" si="232"/>
        <v>535.86</v>
      </c>
      <c r="BU162" s="538">
        <f t="shared" si="233"/>
        <v>6.1904553846327724E-2</v>
      </c>
      <c r="BV162" s="538">
        <f t="shared" si="234"/>
        <v>0.16986005628565534</v>
      </c>
      <c r="BW162" s="538">
        <f t="shared" si="235"/>
        <v>0.45781809767067144</v>
      </c>
      <c r="BX162" s="538">
        <f t="shared" si="236"/>
        <v>0</v>
      </c>
      <c r="BY162" s="538">
        <f t="shared" si="180"/>
        <v>0.72984583307042983</v>
      </c>
      <c r="BZ162" s="538">
        <f t="shared" si="250"/>
        <v>0.68958270780265452</v>
      </c>
      <c r="CA162" s="641">
        <f t="shared" si="270"/>
        <v>7.9027160493827159E-2</v>
      </c>
      <c r="CB162" s="469">
        <f t="shared" si="238"/>
        <v>2188.038409169566</v>
      </c>
      <c r="CC162" s="177">
        <f t="shared" si="251"/>
        <v>1.6301653102885831</v>
      </c>
      <c r="CD162" s="5">
        <f t="shared" si="239"/>
        <v>6.4012000000000002</v>
      </c>
      <c r="CE162" s="177">
        <f t="shared" si="240"/>
        <v>0.7970251324267047</v>
      </c>
      <c r="CF162" s="5">
        <f t="shared" si="241"/>
        <v>79.702513242670463</v>
      </c>
      <c r="CG162">
        <f t="shared" si="242"/>
        <v>52</v>
      </c>
      <c r="CI162" s="571">
        <f t="shared" si="271"/>
        <v>-50</v>
      </c>
      <c r="CJ162">
        <f t="shared" si="272"/>
        <v>-50</v>
      </c>
    </row>
    <row r="163" spans="5:88" x14ac:dyDescent="0.2">
      <c r="E163" s="174">
        <v>53</v>
      </c>
      <c r="F163" s="221">
        <f t="shared" si="273"/>
        <v>0.22259999999999999</v>
      </c>
      <c r="G163" s="221">
        <f t="shared" si="252"/>
        <v>0.38424999999999998</v>
      </c>
      <c r="H163" s="221">
        <f t="shared" si="253"/>
        <v>3.4502999999999999</v>
      </c>
      <c r="I163" s="221">
        <f t="shared" si="254"/>
        <v>3.0739999999999998</v>
      </c>
      <c r="J163" s="551">
        <f t="shared" si="186"/>
        <v>9</v>
      </c>
      <c r="K163" s="451">
        <f t="shared" si="187"/>
        <v>16.399999999999999</v>
      </c>
      <c r="L163" s="451">
        <f t="shared" si="188"/>
        <v>25.4</v>
      </c>
      <c r="M163" s="451"/>
      <c r="N163" s="221">
        <f t="shared" si="189"/>
        <v>0.64566929133858264</v>
      </c>
      <c r="O163" s="176">
        <f t="shared" si="255"/>
        <v>5.6698549287756563</v>
      </c>
      <c r="P163" s="176">
        <f t="shared" si="256"/>
        <v>9.552037446932033</v>
      </c>
      <c r="Q163" s="221">
        <f t="shared" si="192"/>
        <v>0.36579709217907458</v>
      </c>
      <c r="R163" s="221">
        <f t="shared" si="257"/>
        <v>0.70873186609695704</v>
      </c>
      <c r="S163" s="221">
        <f t="shared" si="258"/>
        <v>15.5</v>
      </c>
      <c r="T163" s="221">
        <f t="shared" si="259"/>
        <v>2.4949897621198436</v>
      </c>
      <c r="U163" s="221">
        <f t="shared" si="196"/>
        <v>2.4949897621198436</v>
      </c>
      <c r="V163" s="221">
        <f t="shared" si="197"/>
        <v>1.3692016987243045</v>
      </c>
      <c r="W163" s="201">
        <f t="shared" si="198"/>
        <v>350</v>
      </c>
      <c r="X163" s="451">
        <f t="shared" si="199"/>
        <v>258.78634900288972</v>
      </c>
      <c r="Z163" s="221">
        <f t="shared" si="200"/>
        <v>1.8447694038245221</v>
      </c>
      <c r="AA163" s="177">
        <f t="shared" si="201"/>
        <v>1.0123734533183355</v>
      </c>
      <c r="AB163" s="177">
        <f t="shared" si="260"/>
        <v>0.17283982577713339</v>
      </c>
      <c r="AC163" s="177"/>
      <c r="AD163" s="177">
        <f t="shared" si="203"/>
        <v>0.45</v>
      </c>
      <c r="AE163" s="555">
        <f t="shared" si="261"/>
        <v>1206.5040650406504</v>
      </c>
      <c r="AF163" s="538">
        <f t="shared" si="262"/>
        <v>6.4574999999999994E-2</v>
      </c>
      <c r="AH163" s="177">
        <f t="shared" si="263"/>
        <v>2.0352917968715687</v>
      </c>
      <c r="AI163" s="177">
        <f t="shared" si="264"/>
        <v>2.4949897621198436</v>
      </c>
      <c r="AJ163" s="177">
        <f t="shared" si="265"/>
        <v>2.44073315712581</v>
      </c>
      <c r="AL163" s="555">
        <f t="shared" si="266"/>
        <v>222.6</v>
      </c>
      <c r="AM163" s="469">
        <f t="shared" si="267"/>
        <v>258.78634900288972</v>
      </c>
      <c r="AO163">
        <f t="shared" si="211"/>
        <v>222.6</v>
      </c>
      <c r="AP163">
        <f t="shared" si="212"/>
        <v>258.78634900288972</v>
      </c>
      <c r="AR163" s="5">
        <f t="shared" si="249"/>
        <v>3.8641914608441481</v>
      </c>
      <c r="AS163" s="5">
        <f t="shared" si="246"/>
        <v>2.4949897621198436</v>
      </c>
      <c r="AT163" s="5">
        <f t="shared" si="247"/>
        <v>1.3692016987243045</v>
      </c>
      <c r="AU163" s="177">
        <f t="shared" si="248"/>
        <v>0.64566929133858264</v>
      </c>
      <c r="AW163" s="5">
        <f t="shared" si="216"/>
        <v>3.5831272325669494</v>
      </c>
      <c r="AX163" s="5"/>
      <c r="AY163" s="5">
        <f t="shared" si="217"/>
        <v>11.983747701181873</v>
      </c>
      <c r="AZ163" s="5"/>
      <c r="BA163" s="5">
        <f t="shared" si="218"/>
        <v>0.97204868747087803</v>
      </c>
      <c r="BB163" s="5"/>
      <c r="BC163" s="5"/>
      <c r="BD163" s="177">
        <f t="shared" si="219"/>
        <v>1.1574792287641504</v>
      </c>
      <c r="BE163" s="177">
        <f t="shared" si="220"/>
        <v>0.85745736881811929</v>
      </c>
      <c r="BF163" s="177">
        <f t="shared" si="221"/>
        <v>1.4077106080874628</v>
      </c>
      <c r="BG163" s="177"/>
      <c r="BH163" s="538">
        <f t="shared" si="222"/>
        <v>0.14737339815224976</v>
      </c>
      <c r="BI163" s="538">
        <f t="shared" si="223"/>
        <v>8.2000000000000003E-2</v>
      </c>
      <c r="BJ163" s="538">
        <f t="shared" si="224"/>
        <v>1.2939317450144485E-2</v>
      </c>
      <c r="BK163" s="538">
        <f t="shared" si="225"/>
        <v>3.7565685207608474E-2</v>
      </c>
      <c r="BL163">
        <f t="shared" si="226"/>
        <v>2.6099999999999999E-3</v>
      </c>
      <c r="BM163">
        <f t="shared" si="268"/>
        <v>1.0351453960115588E-5</v>
      </c>
      <c r="BN163">
        <f t="shared" si="269"/>
        <v>0.29039469792333999</v>
      </c>
      <c r="BO163" s="469">
        <f t="shared" si="229"/>
        <v>282.4884008100027</v>
      </c>
      <c r="BP163" s="177">
        <f t="shared" si="230"/>
        <v>0.20033999999999999</v>
      </c>
      <c r="BQ163" s="177">
        <f t="shared" si="231"/>
        <v>0.34582499999999999</v>
      </c>
      <c r="BR163" s="538"/>
      <c r="BT163" s="469">
        <f t="shared" si="232"/>
        <v>546.16499999999996</v>
      </c>
      <c r="BU163" s="538">
        <f t="shared" si="233"/>
        <v>6.4308391920981714E-2</v>
      </c>
      <c r="BV163" s="538">
        <f t="shared" si="234"/>
        <v>0.17645595344171813</v>
      </c>
      <c r="BW163" s="538">
        <f t="shared" si="235"/>
        <v>0.47559579746927383</v>
      </c>
      <c r="BX163" s="538">
        <f t="shared" si="236"/>
        <v>0</v>
      </c>
      <c r="BY163" s="538">
        <f t="shared" si="180"/>
        <v>0.75990966237419577</v>
      </c>
      <c r="BZ163" s="538">
        <f t="shared" si="250"/>
        <v>0.71636014283197369</v>
      </c>
      <c r="CA163" s="641">
        <f t="shared" si="270"/>
        <v>8.0546913580246918E-2</v>
      </c>
      <c r="CB163" s="469">
        <f t="shared" si="238"/>
        <v>2273.1768616183904</v>
      </c>
      <c r="CC163" s="177">
        <f t="shared" si="251"/>
        <v>1.6770162738777827</v>
      </c>
      <c r="CD163" s="5">
        <f t="shared" si="239"/>
        <v>6.5243000000000002</v>
      </c>
      <c r="CE163" s="177">
        <f t="shared" si="240"/>
        <v>0.79551864385241555</v>
      </c>
      <c r="CF163" s="5">
        <f t="shared" si="241"/>
        <v>79.551864385241558</v>
      </c>
      <c r="CG163">
        <f t="shared" si="242"/>
        <v>53</v>
      </c>
      <c r="CI163" s="571">
        <f t="shared" si="271"/>
        <v>-50</v>
      </c>
      <c r="CJ163">
        <f t="shared" si="272"/>
        <v>-50</v>
      </c>
    </row>
    <row r="164" spans="5:88" x14ac:dyDescent="0.2">
      <c r="E164" s="174">
        <v>54</v>
      </c>
      <c r="F164" s="221">
        <f t="shared" si="273"/>
        <v>0.2268</v>
      </c>
      <c r="G164" s="221">
        <f t="shared" si="252"/>
        <v>0.39150000000000001</v>
      </c>
      <c r="H164" s="221">
        <f t="shared" si="253"/>
        <v>3.5154000000000001</v>
      </c>
      <c r="I164" s="221">
        <f t="shared" si="254"/>
        <v>3.1320000000000001</v>
      </c>
      <c r="J164" s="551">
        <f t="shared" si="186"/>
        <v>9</v>
      </c>
      <c r="K164" s="451">
        <f t="shared" si="187"/>
        <v>16.399999999999999</v>
      </c>
      <c r="L164" s="451">
        <f t="shared" si="188"/>
        <v>25.4</v>
      </c>
      <c r="M164" s="451"/>
      <c r="N164" s="221">
        <f t="shared" si="189"/>
        <v>0.64566929133858264</v>
      </c>
      <c r="O164" s="176">
        <f t="shared" si="255"/>
        <v>5.6698549287756563</v>
      </c>
      <c r="P164" s="176">
        <f t="shared" si="256"/>
        <v>9.552037446932033</v>
      </c>
      <c r="Q164" s="221">
        <f t="shared" si="192"/>
        <v>0.36579709217907458</v>
      </c>
      <c r="R164" s="221">
        <f t="shared" si="257"/>
        <v>0.70873186609695704</v>
      </c>
      <c r="S164" s="221">
        <f t="shared" si="258"/>
        <v>15.5</v>
      </c>
      <c r="T164" s="221">
        <f t="shared" si="259"/>
        <v>2.5420650406504071</v>
      </c>
      <c r="U164" s="221">
        <f t="shared" si="196"/>
        <v>2.5420650406504071</v>
      </c>
      <c r="V164" s="221">
        <f t="shared" si="197"/>
        <v>1.3950356930398575</v>
      </c>
      <c r="W164" s="201">
        <f t="shared" si="198"/>
        <v>350</v>
      </c>
      <c r="X164" s="451">
        <f t="shared" si="199"/>
        <v>253.99400920653986</v>
      </c>
      <c r="Z164" s="221">
        <f t="shared" si="200"/>
        <v>1.8447694038245221</v>
      </c>
      <c r="AA164" s="177">
        <f t="shared" si="201"/>
        <v>1.0123734533183355</v>
      </c>
      <c r="AB164" s="177">
        <f t="shared" si="260"/>
        <v>0.17283982577713339</v>
      </c>
      <c r="AC164" s="177"/>
      <c r="AD164" s="177">
        <f t="shared" si="203"/>
        <v>0.45</v>
      </c>
      <c r="AE164" s="555">
        <f t="shared" si="261"/>
        <v>1229.2682926829268</v>
      </c>
      <c r="AF164" s="538">
        <f t="shared" si="262"/>
        <v>6.4574999999999994E-2</v>
      </c>
      <c r="AH164" s="177">
        <f t="shared" si="263"/>
        <v>2.0544029372475663</v>
      </c>
      <c r="AI164" s="177">
        <f t="shared" si="264"/>
        <v>2.5420650406504071</v>
      </c>
      <c r="AJ164" s="177">
        <f t="shared" si="265"/>
        <v>2.4756037338151167</v>
      </c>
      <c r="AL164" s="555">
        <f t="shared" si="266"/>
        <v>226.8</v>
      </c>
      <c r="AM164" s="469">
        <f t="shared" si="267"/>
        <v>253.99400920653986</v>
      </c>
      <c r="AO164">
        <f t="shared" si="211"/>
        <v>226.8</v>
      </c>
      <c r="AP164">
        <f t="shared" si="212"/>
        <v>253.99400920653986</v>
      </c>
      <c r="AR164" s="5">
        <f t="shared" si="249"/>
        <v>3.9371007336902646</v>
      </c>
      <c r="AS164" s="5">
        <f t="shared" si="246"/>
        <v>2.5420650406504071</v>
      </c>
      <c r="AT164" s="5">
        <f t="shared" si="247"/>
        <v>1.3950356930398575</v>
      </c>
      <c r="AU164" s="177">
        <f t="shared" si="248"/>
        <v>0.64566929133858264</v>
      </c>
      <c r="AW164" s="5">
        <f t="shared" si="216"/>
        <v>3.7196151691581441</v>
      </c>
      <c r="AX164" s="5"/>
      <c r="AY164" s="5">
        <f t="shared" si="217"/>
        <v>12.440230792682931</v>
      </c>
      <c r="AZ164" s="5"/>
      <c r="BA164" s="5">
        <f t="shared" si="218"/>
        <v>1.0090758179654968</v>
      </c>
      <c r="BB164" s="5"/>
      <c r="BC164" s="5"/>
      <c r="BD164" s="177">
        <f t="shared" si="219"/>
        <v>1.1793184594955497</v>
      </c>
      <c r="BE164" s="177">
        <f t="shared" si="220"/>
        <v>0.87363580973921606</v>
      </c>
      <c r="BF164" s="177">
        <f t="shared" si="221"/>
        <v>1.4342711855985473</v>
      </c>
      <c r="BG164" s="177"/>
      <c r="BH164" s="538">
        <f t="shared" si="222"/>
        <v>0.15298712317976521</v>
      </c>
      <c r="BI164" s="538">
        <f t="shared" si="223"/>
        <v>8.2000000000000003E-2</v>
      </c>
      <c r="BJ164" s="538">
        <f t="shared" si="224"/>
        <v>1.2699700460326991E-2</v>
      </c>
      <c r="BK164" s="538">
        <f t="shared" si="225"/>
        <v>3.6870024370430528E-2</v>
      </c>
      <c r="BL164">
        <f t="shared" si="226"/>
        <v>2.6099999999999999E-3</v>
      </c>
      <c r="BM164">
        <f t="shared" si="268"/>
        <v>1.0159760368261595E-5</v>
      </c>
      <c r="BN164">
        <f t="shared" si="269"/>
        <v>0.29551834529648863</v>
      </c>
      <c r="BO164" s="469">
        <f t="shared" si="229"/>
        <v>287.1668480105227</v>
      </c>
      <c r="BP164" s="177">
        <f t="shared" si="230"/>
        <v>0.20412</v>
      </c>
      <c r="BQ164" s="177">
        <f t="shared" si="231"/>
        <v>0.35235</v>
      </c>
      <c r="BR164" s="538"/>
      <c r="BT164" s="469">
        <f t="shared" si="232"/>
        <v>556.47</v>
      </c>
      <c r="BU164" s="538">
        <f t="shared" si="233"/>
        <v>6.6758017387533911E-2</v>
      </c>
      <c r="BV164" s="538">
        <f t="shared" si="234"/>
        <v>0.18317748673408699</v>
      </c>
      <c r="BW164" s="538">
        <f t="shared" si="235"/>
        <v>0.49371212012118293</v>
      </c>
      <c r="BX164" s="538">
        <f t="shared" si="236"/>
        <v>0</v>
      </c>
      <c r="BY164" s="538">
        <f t="shared" si="180"/>
        <v>0.79068702654775114</v>
      </c>
      <c r="BZ164" s="538">
        <f t="shared" si="250"/>
        <v>0.74364762424280384</v>
      </c>
      <c r="CA164" s="641">
        <f t="shared" si="270"/>
        <v>8.2066666666666677E-2</v>
      </c>
      <c r="CB164" s="469">
        <f t="shared" si="238"/>
        <v>2360.0489417000254</v>
      </c>
      <c r="CC164" s="177">
        <f t="shared" si="251"/>
        <v>1.7247420385109067</v>
      </c>
      <c r="CD164" s="5">
        <f t="shared" si="239"/>
        <v>6.6474000000000002</v>
      </c>
      <c r="CE164" s="177">
        <f t="shared" si="240"/>
        <v>0.79399035150415653</v>
      </c>
      <c r="CF164" s="5">
        <f t="shared" si="241"/>
        <v>79.399035150415656</v>
      </c>
      <c r="CG164">
        <f t="shared" si="242"/>
        <v>54</v>
      </c>
      <c r="CI164" s="571">
        <f t="shared" si="271"/>
        <v>-50</v>
      </c>
      <c r="CJ164">
        <f t="shared" si="272"/>
        <v>-50</v>
      </c>
    </row>
    <row r="165" spans="5:88" x14ac:dyDescent="0.2">
      <c r="E165" s="174">
        <v>55</v>
      </c>
      <c r="F165" s="221">
        <f t="shared" si="273"/>
        <v>0.23100000000000001</v>
      </c>
      <c r="G165" s="221">
        <f t="shared" si="252"/>
        <v>0.39874999999999999</v>
      </c>
      <c r="H165" s="221">
        <f t="shared" si="253"/>
        <v>3.5805000000000002</v>
      </c>
      <c r="I165" s="221">
        <f t="shared" si="254"/>
        <v>3.19</v>
      </c>
      <c r="J165" s="551">
        <f t="shared" si="186"/>
        <v>9</v>
      </c>
      <c r="K165" s="451">
        <f t="shared" si="187"/>
        <v>16.399999999999999</v>
      </c>
      <c r="L165" s="451">
        <f t="shared" si="188"/>
        <v>25.4</v>
      </c>
      <c r="M165" s="451"/>
      <c r="N165" s="221">
        <f t="shared" si="189"/>
        <v>0.64566929133858264</v>
      </c>
      <c r="O165" s="176">
        <f t="shared" si="255"/>
        <v>5.6698549287756563</v>
      </c>
      <c r="P165" s="176">
        <f t="shared" si="256"/>
        <v>9.552037446932033</v>
      </c>
      <c r="Q165" s="221">
        <f t="shared" si="192"/>
        <v>0.36579709217907458</v>
      </c>
      <c r="R165" s="221">
        <f t="shared" si="257"/>
        <v>0.70873186609695704</v>
      </c>
      <c r="S165" s="221">
        <f t="shared" si="258"/>
        <v>15.5</v>
      </c>
      <c r="T165" s="221">
        <f t="shared" si="259"/>
        <v>2.5891403191809701</v>
      </c>
      <c r="U165" s="221">
        <f t="shared" si="196"/>
        <v>2.5891403191809705</v>
      </c>
      <c r="V165" s="221">
        <f t="shared" si="197"/>
        <v>1.4208696873554107</v>
      </c>
      <c r="W165" s="201">
        <f t="shared" si="198"/>
        <v>350</v>
      </c>
      <c r="X165" s="451">
        <f t="shared" si="199"/>
        <v>249.37593631187545</v>
      </c>
      <c r="Z165" s="221">
        <f t="shared" si="200"/>
        <v>1.8447694038245221</v>
      </c>
      <c r="AA165" s="177">
        <f t="shared" si="201"/>
        <v>1.0123734533183355</v>
      </c>
      <c r="AB165" s="177">
        <f t="shared" si="260"/>
        <v>0.17283982577713339</v>
      </c>
      <c r="AC165" s="177"/>
      <c r="AD165" s="177">
        <f t="shared" si="203"/>
        <v>0.45</v>
      </c>
      <c r="AE165" s="555">
        <f t="shared" si="261"/>
        <v>1252.0325203252034</v>
      </c>
      <c r="AF165" s="538">
        <f t="shared" si="262"/>
        <v>6.4574999999999994E-2</v>
      </c>
      <c r="AH165" s="177">
        <f t="shared" si="263"/>
        <v>2.073337926805507</v>
      </c>
      <c r="AI165" s="177">
        <f t="shared" si="264"/>
        <v>2.5891403191809701</v>
      </c>
      <c r="AJ165" s="177">
        <f t="shared" si="265"/>
        <v>2.5104743105044225</v>
      </c>
      <c r="AL165" s="555">
        <f t="shared" si="266"/>
        <v>231</v>
      </c>
      <c r="AM165" s="469">
        <f t="shared" si="267"/>
        <v>249.37593631187545</v>
      </c>
      <c r="AO165">
        <f t="shared" si="211"/>
        <v>231</v>
      </c>
      <c r="AP165">
        <f t="shared" si="212"/>
        <v>249.37593631187545</v>
      </c>
      <c r="AR165" s="5">
        <f t="shared" si="249"/>
        <v>4.0100100065363824</v>
      </c>
      <c r="AS165" s="5">
        <f t="shared" si="246"/>
        <v>2.5891403191809705</v>
      </c>
      <c r="AT165" s="5">
        <f t="shared" si="247"/>
        <v>1.4208696873554119</v>
      </c>
      <c r="AU165" s="177">
        <f t="shared" si="248"/>
        <v>0.64566929133858253</v>
      </c>
      <c r="AW165" s="5">
        <f t="shared" si="216"/>
        <v>3.8586542821342209</v>
      </c>
      <c r="AX165" s="5"/>
      <c r="AY165" s="5">
        <f t="shared" si="217"/>
        <v>12.90524627841765</v>
      </c>
      <c r="AZ165" s="5"/>
      <c r="BA165" s="5">
        <f t="shared" si="218"/>
        <v>1.0467950443572123</v>
      </c>
      <c r="BB165" s="5"/>
      <c r="BC165" s="5"/>
      <c r="BD165" s="177">
        <f t="shared" si="219"/>
        <v>1.2011576902269485</v>
      </c>
      <c r="BE165" s="177">
        <f t="shared" si="220"/>
        <v>0.88981425066031272</v>
      </c>
      <c r="BF165" s="177">
        <f t="shared" si="221"/>
        <v>1.4608317631096315</v>
      </c>
      <c r="BG165" s="177"/>
      <c r="BH165" s="538">
        <f t="shared" si="222"/>
        <v>0.15870577764704719</v>
      </c>
      <c r="BI165" s="538">
        <f t="shared" si="223"/>
        <v>8.1999999999999962E-2</v>
      </c>
      <c r="BJ165" s="538">
        <f t="shared" si="224"/>
        <v>1.2468796815593772E-2</v>
      </c>
      <c r="BK165" s="538">
        <f t="shared" si="225"/>
        <v>3.6199660290968147E-2</v>
      </c>
      <c r="BL165">
        <f t="shared" si="226"/>
        <v>2.6099999999999999E-3</v>
      </c>
      <c r="BM165">
        <f t="shared" si="268"/>
        <v>9.9750374524750187E-6</v>
      </c>
      <c r="BN165">
        <f t="shared" si="269"/>
        <v>0.30080205987216813</v>
      </c>
      <c r="BO165" s="469">
        <f t="shared" si="229"/>
        <v>291.98423475360909</v>
      </c>
      <c r="BP165" s="177">
        <f t="shared" si="230"/>
        <v>0.2079</v>
      </c>
      <c r="BQ165" s="177">
        <f t="shared" si="231"/>
        <v>0.358875</v>
      </c>
      <c r="BR165" s="538"/>
      <c r="BT165" s="469">
        <f t="shared" si="232"/>
        <v>566.77499999999998</v>
      </c>
      <c r="BU165" s="538">
        <f t="shared" si="233"/>
        <v>6.9253430245984224E-2</v>
      </c>
      <c r="BV165" s="538">
        <f t="shared" si="234"/>
        <v>0.19002465616276171</v>
      </c>
      <c r="BW165" s="538">
        <f t="shared" si="235"/>
        <v>0.51216706562639869</v>
      </c>
      <c r="BX165" s="538">
        <f t="shared" si="236"/>
        <v>0</v>
      </c>
      <c r="BY165" s="538">
        <f t="shared" ref="BY165:BY210" si="274">(BX165+(BU165+BV165+BW165)*(1+Ltc*(Ta-25)))/(1-(BU165+BV165+BW165)*Ltc*ThetaCa)</f>
        <v>0.82218692118855352</v>
      </c>
      <c r="BZ165" s="538">
        <f t="shared" si="250"/>
        <v>0.77144515203514463</v>
      </c>
      <c r="CA165" s="641">
        <f t="shared" si="270"/>
        <v>8.3586419753086422E-2</v>
      </c>
      <c r="CB165" s="469">
        <f t="shared" si="238"/>
        <v>2448.6636450119295</v>
      </c>
      <c r="CC165" s="177">
        <f t="shared" si="251"/>
        <v>1.7733504008138081</v>
      </c>
      <c r="CD165" s="5">
        <f t="shared" si="239"/>
        <v>6.7705000000000002</v>
      </c>
      <c r="CE165" s="177">
        <f t="shared" si="240"/>
        <v>0.79244130952422875</v>
      </c>
      <c r="CF165" s="5">
        <f t="shared" si="241"/>
        <v>79.244130952422879</v>
      </c>
      <c r="CG165">
        <f t="shared" si="242"/>
        <v>55.000000000000007</v>
      </c>
      <c r="CI165" s="571">
        <f t="shared" si="271"/>
        <v>-50</v>
      </c>
      <c r="CJ165">
        <f t="shared" si="272"/>
        <v>-50</v>
      </c>
    </row>
    <row r="166" spans="5:88" x14ac:dyDescent="0.2">
      <c r="E166" s="174">
        <v>56</v>
      </c>
      <c r="F166" s="221">
        <f t="shared" si="273"/>
        <v>0.23520000000000002</v>
      </c>
      <c r="G166" s="221">
        <f t="shared" si="252"/>
        <v>0.40600000000000003</v>
      </c>
      <c r="H166" s="221">
        <f t="shared" si="253"/>
        <v>3.6456000000000004</v>
      </c>
      <c r="I166" s="221">
        <f t="shared" si="254"/>
        <v>3.2480000000000002</v>
      </c>
      <c r="J166" s="551">
        <f t="shared" si="186"/>
        <v>9</v>
      </c>
      <c r="K166" s="451">
        <f t="shared" si="187"/>
        <v>16.399999999999999</v>
      </c>
      <c r="L166" s="451">
        <f t="shared" si="188"/>
        <v>25.4</v>
      </c>
      <c r="M166" s="451"/>
      <c r="N166" s="221">
        <f t="shared" si="189"/>
        <v>0.64566929133858264</v>
      </c>
      <c r="O166" s="176">
        <f t="shared" si="255"/>
        <v>5.6698549287756563</v>
      </c>
      <c r="P166" s="176">
        <f t="shared" si="256"/>
        <v>9.552037446932033</v>
      </c>
      <c r="Q166" s="221">
        <f t="shared" si="192"/>
        <v>0.36579709217907458</v>
      </c>
      <c r="R166" s="221">
        <f t="shared" si="257"/>
        <v>0.70873186609695704</v>
      </c>
      <c r="S166" s="221">
        <f t="shared" si="258"/>
        <v>15.5</v>
      </c>
      <c r="T166" s="221">
        <f t="shared" si="259"/>
        <v>2.6362155977115336</v>
      </c>
      <c r="U166" s="221">
        <f t="shared" si="196"/>
        <v>2.6362155977115336</v>
      </c>
      <c r="V166" s="221">
        <f t="shared" si="197"/>
        <v>1.4467036816709637</v>
      </c>
      <c r="W166" s="201">
        <f t="shared" si="198"/>
        <v>350</v>
      </c>
      <c r="X166" s="451">
        <f t="shared" si="199"/>
        <v>244.92279459202058</v>
      </c>
      <c r="Z166" s="221">
        <f t="shared" si="200"/>
        <v>1.8447694038245221</v>
      </c>
      <c r="AA166" s="177">
        <f t="shared" si="201"/>
        <v>1.0123734533183355</v>
      </c>
      <c r="AB166" s="177">
        <f t="shared" si="260"/>
        <v>0.17283982577713339</v>
      </c>
      <c r="AC166" s="177"/>
      <c r="AD166" s="177">
        <f t="shared" si="203"/>
        <v>0.45</v>
      </c>
      <c r="AE166" s="555">
        <f t="shared" si="261"/>
        <v>1274.7967479674799</v>
      </c>
      <c r="AF166" s="538">
        <f t="shared" si="262"/>
        <v>6.4574999999999994E-2</v>
      </c>
      <c r="AH166" s="177">
        <f t="shared" si="263"/>
        <v>2.0921015484170193</v>
      </c>
      <c r="AI166" s="177">
        <f t="shared" si="264"/>
        <v>2.6362155977115336</v>
      </c>
      <c r="AJ166" s="177">
        <f t="shared" si="265"/>
        <v>2.5453448871937288</v>
      </c>
      <c r="AL166" s="555">
        <f t="shared" si="266"/>
        <v>235.20000000000002</v>
      </c>
      <c r="AM166" s="469">
        <f t="shared" si="267"/>
        <v>244.92279459202058</v>
      </c>
      <c r="AO166">
        <f t="shared" si="211"/>
        <v>235.20000000000002</v>
      </c>
      <c r="AP166">
        <f t="shared" si="212"/>
        <v>244.92279459202058</v>
      </c>
      <c r="AR166" s="5">
        <f t="shared" si="249"/>
        <v>4.0829192793824971</v>
      </c>
      <c r="AS166" s="5">
        <f t="shared" si="246"/>
        <v>2.6362155977115336</v>
      </c>
      <c r="AT166" s="5">
        <f t="shared" si="247"/>
        <v>1.4467036816709635</v>
      </c>
      <c r="AU166" s="177">
        <f t="shared" si="248"/>
        <v>0.64566929133858264</v>
      </c>
      <c r="AW166" s="5">
        <f t="shared" si="216"/>
        <v>4.0002445714951795</v>
      </c>
      <c r="AX166" s="5"/>
      <c r="AY166" s="5">
        <f t="shared" si="217"/>
        <v>13.378794158386034</v>
      </c>
      <c r="AZ166" s="5"/>
      <c r="BA166" s="5">
        <f t="shared" si="218"/>
        <v>1.0852063666460217</v>
      </c>
      <c r="BB166" s="5"/>
      <c r="BC166" s="5"/>
      <c r="BD166" s="177">
        <f t="shared" si="219"/>
        <v>1.222996920958348</v>
      </c>
      <c r="BE166" s="177">
        <f t="shared" si="220"/>
        <v>0.90599269158140938</v>
      </c>
      <c r="BF166" s="177">
        <f t="shared" si="221"/>
        <v>1.4873923406207157</v>
      </c>
      <c r="BG166" s="177"/>
      <c r="BH166" s="538">
        <f t="shared" si="222"/>
        <v>0.16452936155409598</v>
      </c>
      <c r="BI166" s="538">
        <f t="shared" si="223"/>
        <v>8.199999999999999E-2</v>
      </c>
      <c r="BJ166" s="538">
        <f t="shared" si="224"/>
        <v>1.2246139729601029E-2</v>
      </c>
      <c r="BK166" s="538">
        <f t="shared" si="225"/>
        <v>3.5553237785772296E-2</v>
      </c>
      <c r="BL166">
        <f t="shared" si="226"/>
        <v>2.6099999999999999E-3</v>
      </c>
      <c r="BM166">
        <f t="shared" si="268"/>
        <v>9.7969117836808233E-6</v>
      </c>
      <c r="BN166">
        <f t="shared" si="269"/>
        <v>0.30624480125184539</v>
      </c>
      <c r="BO166" s="469">
        <f t="shared" si="229"/>
        <v>296.93873906946925</v>
      </c>
      <c r="BP166" s="177">
        <f t="shared" si="230"/>
        <v>0.21168000000000003</v>
      </c>
      <c r="BQ166" s="177">
        <f t="shared" si="231"/>
        <v>0.36540000000000006</v>
      </c>
      <c r="BR166" s="538"/>
      <c r="BT166" s="469">
        <f t="shared" si="232"/>
        <v>577.08000000000004</v>
      </c>
      <c r="BU166" s="538">
        <f t="shared" si="233"/>
        <v>7.1794630496332792E-2</v>
      </c>
      <c r="BV166" s="538">
        <f t="shared" si="234"/>
        <v>0.19699746172774243</v>
      </c>
      <c r="BW166" s="538">
        <f t="shared" si="235"/>
        <v>0.53096063398492099</v>
      </c>
      <c r="BX166" s="538">
        <f t="shared" si="236"/>
        <v>0</v>
      </c>
      <c r="BY166" s="538">
        <f t="shared" si="274"/>
        <v>0.85441861557968168</v>
      </c>
      <c r="BZ166" s="538">
        <f t="shared" si="250"/>
        <v>0.79975272620899629</v>
      </c>
      <c r="CA166" s="641">
        <f t="shared" si="270"/>
        <v>8.5106172839506208E-2</v>
      </c>
      <c r="CB166" s="469">
        <f t="shared" si="238"/>
        <v>2539.0302408371808</v>
      </c>
      <c r="CC166" s="177">
        <f t="shared" si="251"/>
        <v>1.8228495896710333</v>
      </c>
      <c r="CD166" s="5">
        <f t="shared" si="239"/>
        <v>6.8936000000000011</v>
      </c>
      <c r="CE166" s="177">
        <f t="shared" si="240"/>
        <v>0.7908724680939927</v>
      </c>
      <c r="CF166" s="5">
        <f t="shared" si="241"/>
        <v>79.087246809399275</v>
      </c>
      <c r="CG166">
        <f t="shared" si="242"/>
        <v>56.000000000000007</v>
      </c>
      <c r="CI166" s="571">
        <f t="shared" si="271"/>
        <v>-50</v>
      </c>
      <c r="CJ166">
        <f t="shared" si="272"/>
        <v>-50</v>
      </c>
    </row>
    <row r="167" spans="5:88" x14ac:dyDescent="0.2">
      <c r="E167" s="174">
        <v>57</v>
      </c>
      <c r="F167" s="221">
        <f t="shared" si="273"/>
        <v>0.23939999999999997</v>
      </c>
      <c r="G167" s="221">
        <f t="shared" si="252"/>
        <v>0.41324999999999995</v>
      </c>
      <c r="H167" s="221">
        <f t="shared" si="253"/>
        <v>3.7106999999999997</v>
      </c>
      <c r="I167" s="221">
        <f t="shared" si="254"/>
        <v>3.3059999999999996</v>
      </c>
      <c r="J167" s="551">
        <f t="shared" si="186"/>
        <v>9</v>
      </c>
      <c r="K167" s="451">
        <f t="shared" si="187"/>
        <v>16.399999999999999</v>
      </c>
      <c r="L167" s="451">
        <f t="shared" si="188"/>
        <v>25.4</v>
      </c>
      <c r="M167" s="451"/>
      <c r="N167" s="221">
        <f t="shared" si="189"/>
        <v>0.64566929133858264</v>
      </c>
      <c r="O167" s="176">
        <f t="shared" si="255"/>
        <v>5.6698549287756563</v>
      </c>
      <c r="P167" s="176">
        <f t="shared" si="256"/>
        <v>9.552037446932033</v>
      </c>
      <c r="Q167" s="221">
        <f t="shared" si="192"/>
        <v>0.36579709217907458</v>
      </c>
      <c r="R167" s="221">
        <f t="shared" si="257"/>
        <v>0.70873186609695704</v>
      </c>
      <c r="S167" s="221">
        <f t="shared" si="258"/>
        <v>15.5</v>
      </c>
      <c r="T167" s="221">
        <f t="shared" si="259"/>
        <v>2.6832908762420957</v>
      </c>
      <c r="U167" s="221">
        <f t="shared" si="196"/>
        <v>2.6832908762420957</v>
      </c>
      <c r="V167" s="221">
        <f t="shared" si="197"/>
        <v>1.4725376759865161</v>
      </c>
      <c r="W167" s="201">
        <f t="shared" si="198"/>
        <v>350</v>
      </c>
      <c r="X167" s="451">
        <f t="shared" si="199"/>
        <v>240.62590345882731</v>
      </c>
      <c r="Z167" s="221">
        <f t="shared" si="200"/>
        <v>1.8447694038245221</v>
      </c>
      <c r="AA167" s="177">
        <f t="shared" si="201"/>
        <v>1.0123734533183355</v>
      </c>
      <c r="AB167" s="177">
        <f t="shared" si="260"/>
        <v>0.17283982577713339</v>
      </c>
      <c r="AC167" s="177"/>
      <c r="AD167" s="177">
        <f t="shared" si="203"/>
        <v>0.45</v>
      </c>
      <c r="AE167" s="555">
        <f t="shared" si="261"/>
        <v>1297.560975609756</v>
      </c>
      <c r="AF167" s="538">
        <f t="shared" si="262"/>
        <v>6.4574999999999994E-2</v>
      </c>
      <c r="AH167" s="177">
        <f t="shared" si="263"/>
        <v>2.1106983723515822</v>
      </c>
      <c r="AI167" s="177">
        <f t="shared" si="264"/>
        <v>2.6832908762420957</v>
      </c>
      <c r="AJ167" s="177">
        <f t="shared" si="265"/>
        <v>2.5802154638830341</v>
      </c>
      <c r="AL167" s="555">
        <f t="shared" si="266"/>
        <v>239.39999999999998</v>
      </c>
      <c r="AM167" s="469">
        <f t="shared" si="267"/>
        <v>240.62590345882731</v>
      </c>
      <c r="AO167">
        <f t="shared" si="211"/>
        <v>239.39999999999998</v>
      </c>
      <c r="AP167">
        <f t="shared" si="212"/>
        <v>240.62590345882731</v>
      </c>
      <c r="AR167" s="5">
        <f t="shared" si="249"/>
        <v>4.1558285522286118</v>
      </c>
      <c r="AS167" s="5">
        <f t="shared" si="246"/>
        <v>2.6832908762420957</v>
      </c>
      <c r="AT167" s="5">
        <f t="shared" si="247"/>
        <v>1.4725376759865161</v>
      </c>
      <c r="AU167" s="177">
        <f t="shared" si="248"/>
        <v>0.64566929133858264</v>
      </c>
      <c r="AW167" s="5">
        <f t="shared" si="216"/>
        <v>4.1443860372410173</v>
      </c>
      <c r="AX167" s="5"/>
      <c r="AY167" s="5">
        <f t="shared" si="217"/>
        <v>13.860874432588075</v>
      </c>
      <c r="AZ167" s="5"/>
      <c r="BA167" s="5">
        <f t="shared" si="218"/>
        <v>1.1243097848319268</v>
      </c>
      <c r="BB167" s="5"/>
      <c r="BC167" s="5"/>
      <c r="BD167" s="177">
        <f t="shared" si="219"/>
        <v>1.2448361516897466</v>
      </c>
      <c r="BE167" s="177">
        <f t="shared" si="220"/>
        <v>0.9221711325025056</v>
      </c>
      <c r="BF167" s="177">
        <f t="shared" si="221"/>
        <v>1.5139529181317994</v>
      </c>
      <c r="BG167" s="177"/>
      <c r="BH167" s="538">
        <f t="shared" si="222"/>
        <v>0.17045787490091116</v>
      </c>
      <c r="BI167" s="538">
        <f t="shared" si="223"/>
        <v>8.199999999999999E-2</v>
      </c>
      <c r="BJ167" s="538">
        <f t="shared" si="224"/>
        <v>1.2031295172941365E-2</v>
      </c>
      <c r="BK167" s="538">
        <f t="shared" si="225"/>
        <v>3.4929496771986826E-2</v>
      </c>
      <c r="BL167">
        <f t="shared" si="226"/>
        <v>2.6099999999999999E-3</v>
      </c>
      <c r="BM167">
        <f t="shared" si="268"/>
        <v>9.6250361383530931E-6</v>
      </c>
      <c r="BN167">
        <f t="shared" si="269"/>
        <v>0.31184567557002074</v>
      </c>
      <c r="BO167" s="469">
        <f t="shared" si="229"/>
        <v>302.02866684583933</v>
      </c>
      <c r="BP167" s="177">
        <f t="shared" si="230"/>
        <v>0.21545999999999998</v>
      </c>
      <c r="BQ167" s="177">
        <f t="shared" si="231"/>
        <v>0.37192499999999995</v>
      </c>
      <c r="BR167" s="538"/>
      <c r="BT167" s="469">
        <f t="shared" si="232"/>
        <v>587.38499999999999</v>
      </c>
      <c r="BU167" s="538">
        <f t="shared" si="233"/>
        <v>7.4381618138579422E-2</v>
      </c>
      <c r="BV167" s="538">
        <f t="shared" si="234"/>
        <v>0.20409590342902889</v>
      </c>
      <c r="BW167" s="538">
        <f t="shared" si="235"/>
        <v>0.55009282519674974</v>
      </c>
      <c r="BX167" s="538">
        <f t="shared" si="236"/>
        <v>0</v>
      </c>
      <c r="BY167" s="538">
        <f t="shared" si="274"/>
        <v>0.88739165999969793</v>
      </c>
      <c r="BZ167" s="538">
        <f t="shared" si="250"/>
        <v>0.82857034676435803</v>
      </c>
      <c r="CA167" s="641">
        <f t="shared" si="270"/>
        <v>8.662592592592594E-2</v>
      </c>
      <c r="CB167" s="469">
        <f t="shared" si="238"/>
        <v>2631.1582794543397</v>
      </c>
      <c r="CC167" s="177">
        <f t="shared" si="251"/>
        <v>1.8732482614956445</v>
      </c>
      <c r="CD167" s="5">
        <f t="shared" si="239"/>
        <v>7.0166999999999993</v>
      </c>
      <c r="CE167" s="177">
        <f t="shared" si="240"/>
        <v>0.78928468351057768</v>
      </c>
      <c r="CF167" s="5">
        <f t="shared" si="241"/>
        <v>78.928468351057774</v>
      </c>
      <c r="CG167">
        <f t="shared" si="242"/>
        <v>56.999999999999993</v>
      </c>
      <c r="CI167" s="571">
        <f t="shared" si="271"/>
        <v>-50</v>
      </c>
      <c r="CJ167">
        <f t="shared" si="272"/>
        <v>-50</v>
      </c>
    </row>
    <row r="168" spans="5:88" x14ac:dyDescent="0.2">
      <c r="E168" s="174">
        <v>58</v>
      </c>
      <c r="F168" s="221">
        <f t="shared" si="273"/>
        <v>0.24359999999999998</v>
      </c>
      <c r="G168" s="221">
        <f t="shared" si="252"/>
        <v>0.42049999999999998</v>
      </c>
      <c r="H168" s="221">
        <f t="shared" si="253"/>
        <v>3.7757999999999998</v>
      </c>
      <c r="I168" s="221">
        <f t="shared" si="254"/>
        <v>3.3639999999999999</v>
      </c>
      <c r="J168" s="551">
        <f t="shared" si="186"/>
        <v>9</v>
      </c>
      <c r="K168" s="451">
        <f t="shared" si="187"/>
        <v>16.399999999999999</v>
      </c>
      <c r="L168" s="451">
        <f t="shared" si="188"/>
        <v>25.4</v>
      </c>
      <c r="M168" s="451"/>
      <c r="N168" s="221">
        <f t="shared" si="189"/>
        <v>0.64566929133858264</v>
      </c>
      <c r="O168" s="176">
        <f t="shared" si="255"/>
        <v>5.6698549287756563</v>
      </c>
      <c r="P168" s="176">
        <f t="shared" si="256"/>
        <v>9.552037446932033</v>
      </c>
      <c r="Q168" s="221">
        <f t="shared" si="192"/>
        <v>0.36579709217907458</v>
      </c>
      <c r="R168" s="221">
        <f t="shared" si="257"/>
        <v>0.70873186609695704</v>
      </c>
      <c r="S168" s="221">
        <f t="shared" si="258"/>
        <v>15.5</v>
      </c>
      <c r="T168" s="221">
        <f t="shared" si="259"/>
        <v>2.7303661547726588</v>
      </c>
      <c r="U168" s="221">
        <f t="shared" si="196"/>
        <v>2.7303661547726588</v>
      </c>
      <c r="V168" s="221">
        <f t="shared" si="197"/>
        <v>1.4983716703020689</v>
      </c>
      <c r="W168" s="201">
        <f t="shared" si="198"/>
        <v>350</v>
      </c>
      <c r="X168" s="451">
        <f t="shared" si="199"/>
        <v>236.47718098539926</v>
      </c>
      <c r="Z168" s="221">
        <f t="shared" si="200"/>
        <v>1.8447694038245221</v>
      </c>
      <c r="AA168" s="177">
        <f t="shared" si="201"/>
        <v>1.0123734533183355</v>
      </c>
      <c r="AB168" s="177">
        <f t="shared" si="260"/>
        <v>0.17283982577713339</v>
      </c>
      <c r="AC168" s="177"/>
      <c r="AD168" s="177">
        <f t="shared" si="203"/>
        <v>0.45</v>
      </c>
      <c r="AE168" s="555">
        <f t="shared" si="261"/>
        <v>1320.3252032520325</v>
      </c>
      <c r="AF168" s="538">
        <f t="shared" si="262"/>
        <v>6.4574999999999994E-2</v>
      </c>
      <c r="AH168" s="177">
        <f t="shared" si="263"/>
        <v>2.1291327692763429</v>
      </c>
      <c r="AI168" s="177">
        <f t="shared" si="264"/>
        <v>2.7303661547726588</v>
      </c>
      <c r="AJ168" s="177">
        <f t="shared" si="265"/>
        <v>2.61508604057234</v>
      </c>
      <c r="AL168" s="555">
        <f t="shared" si="266"/>
        <v>243.6</v>
      </c>
      <c r="AM168" s="469">
        <f t="shared" si="267"/>
        <v>236.47718098539926</v>
      </c>
      <c r="AO168">
        <f t="shared" si="211"/>
        <v>243.6</v>
      </c>
      <c r="AP168">
        <f t="shared" si="212"/>
        <v>236.47718098539926</v>
      </c>
      <c r="AR168" s="5">
        <f t="shared" si="249"/>
        <v>4.2287378250747283</v>
      </c>
      <c r="AS168" s="5">
        <f t="shared" si="246"/>
        <v>2.7303661547726588</v>
      </c>
      <c r="AT168" s="5">
        <f t="shared" si="247"/>
        <v>1.4983716703020695</v>
      </c>
      <c r="AU168" s="177">
        <f t="shared" si="248"/>
        <v>0.64566929133858253</v>
      </c>
      <c r="AW168" s="5">
        <f t="shared" si="216"/>
        <v>4.2910786793717399</v>
      </c>
      <c r="AX168" s="5"/>
      <c r="AY168" s="5">
        <f t="shared" si="217"/>
        <v>14.351487101023787</v>
      </c>
      <c r="AZ168" s="5"/>
      <c r="BA168" s="5">
        <f t="shared" si="218"/>
        <v>1.1641052989149288</v>
      </c>
      <c r="BB168" s="5"/>
      <c r="BC168" s="5"/>
      <c r="BD168" s="177">
        <f t="shared" si="219"/>
        <v>1.2666753824211454</v>
      </c>
      <c r="BE168" s="177">
        <f t="shared" si="220"/>
        <v>0.93834957342360237</v>
      </c>
      <c r="BF168" s="177">
        <f t="shared" si="221"/>
        <v>1.5405134956428836</v>
      </c>
      <c r="BG168" s="177"/>
      <c r="BH168" s="538">
        <f t="shared" si="222"/>
        <v>0.17649131768749307</v>
      </c>
      <c r="BI168" s="538">
        <f t="shared" si="223"/>
        <v>8.2000000000000003E-2</v>
      </c>
      <c r="BJ168" s="538">
        <f t="shared" si="224"/>
        <v>1.1823859049269962E-2</v>
      </c>
      <c r="BK168" s="538">
        <f t="shared" si="225"/>
        <v>3.4327264069021535E-2</v>
      </c>
      <c r="BL168">
        <f t="shared" si="226"/>
        <v>2.6099999999999999E-3</v>
      </c>
      <c r="BM168">
        <f t="shared" si="268"/>
        <v>9.45908723941597E-6</v>
      </c>
      <c r="BN168">
        <f t="shared" si="269"/>
        <v>0.31760392473353871</v>
      </c>
      <c r="BO168" s="469">
        <f t="shared" si="229"/>
        <v>307.25244080578454</v>
      </c>
      <c r="BP168" s="177">
        <f t="shared" si="230"/>
        <v>0.21923999999999999</v>
      </c>
      <c r="BQ168" s="177">
        <f t="shared" si="231"/>
        <v>0.37845000000000001</v>
      </c>
      <c r="BR168" s="538"/>
      <c r="BT168" s="469">
        <f t="shared" si="232"/>
        <v>597.69000000000005</v>
      </c>
      <c r="BU168" s="538">
        <f t="shared" si="233"/>
        <v>7.7014393172724252E-2</v>
      </c>
      <c r="BV168" s="538">
        <f t="shared" si="234"/>
        <v>0.21131998126662155</v>
      </c>
      <c r="BW168" s="538">
        <f t="shared" si="235"/>
        <v>0.56956363926188558</v>
      </c>
      <c r="BX168" s="538">
        <f t="shared" si="236"/>
        <v>0</v>
      </c>
      <c r="BY168" s="538">
        <f t="shared" si="274"/>
        <v>0.92111589332285648</v>
      </c>
      <c r="BZ168" s="538">
        <f t="shared" si="250"/>
        <v>0.85789801370123131</v>
      </c>
      <c r="CA168" s="641">
        <f t="shared" si="270"/>
        <v>8.8145679012345671E-2</v>
      </c>
      <c r="CB168" s="469">
        <f t="shared" si="238"/>
        <v>2725.057599737665</v>
      </c>
      <c r="CC168" s="177">
        <f t="shared" si="251"/>
        <v>1.9245554970687409</v>
      </c>
      <c r="CD168" s="5">
        <f t="shared" si="239"/>
        <v>7.1397999999999993</v>
      </c>
      <c r="CE168" s="177">
        <f t="shared" si="240"/>
        <v>0.78767872710959863</v>
      </c>
      <c r="CF168" s="5">
        <f t="shared" si="241"/>
        <v>78.767872710959864</v>
      </c>
      <c r="CG168">
        <f t="shared" si="242"/>
        <v>57.999999999999993</v>
      </c>
      <c r="CI168" s="571">
        <f t="shared" si="271"/>
        <v>-50</v>
      </c>
      <c r="CJ168">
        <f t="shared" si="272"/>
        <v>-50</v>
      </c>
    </row>
    <row r="169" spans="5:88" x14ac:dyDescent="0.2">
      <c r="E169" s="174">
        <v>59</v>
      </c>
      <c r="F169" s="221">
        <f t="shared" si="273"/>
        <v>0.24779999999999996</v>
      </c>
      <c r="G169" s="221">
        <f t="shared" si="252"/>
        <v>0.42774999999999996</v>
      </c>
      <c r="H169" s="221">
        <f t="shared" si="253"/>
        <v>3.8408999999999995</v>
      </c>
      <c r="I169" s="221">
        <f t="shared" si="254"/>
        <v>3.4219999999999997</v>
      </c>
      <c r="J169" s="551">
        <f t="shared" si="186"/>
        <v>9</v>
      </c>
      <c r="K169" s="451">
        <f t="shared" si="187"/>
        <v>16.399999999999999</v>
      </c>
      <c r="L169" s="451">
        <f t="shared" si="188"/>
        <v>25.4</v>
      </c>
      <c r="M169" s="451"/>
      <c r="N169" s="221">
        <f t="shared" si="189"/>
        <v>0.64566929133858264</v>
      </c>
      <c r="O169" s="176">
        <f t="shared" si="255"/>
        <v>5.6698549287756563</v>
      </c>
      <c r="P169" s="176">
        <f t="shared" si="256"/>
        <v>9.552037446932033</v>
      </c>
      <c r="Q169" s="221">
        <f t="shared" si="192"/>
        <v>0.36579709217907458</v>
      </c>
      <c r="R169" s="221">
        <f t="shared" si="257"/>
        <v>0.70873186609695704</v>
      </c>
      <c r="S169" s="221">
        <f t="shared" si="258"/>
        <v>15.5</v>
      </c>
      <c r="T169" s="221">
        <f t="shared" si="259"/>
        <v>2.7774414333032218</v>
      </c>
      <c r="U169" s="221">
        <f t="shared" si="196"/>
        <v>2.7774414333032218</v>
      </c>
      <c r="V169" s="221">
        <f t="shared" si="197"/>
        <v>1.5242056646176219</v>
      </c>
      <c r="W169" s="201">
        <f t="shared" si="198"/>
        <v>350</v>
      </c>
      <c r="X169" s="451">
        <f t="shared" si="199"/>
        <v>232.46909317208738</v>
      </c>
      <c r="Z169" s="221">
        <f t="shared" si="200"/>
        <v>1.8447694038245221</v>
      </c>
      <c r="AA169" s="177">
        <f t="shared" si="201"/>
        <v>1.0123734533183355</v>
      </c>
      <c r="AB169" s="177">
        <f t="shared" si="260"/>
        <v>0.17283982577713339</v>
      </c>
      <c r="AC169" s="177"/>
      <c r="AD169" s="177">
        <f t="shared" si="203"/>
        <v>0.45</v>
      </c>
      <c r="AE169" s="555">
        <f t="shared" si="261"/>
        <v>1343.0894308943084</v>
      </c>
      <c r="AF169" s="538">
        <f t="shared" si="262"/>
        <v>6.4574999999999994E-2</v>
      </c>
      <c r="AH169" s="177">
        <f t="shared" si="263"/>
        <v>2.1474089222514374</v>
      </c>
      <c r="AI169" s="177">
        <f t="shared" si="264"/>
        <v>2.7774414333032218</v>
      </c>
      <c r="AJ169" s="177">
        <f t="shared" si="265"/>
        <v>2.6499566172616458</v>
      </c>
      <c r="AL169" s="555">
        <f t="shared" si="266"/>
        <v>247.79999999999995</v>
      </c>
      <c r="AM169" s="469">
        <f t="shared" si="267"/>
        <v>232.46909317208738</v>
      </c>
      <c r="AO169">
        <f t="shared" si="211"/>
        <v>247.79999999999995</v>
      </c>
      <c r="AP169">
        <f t="shared" si="212"/>
        <v>232.46909317208738</v>
      </c>
      <c r="AR169" s="5">
        <f t="shared" si="249"/>
        <v>4.3016470979208439</v>
      </c>
      <c r="AS169" s="5">
        <f t="shared" si="246"/>
        <v>2.7774414333032218</v>
      </c>
      <c r="AT169" s="5">
        <f t="shared" si="247"/>
        <v>1.5242056646176221</v>
      </c>
      <c r="AU169" s="177">
        <f t="shared" si="248"/>
        <v>0.64566929133858264</v>
      </c>
      <c r="AW169" s="5">
        <f t="shared" si="216"/>
        <v>4.440322497887343</v>
      </c>
      <c r="AX169" s="5"/>
      <c r="AY169" s="5">
        <f t="shared" si="217"/>
        <v>14.850632163693163</v>
      </c>
      <c r="AZ169" s="5"/>
      <c r="BA169" s="5">
        <f t="shared" si="218"/>
        <v>1.2045929088950253</v>
      </c>
      <c r="BB169" s="5"/>
      <c r="BC169" s="5"/>
      <c r="BD169" s="177">
        <f t="shared" si="219"/>
        <v>1.2885146131525447</v>
      </c>
      <c r="BE169" s="177">
        <f t="shared" si="220"/>
        <v>0.95452801434469881</v>
      </c>
      <c r="BF169" s="177">
        <f t="shared" si="221"/>
        <v>1.5670740731539676</v>
      </c>
      <c r="BG169" s="177"/>
      <c r="BH169" s="538">
        <f t="shared" si="222"/>
        <v>0.18262968991384168</v>
      </c>
      <c r="BI169" s="538">
        <f t="shared" si="223"/>
        <v>8.199999999999999E-2</v>
      </c>
      <c r="BJ169" s="538">
        <f t="shared" si="224"/>
        <v>1.1623454658604369E-2</v>
      </c>
      <c r="BK169" s="538">
        <f t="shared" si="225"/>
        <v>3.3745446033953373E-2</v>
      </c>
      <c r="BL169">
        <f t="shared" si="226"/>
        <v>2.6099999999999999E-3</v>
      </c>
      <c r="BM169">
        <f t="shared" si="268"/>
        <v>9.2987637268834957E-6</v>
      </c>
      <c r="BN169">
        <f t="shared" si="269"/>
        <v>0.3235189167894863</v>
      </c>
      <c r="BO169" s="469">
        <f t="shared" si="229"/>
        <v>312.60859060639939</v>
      </c>
      <c r="BP169" s="177">
        <f t="shared" si="230"/>
        <v>0.22301999999999997</v>
      </c>
      <c r="BQ169" s="177">
        <f t="shared" si="231"/>
        <v>0.38497499999999996</v>
      </c>
      <c r="BR169" s="538"/>
      <c r="BT169" s="469">
        <f t="shared" si="232"/>
        <v>607.995</v>
      </c>
      <c r="BU169" s="538">
        <f t="shared" si="233"/>
        <v>7.9692955598767282E-2</v>
      </c>
      <c r="BV169" s="538">
        <f t="shared" si="234"/>
        <v>0.21866969524052005</v>
      </c>
      <c r="BW169" s="538">
        <f t="shared" si="235"/>
        <v>0.58937307618032797</v>
      </c>
      <c r="BX169" s="538">
        <f t="shared" si="236"/>
        <v>0</v>
      </c>
      <c r="BY169" s="538">
        <f t="shared" si="274"/>
        <v>0.95560145092160675</v>
      </c>
      <c r="BZ169" s="538">
        <f t="shared" si="250"/>
        <v>0.88773572701961534</v>
      </c>
      <c r="CA169" s="641">
        <f t="shared" si="270"/>
        <v>8.9665432098765402E-2</v>
      </c>
      <c r="CB169" s="469">
        <f t="shared" si="238"/>
        <v>2820.7383370596031</v>
      </c>
      <c r="CC169" s="177">
        <f t="shared" si="251"/>
        <v>1.9767807998098583</v>
      </c>
      <c r="CD169" s="5">
        <f t="shared" si="239"/>
        <v>7.2628999999999992</v>
      </c>
      <c r="CE169" s="177">
        <f t="shared" si="240"/>
        <v>0.78605529318171485</v>
      </c>
      <c r="CF169" s="5">
        <f t="shared" si="241"/>
        <v>78.605529318171492</v>
      </c>
      <c r="CG169">
        <f t="shared" si="242"/>
        <v>59</v>
      </c>
      <c r="CI169" s="571">
        <f t="shared" si="271"/>
        <v>-50</v>
      </c>
      <c r="CJ169">
        <f t="shared" si="272"/>
        <v>-50</v>
      </c>
    </row>
    <row r="170" spans="5:88" x14ac:dyDescent="0.2">
      <c r="E170" s="174">
        <v>60</v>
      </c>
      <c r="F170" s="221">
        <f t="shared" si="273"/>
        <v>0.252</v>
      </c>
      <c r="G170" s="221">
        <f t="shared" si="252"/>
        <v>0.435</v>
      </c>
      <c r="H170" s="221">
        <f t="shared" si="253"/>
        <v>3.9060000000000001</v>
      </c>
      <c r="I170" s="221">
        <f t="shared" si="254"/>
        <v>3.48</v>
      </c>
      <c r="J170" s="551">
        <f t="shared" si="186"/>
        <v>9</v>
      </c>
      <c r="K170" s="451">
        <f t="shared" si="187"/>
        <v>16.399999999999999</v>
      </c>
      <c r="L170" s="451">
        <f t="shared" si="188"/>
        <v>25.4</v>
      </c>
      <c r="M170" s="451"/>
      <c r="N170" s="221">
        <f t="shared" si="189"/>
        <v>0.64566929133858264</v>
      </c>
      <c r="O170" s="176">
        <f t="shared" si="255"/>
        <v>5.6698549287756563</v>
      </c>
      <c r="P170" s="176">
        <f t="shared" si="256"/>
        <v>9.552037446932033</v>
      </c>
      <c r="Q170" s="221">
        <f t="shared" si="192"/>
        <v>0.36579709217907458</v>
      </c>
      <c r="R170" s="221">
        <f t="shared" si="257"/>
        <v>0.70873186609695704</v>
      </c>
      <c r="S170" s="221">
        <f t="shared" si="258"/>
        <v>15.5</v>
      </c>
      <c r="T170" s="221">
        <f t="shared" si="259"/>
        <v>2.8245167118337853</v>
      </c>
      <c r="U170" s="221">
        <f t="shared" si="196"/>
        <v>2.8245167118337853</v>
      </c>
      <c r="V170" s="221">
        <f t="shared" si="197"/>
        <v>1.5500396589331753</v>
      </c>
      <c r="W170" s="201">
        <f t="shared" si="198"/>
        <v>350</v>
      </c>
      <c r="X170" s="451">
        <f t="shared" si="199"/>
        <v>228.5946082858859</v>
      </c>
      <c r="Z170" s="221">
        <f t="shared" si="200"/>
        <v>1.8447694038245221</v>
      </c>
      <c r="AA170" s="177">
        <f t="shared" si="201"/>
        <v>1.0123734533183355</v>
      </c>
      <c r="AB170" s="177">
        <f t="shared" si="260"/>
        <v>0.17283982577713339</v>
      </c>
      <c r="AC170" s="177"/>
      <c r="AD170" s="177">
        <f t="shared" si="203"/>
        <v>0.45</v>
      </c>
      <c r="AE170" s="555">
        <f t="shared" si="261"/>
        <v>1365.8536585365855</v>
      </c>
      <c r="AF170" s="538">
        <f t="shared" si="262"/>
        <v>6.4574999999999994E-2</v>
      </c>
      <c r="AH170" s="177">
        <f t="shared" si="263"/>
        <v>2.1655308378140936</v>
      </c>
      <c r="AI170" s="177">
        <f t="shared" si="264"/>
        <v>2.8245167118337853</v>
      </c>
      <c r="AJ170" s="177">
        <f t="shared" si="265"/>
        <v>2.6848271939509525</v>
      </c>
      <c r="AL170" s="555">
        <f t="shared" si="266"/>
        <v>252</v>
      </c>
      <c r="AM170" s="469">
        <f t="shared" si="267"/>
        <v>228.5946082858859</v>
      </c>
      <c r="AO170">
        <f t="shared" si="211"/>
        <v>252</v>
      </c>
      <c r="AP170">
        <f t="shared" si="212"/>
        <v>228.5946082858859</v>
      </c>
      <c r="AR170" s="5">
        <f t="shared" si="249"/>
        <v>4.3745563707669604</v>
      </c>
      <c r="AS170" s="5">
        <f t="shared" si="246"/>
        <v>2.8245167118337853</v>
      </c>
      <c r="AT170" s="5">
        <f t="shared" si="247"/>
        <v>1.5500396589331751</v>
      </c>
      <c r="AU170" s="177">
        <f t="shared" si="248"/>
        <v>0.64566929133858264</v>
      </c>
      <c r="AW170" s="5">
        <f t="shared" ref="AW170:AW210" si="275">F170*AS170/Vout_ripple*1000</f>
        <v>4.5921174927878319</v>
      </c>
      <c r="AX170" s="5"/>
      <c r="AY170" s="5">
        <f t="shared" ref="AY170:AY210" si="276">G170*AS170/Vout_ripple2*1000</f>
        <v>15.358309620596209</v>
      </c>
      <c r="AZ170" s="5"/>
      <c r="BA170" s="5">
        <f t="shared" ref="BA170:BA210" si="277">H170/Efficiency/J170*AT170/Vinripple1</f>
        <v>1.2457726147722183</v>
      </c>
      <c r="BB170" s="5"/>
      <c r="BC170" s="5"/>
      <c r="BD170" s="177">
        <f t="shared" ref="BD170:BD210" si="278">AI170*SQRT(AU170/3)</f>
        <v>1.3103538438839439</v>
      </c>
      <c r="BE170" s="177">
        <f t="shared" ref="BE170:BE210" si="279">AI170*Npri_sec1*SQRT((1-AU170)/3)*(Pout/Pout_total)</f>
        <v>0.97070645526579546</v>
      </c>
      <c r="BF170" s="177">
        <f t="shared" ref="BF170:BF210" si="280">AI170*Npri_sec2*SQRT((1-AU170)/3)*(Pout2/Pout_total)</f>
        <v>1.5936346506650521</v>
      </c>
      <c r="BG170" s="177"/>
      <c r="BH170" s="538">
        <f t="shared" ref="BH170:BH210" si="281">Rdson*BD170^2</f>
        <v>0.18887299157995702</v>
      </c>
      <c r="BI170" s="538">
        <f t="shared" ref="BI170:BI210" si="282">0.5*L170*AI170*AM170*1000*Trise</f>
        <v>8.2000000000000003E-2</v>
      </c>
      <c r="BJ170" s="538">
        <f t="shared" ref="BJ170:BJ210" si="283">Qg*Vdd*AM170*1000</f>
        <v>1.1429730414294294E-2</v>
      </c>
      <c r="BK170" s="538">
        <f t="shared" ref="BK170:BK210" si="284">0.5*(Coss+Csw)*L170^2*AM170*1000</f>
        <v>3.3183021933387478E-2</v>
      </c>
      <c r="BL170">
        <f t="shared" ref="BL170:BL210" si="285">J170*IQ</f>
        <v>2.6099999999999999E-3</v>
      </c>
      <c r="BM170">
        <f t="shared" si="268"/>
        <v>9.1437843314354355E-6</v>
      </c>
      <c r="BN170">
        <f t="shared" si="269"/>
        <v>0.32959013729105852</v>
      </c>
      <c r="BO170" s="469">
        <f t="shared" ref="BO170:BO210" si="286">SUM(BH170:BL170)*1000</f>
        <v>318.09574392763881</v>
      </c>
      <c r="BP170" s="177">
        <f t="shared" ref="BP170:BP210" si="287">Vfwd2*F170</f>
        <v>0.2268</v>
      </c>
      <c r="BQ170" s="177">
        <f t="shared" ref="BQ170:BQ210" si="288">Vfwd2*G170</f>
        <v>0.39150000000000001</v>
      </c>
      <c r="BR170" s="538"/>
      <c r="BT170" s="469">
        <f t="shared" ref="BT170:BT210" si="289">SUM(BP170:BS170)*1000</f>
        <v>618.30000000000007</v>
      </c>
      <c r="BU170" s="538">
        <f t="shared" ref="BU170:BU210" si="290">Rdcr_pri*BD170^2</f>
        <v>8.2417305416708511E-2</v>
      </c>
      <c r="BV170" s="538">
        <f t="shared" ref="BV170:BV210" si="291">Rdcr_sec*BE170^2</f>
        <v>0.22614504535072458</v>
      </c>
      <c r="BW170" s="538">
        <f t="shared" ref="BW170:BW210" si="292">Rdcr_sec2*BF170^2</f>
        <v>0.60952113595207735</v>
      </c>
      <c r="BX170" s="538">
        <f t="shared" ref="BX170:BX210" si="293">AI170^2.5*AM170^2.5*k_core</f>
        <v>0</v>
      </c>
      <c r="BY170" s="538">
        <f t="shared" si="274"/>
        <v>0.99085877288398616</v>
      </c>
      <c r="BZ170" s="538">
        <f t="shared" si="250"/>
        <v>0.91808348671951046</v>
      </c>
      <c r="CA170" s="641">
        <f t="shared" si="270"/>
        <v>9.1185185185185189E-2</v>
      </c>
      <c r="CB170" s="469">
        <f t="shared" ref="CB170:CB192" si="294">SUM(BU170:CA170)*1000</f>
        <v>2918.2109315081921</v>
      </c>
      <c r="CC170" s="177">
        <f t="shared" si="251"/>
        <v>2.0299340953602298</v>
      </c>
      <c r="CD170" s="5">
        <f t="shared" ref="CD170:CD192" si="295">MIN(H170+I170,O170+P170)</f>
        <v>7.3860000000000001</v>
      </c>
      <c r="CE170" s="177">
        <f t="shared" ref="CE170:CE192" si="296">CD170/(CD170+CC170)</f>
        <v>0.78441500600981329</v>
      </c>
      <c r="CF170" s="5">
        <f t="shared" ref="CF170:CF192" si="297">CE170*100</f>
        <v>78.441500600981328</v>
      </c>
      <c r="CG170">
        <f t="shared" ref="CG170:CG192" si="298">F170/Iout*100</f>
        <v>60</v>
      </c>
      <c r="CI170" s="571">
        <f t="shared" si="271"/>
        <v>-50</v>
      </c>
      <c r="CJ170">
        <f t="shared" si="272"/>
        <v>-50</v>
      </c>
    </row>
    <row r="171" spans="5:88" x14ac:dyDescent="0.2">
      <c r="E171" s="174">
        <v>61</v>
      </c>
      <c r="F171" s="221">
        <f t="shared" si="273"/>
        <v>0.25619999999999998</v>
      </c>
      <c r="G171" s="221">
        <f t="shared" si="252"/>
        <v>0.44224999999999998</v>
      </c>
      <c r="H171" s="221">
        <f t="shared" si="253"/>
        <v>3.9710999999999999</v>
      </c>
      <c r="I171" s="221">
        <f t="shared" si="254"/>
        <v>3.5379999999999998</v>
      </c>
      <c r="J171" s="551">
        <f t="shared" si="186"/>
        <v>9</v>
      </c>
      <c r="K171" s="451">
        <f t="shared" si="187"/>
        <v>16.399999999999999</v>
      </c>
      <c r="L171" s="451">
        <f t="shared" si="188"/>
        <v>25.4</v>
      </c>
      <c r="M171" s="451"/>
      <c r="N171" s="221">
        <f t="shared" si="189"/>
        <v>0.64566929133858264</v>
      </c>
      <c r="O171" s="176">
        <f t="shared" si="255"/>
        <v>5.6698549287756563</v>
      </c>
      <c r="P171" s="176">
        <f t="shared" si="256"/>
        <v>9.552037446932033</v>
      </c>
      <c r="Q171" s="221">
        <f t="shared" si="192"/>
        <v>0.36579709217907458</v>
      </c>
      <c r="R171" s="221">
        <f t="shared" si="257"/>
        <v>0.70873186609695704</v>
      </c>
      <c r="S171" s="221">
        <f t="shared" si="258"/>
        <v>15.5</v>
      </c>
      <c r="T171" s="221">
        <f t="shared" si="259"/>
        <v>2.8715919903643483</v>
      </c>
      <c r="U171" s="221">
        <f t="shared" si="196"/>
        <v>2.8715919903643483</v>
      </c>
      <c r="V171" s="221">
        <f t="shared" si="197"/>
        <v>1.5758736532487279</v>
      </c>
      <c r="W171" s="201">
        <f t="shared" si="198"/>
        <v>350</v>
      </c>
      <c r="X171" s="451">
        <f t="shared" si="199"/>
        <v>224.84715569103534</v>
      </c>
      <c r="Z171" s="221">
        <f t="shared" si="200"/>
        <v>1.8447694038245221</v>
      </c>
      <c r="AA171" s="177">
        <f t="shared" si="201"/>
        <v>1.0123734533183355</v>
      </c>
      <c r="AB171" s="177">
        <f t="shared" si="260"/>
        <v>0.17283982577713339</v>
      </c>
      <c r="AC171" s="177"/>
      <c r="AD171" s="177">
        <f t="shared" si="203"/>
        <v>0.45</v>
      </c>
      <c r="AE171" s="555">
        <f t="shared" si="261"/>
        <v>1388.6178861788619</v>
      </c>
      <c r="AF171" s="538">
        <f t="shared" si="262"/>
        <v>6.4574999999999994E-2</v>
      </c>
      <c r="AH171" s="177">
        <f t="shared" si="263"/>
        <v>2.1835023562347122</v>
      </c>
      <c r="AI171" s="177">
        <f t="shared" si="264"/>
        <v>2.8715919903643483</v>
      </c>
      <c r="AJ171" s="177">
        <f t="shared" si="265"/>
        <v>2.7196977706402583</v>
      </c>
      <c r="AL171" s="555">
        <f t="shared" si="266"/>
        <v>256.2</v>
      </c>
      <c r="AM171" s="469">
        <f t="shared" si="267"/>
        <v>224.84715569103534</v>
      </c>
      <c r="AO171">
        <f t="shared" si="211"/>
        <v>256.2</v>
      </c>
      <c r="AP171">
        <f t="shared" si="212"/>
        <v>224.84715569103534</v>
      </c>
      <c r="AR171" s="5">
        <f t="shared" si="249"/>
        <v>4.4474656436130759</v>
      </c>
      <c r="AS171" s="5">
        <f t="shared" si="246"/>
        <v>2.8715919903643483</v>
      </c>
      <c r="AT171" s="5">
        <f t="shared" si="247"/>
        <v>1.5758736532487276</v>
      </c>
      <c r="AU171" s="177">
        <f t="shared" si="248"/>
        <v>0.64566929133858264</v>
      </c>
      <c r="AW171" s="5">
        <f t="shared" si="275"/>
        <v>4.7464636640731994</v>
      </c>
      <c r="AX171" s="5"/>
      <c r="AY171" s="5">
        <f t="shared" si="276"/>
        <v>15.874519471732913</v>
      </c>
      <c r="AZ171" s="5"/>
      <c r="BA171" s="5">
        <f t="shared" si="277"/>
        <v>1.2876444165465062</v>
      </c>
      <c r="BB171" s="5"/>
      <c r="BC171" s="5"/>
      <c r="BD171" s="177">
        <f t="shared" si="278"/>
        <v>1.332193074615343</v>
      </c>
      <c r="BE171" s="177">
        <f t="shared" si="279"/>
        <v>0.98688489618689201</v>
      </c>
      <c r="BF171" s="177">
        <f t="shared" si="280"/>
        <v>1.6201952281761365</v>
      </c>
      <c r="BG171" s="177"/>
      <c r="BH171" s="538">
        <f t="shared" si="281"/>
        <v>0.19522122268583889</v>
      </c>
      <c r="BI171" s="538">
        <f t="shared" si="282"/>
        <v>8.2000000000000003E-2</v>
      </c>
      <c r="BJ171" s="538">
        <f t="shared" si="283"/>
        <v>1.1242357784551767E-2</v>
      </c>
      <c r="BK171" s="538">
        <f t="shared" si="284"/>
        <v>3.2639037967266381E-2</v>
      </c>
      <c r="BL171">
        <f t="shared" si="285"/>
        <v>2.6099999999999999E-3</v>
      </c>
      <c r="BM171">
        <f t="shared" si="268"/>
        <v>8.9938862276414145E-6</v>
      </c>
      <c r="BN171">
        <f t="shared" si="269"/>
        <v>0.33581718154792339</v>
      </c>
      <c r="BO171" s="469">
        <f t="shared" si="286"/>
        <v>323.71261843765706</v>
      </c>
      <c r="BP171" s="177">
        <f t="shared" si="287"/>
        <v>0.23057999999999998</v>
      </c>
      <c r="BQ171" s="177">
        <f t="shared" si="288"/>
        <v>0.39802499999999996</v>
      </c>
      <c r="BR171" s="538"/>
      <c r="BT171" s="469">
        <f t="shared" si="289"/>
        <v>628.60500000000002</v>
      </c>
      <c r="BU171" s="538">
        <f t="shared" si="290"/>
        <v>8.5187442626547871E-2</v>
      </c>
      <c r="BV171" s="538">
        <f t="shared" si="291"/>
        <v>0.233746031597235</v>
      </c>
      <c r="BW171" s="538">
        <f t="shared" si="292"/>
        <v>0.6300078185771335</v>
      </c>
      <c r="BX171" s="538">
        <f t="shared" si="293"/>
        <v>0</v>
      </c>
      <c r="BY171" s="538">
        <f t="shared" si="274"/>
        <v>1.0268986125591004</v>
      </c>
      <c r="BZ171" s="538">
        <f t="shared" si="250"/>
        <v>0.94894129280091644</v>
      </c>
      <c r="CA171" s="641">
        <f t="shared" si="270"/>
        <v>9.2704938271604961E-2</v>
      </c>
      <c r="CB171" s="469">
        <f t="shared" si="294"/>
        <v>3017.4861364325379</v>
      </c>
      <c r="CC171" s="177">
        <f t="shared" si="251"/>
        <v>2.0840257323786284</v>
      </c>
      <c r="CD171" s="5">
        <f t="shared" si="295"/>
        <v>7.5091000000000001</v>
      </c>
      <c r="CE171" s="177">
        <f t="shared" si="296"/>
        <v>0.78275842613584812</v>
      </c>
      <c r="CF171" s="5">
        <f t="shared" si="297"/>
        <v>78.275842613584814</v>
      </c>
      <c r="CG171">
        <f t="shared" si="298"/>
        <v>61</v>
      </c>
      <c r="CI171" s="571">
        <f t="shared" si="271"/>
        <v>-50</v>
      </c>
      <c r="CJ171">
        <f t="shared" si="272"/>
        <v>-50</v>
      </c>
    </row>
    <row r="172" spans="5:88" x14ac:dyDescent="0.2">
      <c r="E172" s="174">
        <v>62</v>
      </c>
      <c r="F172" s="221">
        <f t="shared" si="273"/>
        <v>0.26039999999999996</v>
      </c>
      <c r="G172" s="221">
        <f t="shared" si="252"/>
        <v>0.44950000000000001</v>
      </c>
      <c r="H172" s="221">
        <f t="shared" si="253"/>
        <v>4.0361999999999991</v>
      </c>
      <c r="I172" s="221">
        <f t="shared" si="254"/>
        <v>3.5960000000000001</v>
      </c>
      <c r="J172" s="551">
        <f t="shared" si="186"/>
        <v>9</v>
      </c>
      <c r="K172" s="451">
        <f t="shared" si="187"/>
        <v>16.399999999999999</v>
      </c>
      <c r="L172" s="451">
        <f t="shared" si="188"/>
        <v>25.4</v>
      </c>
      <c r="M172" s="451"/>
      <c r="N172" s="221">
        <f t="shared" si="189"/>
        <v>0.64566929133858264</v>
      </c>
      <c r="O172" s="176">
        <f t="shared" si="255"/>
        <v>5.6698549287756563</v>
      </c>
      <c r="P172" s="176">
        <f t="shared" si="256"/>
        <v>9.552037446932033</v>
      </c>
      <c r="Q172" s="221">
        <f t="shared" si="192"/>
        <v>0.36579709217907458</v>
      </c>
      <c r="R172" s="221">
        <f t="shared" si="257"/>
        <v>0.70873186609695704</v>
      </c>
      <c r="S172" s="221">
        <f t="shared" si="258"/>
        <v>15.5</v>
      </c>
      <c r="T172" s="221">
        <f t="shared" si="259"/>
        <v>2.9186672688949113</v>
      </c>
      <c r="U172" s="221">
        <f t="shared" si="196"/>
        <v>2.9186672688949113</v>
      </c>
      <c r="V172" s="221">
        <f t="shared" si="197"/>
        <v>1.6017076475642809</v>
      </c>
      <c r="W172" s="201">
        <f t="shared" si="198"/>
        <v>350</v>
      </c>
      <c r="X172" s="451">
        <f t="shared" si="199"/>
        <v>221.22058866376057</v>
      </c>
      <c r="Z172" s="221">
        <f t="shared" si="200"/>
        <v>1.8447694038245221</v>
      </c>
      <c r="AA172" s="177">
        <f t="shared" si="201"/>
        <v>1.0123734533183355</v>
      </c>
      <c r="AB172" s="177">
        <f t="shared" si="260"/>
        <v>0.17283982577713339</v>
      </c>
      <c r="AC172" s="177"/>
      <c r="AD172" s="177">
        <f t="shared" si="203"/>
        <v>0.45</v>
      </c>
      <c r="AE172" s="555">
        <f t="shared" si="261"/>
        <v>1411.3821138211379</v>
      </c>
      <c r="AF172" s="538">
        <f t="shared" si="262"/>
        <v>6.4574999999999994E-2</v>
      </c>
      <c r="AH172" s="177">
        <f t="shared" si="263"/>
        <v>2.2013271610192953</v>
      </c>
      <c r="AI172" s="177">
        <f t="shared" si="264"/>
        <v>2.9186672688949113</v>
      </c>
      <c r="AJ172" s="177">
        <f t="shared" si="265"/>
        <v>2.7545683473295641</v>
      </c>
      <c r="AL172" s="555">
        <f t="shared" si="266"/>
        <v>260.39999999999998</v>
      </c>
      <c r="AM172" s="469">
        <f t="shared" si="267"/>
        <v>221.22058866376057</v>
      </c>
      <c r="AO172">
        <f t="shared" si="211"/>
        <v>260.39999999999998</v>
      </c>
      <c r="AP172">
        <f t="shared" si="212"/>
        <v>221.22058866376057</v>
      </c>
      <c r="AR172" s="5">
        <f t="shared" si="249"/>
        <v>4.5203749164591924</v>
      </c>
      <c r="AS172" s="5">
        <f t="shared" si="246"/>
        <v>2.9186672688949113</v>
      </c>
      <c r="AT172" s="5">
        <f t="shared" si="247"/>
        <v>1.6017076475642811</v>
      </c>
      <c r="AU172" s="177">
        <f t="shared" si="248"/>
        <v>0.64566929133858264</v>
      </c>
      <c r="AW172" s="5">
        <f t="shared" si="275"/>
        <v>4.903361011743451</v>
      </c>
      <c r="AX172" s="5"/>
      <c r="AY172" s="5">
        <f t="shared" si="276"/>
        <v>16.399261717103286</v>
      </c>
      <c r="AZ172" s="5"/>
      <c r="BA172" s="5">
        <f t="shared" si="277"/>
        <v>1.3302083142178907</v>
      </c>
      <c r="BB172" s="5"/>
      <c r="BC172" s="5"/>
      <c r="BD172" s="177">
        <f t="shared" si="278"/>
        <v>1.354032305346742</v>
      </c>
      <c r="BE172" s="177">
        <f t="shared" si="279"/>
        <v>1.0030633371079887</v>
      </c>
      <c r="BF172" s="177">
        <f t="shared" si="280"/>
        <v>1.6467558056872205</v>
      </c>
      <c r="BG172" s="177"/>
      <c r="BH172" s="538">
        <f t="shared" si="281"/>
        <v>0.2016743832314874</v>
      </c>
      <c r="BI172" s="538">
        <f t="shared" si="282"/>
        <v>8.2000000000000003E-2</v>
      </c>
      <c r="BJ172" s="538">
        <f t="shared" si="283"/>
        <v>1.1061029433188029E-2</v>
      </c>
      <c r="BK172" s="538">
        <f t="shared" si="284"/>
        <v>3.2112601871020142E-2</v>
      </c>
      <c r="BL172">
        <f t="shared" si="285"/>
        <v>2.6099999999999999E-3</v>
      </c>
      <c r="BM172">
        <f t="shared" si="268"/>
        <v>8.8488235465504236E-6</v>
      </c>
      <c r="BN172">
        <f t="shared" si="269"/>
        <v>0.3421997476622925</v>
      </c>
      <c r="BO172" s="469">
        <f t="shared" si="286"/>
        <v>329.45801453569561</v>
      </c>
      <c r="BP172" s="177">
        <f t="shared" si="287"/>
        <v>0.23435999999999998</v>
      </c>
      <c r="BQ172" s="177">
        <f t="shared" si="288"/>
        <v>0.40455000000000002</v>
      </c>
      <c r="BR172" s="538"/>
      <c r="BT172" s="469">
        <f t="shared" si="289"/>
        <v>638.91</v>
      </c>
      <c r="BU172" s="538">
        <f t="shared" si="290"/>
        <v>8.8003367228285417E-2</v>
      </c>
      <c r="BV172" s="538">
        <f t="shared" si="291"/>
        <v>0.24147265398005149</v>
      </c>
      <c r="BW172" s="538">
        <f t="shared" si="292"/>
        <v>0.65083312405549598</v>
      </c>
      <c r="BX172" s="538">
        <f t="shared" si="293"/>
        <v>0</v>
      </c>
      <c r="BY172" s="538">
        <f t="shared" si="274"/>
        <v>1.063732045444596</v>
      </c>
      <c r="BZ172" s="538">
        <f t="shared" si="250"/>
        <v>0.98030914526383284</v>
      </c>
      <c r="CA172" s="641">
        <f t="shared" si="270"/>
        <v>9.422469135802472E-2</v>
      </c>
      <c r="CB172" s="469">
        <f t="shared" si="294"/>
        <v>3118.5750273302865</v>
      </c>
      <c r="CC172" s="177">
        <f t="shared" si="251"/>
        <v>2.1390664844649132</v>
      </c>
      <c r="CD172" s="5">
        <f t="shared" si="295"/>
        <v>7.6321999999999992</v>
      </c>
      <c r="CE172" s="177">
        <f t="shared" si="296"/>
        <v>0.78108605595131797</v>
      </c>
      <c r="CF172" s="5">
        <f t="shared" si="297"/>
        <v>78.108605595131792</v>
      </c>
      <c r="CG172">
        <f t="shared" si="298"/>
        <v>61.999999999999986</v>
      </c>
      <c r="CI172" s="571">
        <f t="shared" si="271"/>
        <v>-50</v>
      </c>
      <c r="CJ172">
        <f t="shared" si="272"/>
        <v>-50</v>
      </c>
    </row>
    <row r="173" spans="5:88" x14ac:dyDescent="0.2">
      <c r="E173" s="174">
        <v>63</v>
      </c>
      <c r="F173" s="221">
        <f t="shared" si="273"/>
        <v>0.2646</v>
      </c>
      <c r="G173" s="221">
        <f t="shared" si="252"/>
        <v>0.45674999999999999</v>
      </c>
      <c r="H173" s="221">
        <f t="shared" si="253"/>
        <v>4.1013000000000002</v>
      </c>
      <c r="I173" s="221">
        <f t="shared" si="254"/>
        <v>3.6539999999999999</v>
      </c>
      <c r="J173" s="551">
        <f t="shared" si="186"/>
        <v>9</v>
      </c>
      <c r="K173" s="451">
        <f t="shared" si="187"/>
        <v>16.399999999999999</v>
      </c>
      <c r="L173" s="451">
        <f t="shared" si="188"/>
        <v>25.4</v>
      </c>
      <c r="M173" s="451"/>
      <c r="N173" s="221">
        <f t="shared" si="189"/>
        <v>0.64566929133858264</v>
      </c>
      <c r="O173" s="176">
        <f t="shared" si="255"/>
        <v>5.6698549287756563</v>
      </c>
      <c r="P173" s="176">
        <f t="shared" si="256"/>
        <v>9.552037446932033</v>
      </c>
      <c r="Q173" s="221">
        <f t="shared" si="192"/>
        <v>0.36579709217907458</v>
      </c>
      <c r="R173" s="221">
        <f t="shared" si="257"/>
        <v>0.70873186609695704</v>
      </c>
      <c r="S173" s="221">
        <f t="shared" si="258"/>
        <v>15.5</v>
      </c>
      <c r="T173" s="221">
        <f t="shared" si="259"/>
        <v>2.9657425474254748</v>
      </c>
      <c r="U173" s="221">
        <f t="shared" si="196"/>
        <v>2.9657425474254748</v>
      </c>
      <c r="V173" s="221">
        <f t="shared" si="197"/>
        <v>1.6275416418798339</v>
      </c>
      <c r="W173" s="201">
        <f t="shared" si="198"/>
        <v>350</v>
      </c>
      <c r="X173" s="451">
        <f t="shared" si="199"/>
        <v>217.70915074846275</v>
      </c>
      <c r="Z173" s="221">
        <f t="shared" si="200"/>
        <v>1.8447694038245221</v>
      </c>
      <c r="AA173" s="177">
        <f t="shared" si="201"/>
        <v>1.0123734533183355</v>
      </c>
      <c r="AB173" s="177">
        <f t="shared" si="260"/>
        <v>0.17283982577713339</v>
      </c>
      <c r="AC173" s="177"/>
      <c r="AD173" s="177">
        <f t="shared" si="203"/>
        <v>0.45</v>
      </c>
      <c r="AE173" s="555">
        <f t="shared" si="261"/>
        <v>1434.1463414634147</v>
      </c>
      <c r="AF173" s="538">
        <f t="shared" si="262"/>
        <v>6.4574999999999994E-2</v>
      </c>
      <c r="AH173" s="177">
        <f t="shared" si="263"/>
        <v>2.2190087877248255</v>
      </c>
      <c r="AI173" s="177">
        <f t="shared" si="264"/>
        <v>2.9657425474254748</v>
      </c>
      <c r="AJ173" s="177">
        <f t="shared" si="265"/>
        <v>2.7894389240188704</v>
      </c>
      <c r="AL173" s="555">
        <f t="shared" si="266"/>
        <v>264.60000000000002</v>
      </c>
      <c r="AM173" s="469">
        <f t="shared" si="267"/>
        <v>217.70915074846275</v>
      </c>
      <c r="AO173">
        <f t="shared" si="211"/>
        <v>264.60000000000002</v>
      </c>
      <c r="AP173">
        <f t="shared" si="212"/>
        <v>217.70915074846275</v>
      </c>
      <c r="AR173" s="5">
        <f t="shared" si="249"/>
        <v>4.5932841893053089</v>
      </c>
      <c r="AS173" s="5">
        <f t="shared" si="246"/>
        <v>2.9657425474254748</v>
      </c>
      <c r="AT173" s="5">
        <f t="shared" si="247"/>
        <v>1.6275416418798341</v>
      </c>
      <c r="AU173" s="177">
        <f t="shared" si="248"/>
        <v>0.64566929133858264</v>
      </c>
      <c r="AW173" s="5">
        <f t="shared" si="275"/>
        <v>5.0628095357985847</v>
      </c>
      <c r="AX173" s="5"/>
      <c r="AY173" s="5">
        <f t="shared" si="276"/>
        <v>16.93253635670732</v>
      </c>
      <c r="AZ173" s="5"/>
      <c r="BA173" s="5">
        <f t="shared" si="277"/>
        <v>1.3734643077863711</v>
      </c>
      <c r="BB173" s="5"/>
      <c r="BC173" s="5"/>
      <c r="BD173" s="177">
        <f t="shared" si="278"/>
        <v>1.3758715360781413</v>
      </c>
      <c r="BE173" s="177">
        <f t="shared" si="279"/>
        <v>1.0192417780290854</v>
      </c>
      <c r="BF173" s="177">
        <f t="shared" si="280"/>
        <v>1.6733163831983049</v>
      </c>
      <c r="BG173" s="177"/>
      <c r="BH173" s="538">
        <f t="shared" si="281"/>
        <v>0.20823247321690264</v>
      </c>
      <c r="BI173" s="538">
        <f t="shared" si="282"/>
        <v>8.199999999999999E-2</v>
      </c>
      <c r="BJ173" s="538">
        <f t="shared" si="283"/>
        <v>1.0885457537423137E-2</v>
      </c>
      <c r="BK173" s="538">
        <f t="shared" si="284"/>
        <v>3.16028780317976E-2</v>
      </c>
      <c r="BL173">
        <f t="shared" si="285"/>
        <v>2.6099999999999999E-3</v>
      </c>
      <c r="BM173">
        <f t="shared" si="268"/>
        <v>8.7083660299385098E-6</v>
      </c>
      <c r="BN173">
        <f t="shared" si="269"/>
        <v>0.34873763026447441</v>
      </c>
      <c r="BO173" s="469">
        <f t="shared" si="286"/>
        <v>335.33080878612338</v>
      </c>
      <c r="BP173" s="177">
        <f t="shared" si="287"/>
        <v>0.23814000000000002</v>
      </c>
      <c r="BQ173" s="177">
        <f t="shared" si="288"/>
        <v>0.41107500000000002</v>
      </c>
      <c r="BR173" s="538"/>
      <c r="BT173" s="469">
        <f t="shared" si="289"/>
        <v>649.21500000000015</v>
      </c>
      <c r="BU173" s="538">
        <f t="shared" si="290"/>
        <v>9.0865079221921149E-2</v>
      </c>
      <c r="BV173" s="538">
        <f t="shared" si="291"/>
        <v>0.24932491249917393</v>
      </c>
      <c r="BW173" s="538">
        <f t="shared" si="292"/>
        <v>0.67199705238716545</v>
      </c>
      <c r="BX173" s="538">
        <f t="shared" si="293"/>
        <v>0</v>
      </c>
      <c r="BY173" s="538">
        <f t="shared" si="274"/>
        <v>1.101370478430733</v>
      </c>
      <c r="BZ173" s="538">
        <f t="shared" si="250"/>
        <v>1.0121870441082605</v>
      </c>
      <c r="CA173" s="641">
        <f t="shared" si="270"/>
        <v>9.5744444444444479E-2</v>
      </c>
      <c r="CB173" s="469">
        <f t="shared" si="294"/>
        <v>3221.4890110916986</v>
      </c>
      <c r="CC173" s="177">
        <f t="shared" si="251"/>
        <v>2.1950675531396522</v>
      </c>
      <c r="CD173" s="5">
        <f t="shared" si="295"/>
        <v>7.7553000000000001</v>
      </c>
      <c r="CE173" s="177">
        <f t="shared" si="296"/>
        <v>0.77939834469259983</v>
      </c>
      <c r="CF173" s="5">
        <f t="shared" si="297"/>
        <v>77.939834469259978</v>
      </c>
      <c r="CG173">
        <f t="shared" si="298"/>
        <v>63</v>
      </c>
      <c r="CI173" s="571">
        <f t="shared" si="271"/>
        <v>-50</v>
      </c>
      <c r="CJ173">
        <f t="shared" si="272"/>
        <v>-50</v>
      </c>
    </row>
    <row r="174" spans="5:88" x14ac:dyDescent="0.2">
      <c r="E174" s="174">
        <v>64</v>
      </c>
      <c r="F174" s="221">
        <f t="shared" si="273"/>
        <v>0.26879999999999998</v>
      </c>
      <c r="G174" s="221">
        <f t="shared" ref="G174:G210" si="299">IF(PLOT_TYPE=1, E174/100*Iout2, min_I*EXP(Q174*rr/100))</f>
        <v>0.46399999999999997</v>
      </c>
      <c r="H174" s="221">
        <f t="shared" ref="H174:H210" si="300">F174*Vout</f>
        <v>4.1663999999999994</v>
      </c>
      <c r="I174" s="221">
        <f t="shared" ref="I174:I210" si="301">Vout2*G174</f>
        <v>3.7119999999999997</v>
      </c>
      <c r="J174" s="551">
        <f t="shared" ref="J174:J210" si="302">VIN_min</f>
        <v>9</v>
      </c>
      <c r="K174" s="451">
        <f t="shared" ref="K174:K210" si="303">(S174+Vfwd1)*Nps</f>
        <v>16.399999999999999</v>
      </c>
      <c r="L174" s="451">
        <f t="shared" ref="L174:L210" si="304">(Vout+Vfwd1)*Nps+J174</f>
        <v>25.4</v>
      </c>
      <c r="M174" s="451"/>
      <c r="N174" s="221">
        <f t="shared" ref="N174:N210" si="305">(Vout+Vfwd1)*Nps/((Vout+Vfwd1)*Nps+J174)</f>
        <v>0.64566929133858264</v>
      </c>
      <c r="O174" s="176">
        <f t="shared" ref="O174:O205" si="306">N174*J174*Isw_max*0.5*Efficiency*Pout/(Pout+Pout2)</f>
        <v>5.6698549287756563</v>
      </c>
      <c r="P174" s="176">
        <f t="shared" ref="P174:P210" si="307">N174*J174*Isw_max*0.5*Efficiency*(Pout2/Pout_total)</f>
        <v>9.552037446932033</v>
      </c>
      <c r="Q174" s="221">
        <f t="shared" ref="Q174:Q210" si="308">O174/Vout</f>
        <v>0.36579709217907458</v>
      </c>
      <c r="R174" s="221">
        <f t="shared" ref="R174:R210" si="309">O174/Vout2</f>
        <v>0.70873186609695704</v>
      </c>
      <c r="S174" s="221">
        <f t="shared" ref="S174:S210" si="310">MIN(Vout,O174/F174)</f>
        <v>15.5</v>
      </c>
      <c r="T174" s="221">
        <f t="shared" ref="T174:T210" si="311">MIN(2*(Vout*F174+Vout2*G174)/(Efficiency*J174*N174), Isw_max)</f>
        <v>3.0128178259560374</v>
      </c>
      <c r="U174" s="221">
        <f t="shared" ref="U174:U210" si="312">L*T174/J174*1000000</f>
        <v>3.0128178259560374</v>
      </c>
      <c r="V174" s="221">
        <f t="shared" ref="V174:V210" si="313">L*T174/K174*1000000</f>
        <v>1.6533756361953864</v>
      </c>
      <c r="W174" s="201">
        <f t="shared" ref="W174:W210" si="314">IF(1/((350000*L)*(1/J174+1/K174))&gt;Isw_min, 350, 0.001/((Isw_min*L)*(1/J174+1/K174)))</f>
        <v>350</v>
      </c>
      <c r="X174" s="451">
        <f t="shared" ref="X174:X210" si="315">MIN(1/(U174+V174)*1000, 350)</f>
        <v>214.30744526801806</v>
      </c>
      <c r="Z174" s="221">
        <f t="shared" ref="Z174:Z210" si="316">1/((W174*1000*L)*(1/J174+1/K174))</f>
        <v>1.8447694038245221</v>
      </c>
      <c r="AA174" s="177">
        <f t="shared" ref="AA174:AA210" si="317">L*Z174/K174*1000000</f>
        <v>1.0123734533183355</v>
      </c>
      <c r="AB174" s="177">
        <f t="shared" ref="AB174:AB205" si="318">0.5*AA174*Z174*Nps*W174/1000*(Pout/(Pout+Pout2))</f>
        <v>0.17283982577713339</v>
      </c>
      <c r="AC174" s="177"/>
      <c r="AD174" s="177">
        <f t="shared" ref="AD174:AD210" si="319">L*Isw_min/K174*1000000</f>
        <v>0.45</v>
      </c>
      <c r="AE174" s="555">
        <f t="shared" ref="AE174:AE205" si="320">MAX(10, F174/(0.5*AD174/1000000*Isw_min*Nps)/1000*Pout_total/Pout)</f>
        <v>1456.9105691056911</v>
      </c>
      <c r="AF174" s="538">
        <f t="shared" ref="AF174:AF210" si="321">0.5*AD174/1000000*Isw_min*Nps*W174*1000*(Pout/Pout_total)</f>
        <v>6.4574999999999994E-2</v>
      </c>
      <c r="AH174" s="177">
        <f t="shared" ref="AH174:AH210" si="322">SQRT((H174+I174)/(0.5*L*Fsw_DCM))</f>
        <v>2.2365506321473543</v>
      </c>
      <c r="AI174" s="177">
        <f t="shared" ref="AI174:AI205" si="323">MAX(IF(F174&gt;AB174,T174,AH174),Isw_min)</f>
        <v>3.0128178259560374</v>
      </c>
      <c r="AJ174" s="177">
        <f t="shared" ref="AJ174:AJ205" si="324">IF(F174&gt;AF174, (AI174-Isw_min)/1.08*0.8+1.2, AE174*0.2/350+1)</f>
        <v>2.8243095007081758</v>
      </c>
      <c r="AL174" s="555">
        <f t="shared" ref="AL174:AL210" si="325">F174*1000</f>
        <v>268.8</v>
      </c>
      <c r="AM174" s="469">
        <f t="shared" ref="AM174:AM210" si="326">IF(F174&gt;AF174, X174, AE174)</f>
        <v>214.30744526801806</v>
      </c>
      <c r="AO174">
        <f t="shared" ref="AO174:AO210" si="327">IF(H174&gt;O174, "",AL174)</f>
        <v>268.8</v>
      </c>
      <c r="AP174">
        <f t="shared" ref="AP174:AP210" si="328">IF(H174&gt;O174, "",AM174)</f>
        <v>214.30744526801806</v>
      </c>
      <c r="AR174" s="5">
        <f t="shared" si="249"/>
        <v>4.6661934621514236</v>
      </c>
      <c r="AS174" s="5">
        <f t="shared" si="246"/>
        <v>3.0128178259560374</v>
      </c>
      <c r="AT174" s="5">
        <f t="shared" si="247"/>
        <v>1.6533756361953862</v>
      </c>
      <c r="AU174" s="177">
        <f t="shared" si="248"/>
        <v>0.64566929133858275</v>
      </c>
      <c r="AW174" s="5">
        <f t="shared" si="275"/>
        <v>5.2248092362385998</v>
      </c>
      <c r="AX174" s="5"/>
      <c r="AY174" s="5">
        <f t="shared" si="276"/>
        <v>17.474343390545016</v>
      </c>
      <c r="AZ174" s="5"/>
      <c r="BA174" s="5">
        <f t="shared" si="277"/>
        <v>1.4174123972519452</v>
      </c>
      <c r="BB174" s="5"/>
      <c r="BC174" s="5"/>
      <c r="BD174" s="177">
        <f t="shared" si="278"/>
        <v>1.3977107668095401</v>
      </c>
      <c r="BE174" s="177">
        <f t="shared" si="279"/>
        <v>1.0354202189501815</v>
      </c>
      <c r="BF174" s="177">
        <f t="shared" si="280"/>
        <v>1.6998769607093887</v>
      </c>
      <c r="BG174" s="177"/>
      <c r="BH174" s="538">
        <f t="shared" si="281"/>
        <v>0.21489549264208438</v>
      </c>
      <c r="BI174" s="538">
        <f t="shared" si="282"/>
        <v>8.2000000000000003E-2</v>
      </c>
      <c r="BJ174" s="538">
        <f t="shared" si="283"/>
        <v>1.0715372263400903E-2</v>
      </c>
      <c r="BK174" s="538">
        <f t="shared" si="284"/>
        <v>3.1109083062550766E-2</v>
      </c>
      <c r="BL174">
        <f t="shared" si="285"/>
        <v>2.6099999999999999E-3</v>
      </c>
      <c r="BM174">
        <f t="shared" ref="BM174:BM210" si="329">(J174-Vdd)*Qg*AM174</f>
        <v>8.5722978107207221E-6</v>
      </c>
      <c r="BN174">
        <f t="shared" ref="BN174:BN205" si="330">(BI174+BJ174+BK174+BL174+BM174+BH174*(1+RdsonTC*(Ta-25)))/(1-BH174*RdsonTC*ThetaJA)</f>
        <v>0.3554307148725015</v>
      </c>
      <c r="BO174" s="469">
        <f t="shared" si="286"/>
        <v>341.32994796803604</v>
      </c>
      <c r="BP174" s="177">
        <f t="shared" si="287"/>
        <v>0.24192</v>
      </c>
      <c r="BQ174" s="177">
        <f t="shared" si="288"/>
        <v>0.41759999999999997</v>
      </c>
      <c r="BR174" s="538"/>
      <c r="BT174" s="469">
        <f t="shared" si="289"/>
        <v>659.52</v>
      </c>
      <c r="BU174" s="538">
        <f t="shared" si="290"/>
        <v>9.3772578607454998E-2</v>
      </c>
      <c r="BV174" s="538">
        <f t="shared" si="291"/>
        <v>0.25730280715460202</v>
      </c>
      <c r="BW174" s="538">
        <f t="shared" si="292"/>
        <v>0.69349960357214124</v>
      </c>
      <c r="BX174" s="538">
        <f t="shared" si="293"/>
        <v>0</v>
      </c>
      <c r="BY174" s="538">
        <f t="shared" si="274"/>
        <v>1.1398256594164184</v>
      </c>
      <c r="BZ174" s="538">
        <f t="shared" si="250"/>
        <v>1.0445749893341982</v>
      </c>
      <c r="CA174" s="641">
        <f t="shared" ref="CA174:CA210" si="331">0.5*Lleak*0.000000001*AI174^2*AM174*1000</f>
        <v>9.7264197530864197E-2</v>
      </c>
      <c r="CB174" s="469">
        <f t="shared" si="294"/>
        <v>3326.2398356156796</v>
      </c>
      <c r="CC174" s="177">
        <f t="shared" si="251"/>
        <v>2.252040571819784</v>
      </c>
      <c r="CD174" s="5">
        <f t="shared" si="295"/>
        <v>7.8783999999999992</v>
      </c>
      <c r="CE174" s="177">
        <f t="shared" si="296"/>
        <v>0.77769569291148433</v>
      </c>
      <c r="CF174" s="5">
        <f t="shared" si="297"/>
        <v>77.769569291148429</v>
      </c>
      <c r="CG174">
        <f t="shared" si="298"/>
        <v>64</v>
      </c>
      <c r="CI174" s="571">
        <f t="shared" ref="CI174:CI210" si="332">IF(ABS(F174-Ioutmax_Vinmin)&lt;Iout/200, AM174, -50)</f>
        <v>-50</v>
      </c>
      <c r="CJ174">
        <f t="shared" ref="CJ174:CJ210" si="333">IF(ABS(F174-Ioutmax_Vinmin)&lt;Iout/200, (O174+P174)*CE174, -50)</f>
        <v>-50</v>
      </c>
    </row>
    <row r="175" spans="5:88" x14ac:dyDescent="0.2">
      <c r="E175" s="174">
        <v>65</v>
      </c>
      <c r="F175" s="221">
        <f t="shared" ref="F175:F206" si="334">IF(PLOT_TYPE=1, E175/100*Iout_max, min_I*EXP(O175*rr/100))</f>
        <v>0.27300000000000002</v>
      </c>
      <c r="G175" s="221">
        <f t="shared" si="299"/>
        <v>0.47125</v>
      </c>
      <c r="H175" s="221">
        <f t="shared" si="300"/>
        <v>4.2315000000000005</v>
      </c>
      <c r="I175" s="221">
        <f t="shared" si="301"/>
        <v>3.77</v>
      </c>
      <c r="J175" s="551">
        <f t="shared" si="302"/>
        <v>9</v>
      </c>
      <c r="K175" s="451">
        <f t="shared" si="303"/>
        <v>16.399999999999999</v>
      </c>
      <c r="L175" s="451">
        <f t="shared" si="304"/>
        <v>25.4</v>
      </c>
      <c r="M175" s="451"/>
      <c r="N175" s="221">
        <f t="shared" si="305"/>
        <v>0.64566929133858264</v>
      </c>
      <c r="O175" s="176">
        <f t="shared" si="306"/>
        <v>5.6698549287756563</v>
      </c>
      <c r="P175" s="176">
        <f t="shared" si="307"/>
        <v>9.552037446932033</v>
      </c>
      <c r="Q175" s="221">
        <f t="shared" si="308"/>
        <v>0.36579709217907458</v>
      </c>
      <c r="R175" s="221">
        <f t="shared" si="309"/>
        <v>0.70873186609695704</v>
      </c>
      <c r="S175" s="221">
        <f t="shared" si="310"/>
        <v>15.5</v>
      </c>
      <c r="T175" s="221">
        <f t="shared" si="311"/>
        <v>3.0598931044866009</v>
      </c>
      <c r="U175" s="221">
        <f t="shared" si="312"/>
        <v>3.0598931044866009</v>
      </c>
      <c r="V175" s="221">
        <f t="shared" si="313"/>
        <v>1.6792096305109399</v>
      </c>
      <c r="W175" s="201">
        <f t="shared" si="314"/>
        <v>350</v>
      </c>
      <c r="X175" s="451">
        <f t="shared" si="315"/>
        <v>211.01040764851004</v>
      </c>
      <c r="Z175" s="221">
        <f t="shared" si="316"/>
        <v>1.8447694038245221</v>
      </c>
      <c r="AA175" s="177">
        <f t="shared" si="317"/>
        <v>1.0123734533183355</v>
      </c>
      <c r="AB175" s="177">
        <f t="shared" si="318"/>
        <v>0.17283982577713339</v>
      </c>
      <c r="AC175" s="177"/>
      <c r="AD175" s="177">
        <f t="shared" si="319"/>
        <v>0.45</v>
      </c>
      <c r="AE175" s="555">
        <f t="shared" si="320"/>
        <v>1479.6747967479673</v>
      </c>
      <c r="AF175" s="538">
        <f t="shared" si="321"/>
        <v>6.4574999999999994E-2</v>
      </c>
      <c r="AH175" s="177">
        <f t="shared" si="322"/>
        <v>2.2539559579365034</v>
      </c>
      <c r="AI175" s="177">
        <f t="shared" si="323"/>
        <v>3.0598931044866009</v>
      </c>
      <c r="AJ175" s="177">
        <f t="shared" si="324"/>
        <v>2.8591800773974825</v>
      </c>
      <c r="AL175" s="555">
        <f t="shared" si="325"/>
        <v>273</v>
      </c>
      <c r="AM175" s="469">
        <f t="shared" si="326"/>
        <v>211.01040764851004</v>
      </c>
      <c r="AO175">
        <f t="shared" si="327"/>
        <v>273</v>
      </c>
      <c r="AP175">
        <f t="shared" si="328"/>
        <v>211.01040764851004</v>
      </c>
      <c r="AR175" s="5">
        <f t="shared" si="249"/>
        <v>4.739102734997541</v>
      </c>
      <c r="AS175" s="5">
        <f t="shared" si="246"/>
        <v>3.0598931044866009</v>
      </c>
      <c r="AT175" s="5">
        <f t="shared" si="247"/>
        <v>1.6792096305109401</v>
      </c>
      <c r="AU175" s="177">
        <f t="shared" si="248"/>
        <v>0.64566929133858264</v>
      </c>
      <c r="AW175" s="5">
        <f t="shared" si="275"/>
        <v>5.3893601130634972</v>
      </c>
      <c r="AX175" s="5"/>
      <c r="AY175" s="5">
        <f t="shared" si="276"/>
        <v>18.024682818616384</v>
      </c>
      <c r="AZ175" s="5"/>
      <c r="BA175" s="5">
        <f t="shared" si="277"/>
        <v>1.4620525826146178</v>
      </c>
      <c r="BB175" s="5"/>
      <c r="BC175" s="5"/>
      <c r="BD175" s="177">
        <f t="shared" si="278"/>
        <v>1.4195499975409394</v>
      </c>
      <c r="BE175" s="177">
        <f t="shared" si="279"/>
        <v>1.0515986598712785</v>
      </c>
      <c r="BF175" s="177">
        <f t="shared" si="280"/>
        <v>1.7264375382204733</v>
      </c>
      <c r="BG175" s="177"/>
      <c r="BH175" s="538">
        <f t="shared" si="281"/>
        <v>0.2216634415070329</v>
      </c>
      <c r="BI175" s="538">
        <f t="shared" si="282"/>
        <v>8.199999999999999E-2</v>
      </c>
      <c r="BJ175" s="538">
        <f t="shared" si="283"/>
        <v>1.05505203824255E-2</v>
      </c>
      <c r="BK175" s="538">
        <f t="shared" si="284"/>
        <v>3.0630481784665362E-2</v>
      </c>
      <c r="BL175">
        <f t="shared" si="285"/>
        <v>2.6099999999999999E-3</v>
      </c>
      <c r="BM175">
        <f t="shared" si="329"/>
        <v>8.4404163059404013E-6</v>
      </c>
      <c r="BN175">
        <f t="shared" si="330"/>
        <v>0.36227897280972826</v>
      </c>
      <c r="BO175" s="469">
        <f t="shared" si="286"/>
        <v>347.45444367412375</v>
      </c>
      <c r="BP175" s="177">
        <f t="shared" si="287"/>
        <v>0.24570000000000003</v>
      </c>
      <c r="BQ175" s="177">
        <f t="shared" si="288"/>
        <v>0.42412500000000003</v>
      </c>
      <c r="BR175" s="538"/>
      <c r="BT175" s="469">
        <f t="shared" si="289"/>
        <v>669.82500000000016</v>
      </c>
      <c r="BU175" s="538">
        <f t="shared" si="290"/>
        <v>9.6725865384887075E-2</v>
      </c>
      <c r="BV175" s="538">
        <f t="shared" si="291"/>
        <v>0.2654063379463365</v>
      </c>
      <c r="BW175" s="538">
        <f t="shared" si="292"/>
        <v>0.71534077761042425</v>
      </c>
      <c r="BX175" s="538">
        <f t="shared" si="293"/>
        <v>0</v>
      </c>
      <c r="BY175" s="538">
        <f t="shared" si="274"/>
        <v>1.1791096873133862</v>
      </c>
      <c r="BZ175" s="538">
        <f t="shared" si="250"/>
        <v>1.0774729809416479</v>
      </c>
      <c r="CA175" s="641">
        <f t="shared" si="331"/>
        <v>9.8783950617283969E-2</v>
      </c>
      <c r="CB175" s="469">
        <f t="shared" si="294"/>
        <v>3432.8395998139663</v>
      </c>
      <c r="CC175" s="177">
        <f t="shared" si="251"/>
        <v>2.3099976107403983</v>
      </c>
      <c r="CD175" s="5">
        <f t="shared" si="295"/>
        <v>8.0015000000000001</v>
      </c>
      <c r="CE175" s="177">
        <f t="shared" si="296"/>
        <v>0.77597845648198405</v>
      </c>
      <c r="CF175" s="5">
        <f t="shared" si="297"/>
        <v>77.597845648198401</v>
      </c>
      <c r="CG175">
        <f t="shared" si="298"/>
        <v>65</v>
      </c>
      <c r="CI175" s="571">
        <f t="shared" si="332"/>
        <v>-50</v>
      </c>
      <c r="CJ175">
        <f t="shared" si="333"/>
        <v>-50</v>
      </c>
    </row>
    <row r="176" spans="5:88" x14ac:dyDescent="0.2">
      <c r="E176" s="174">
        <v>66</v>
      </c>
      <c r="F176" s="221">
        <f t="shared" si="334"/>
        <v>0.2772</v>
      </c>
      <c r="G176" s="221">
        <f t="shared" si="299"/>
        <v>0.47849999999999998</v>
      </c>
      <c r="H176" s="221">
        <f t="shared" si="300"/>
        <v>4.2965999999999998</v>
      </c>
      <c r="I176" s="221">
        <f t="shared" si="301"/>
        <v>3.8279999999999998</v>
      </c>
      <c r="J176" s="551">
        <f t="shared" si="302"/>
        <v>9</v>
      </c>
      <c r="K176" s="451">
        <f t="shared" si="303"/>
        <v>16.399999999999999</v>
      </c>
      <c r="L176" s="451">
        <f t="shared" si="304"/>
        <v>25.4</v>
      </c>
      <c r="M176" s="451"/>
      <c r="N176" s="221">
        <f t="shared" si="305"/>
        <v>0.64566929133858264</v>
      </c>
      <c r="O176" s="176">
        <f t="shared" si="306"/>
        <v>5.6698549287756563</v>
      </c>
      <c r="P176" s="176">
        <f t="shared" si="307"/>
        <v>9.552037446932033</v>
      </c>
      <c r="Q176" s="221">
        <f t="shared" si="308"/>
        <v>0.36579709217907458</v>
      </c>
      <c r="R176" s="221">
        <f t="shared" si="309"/>
        <v>0.70873186609695704</v>
      </c>
      <c r="S176" s="221">
        <f t="shared" si="310"/>
        <v>15.5</v>
      </c>
      <c r="T176" s="221">
        <f t="shared" si="311"/>
        <v>3.1069683830171635</v>
      </c>
      <c r="U176" s="221">
        <f t="shared" si="312"/>
        <v>3.1069683830171635</v>
      </c>
      <c r="V176" s="221">
        <f t="shared" si="313"/>
        <v>1.7050436248264924</v>
      </c>
      <c r="W176" s="201">
        <f t="shared" si="314"/>
        <v>350</v>
      </c>
      <c r="X176" s="451">
        <f t="shared" si="315"/>
        <v>207.81328025989632</v>
      </c>
      <c r="Z176" s="221">
        <f t="shared" si="316"/>
        <v>1.8447694038245221</v>
      </c>
      <c r="AA176" s="177">
        <f t="shared" si="317"/>
        <v>1.0123734533183355</v>
      </c>
      <c r="AB176" s="177">
        <f t="shared" si="318"/>
        <v>0.17283982577713339</v>
      </c>
      <c r="AC176" s="177"/>
      <c r="AD176" s="177">
        <f t="shared" si="319"/>
        <v>0.45</v>
      </c>
      <c r="AE176" s="555">
        <f t="shared" si="320"/>
        <v>1502.4390243902437</v>
      </c>
      <c r="AF176" s="538">
        <f t="shared" si="321"/>
        <v>6.4574999999999994E-2</v>
      </c>
      <c r="AH176" s="177">
        <f t="shared" si="322"/>
        <v>2.2712279036847423</v>
      </c>
      <c r="AI176" s="177">
        <f t="shared" si="323"/>
        <v>3.1069683830171635</v>
      </c>
      <c r="AJ176" s="177">
        <f t="shared" si="324"/>
        <v>2.8940506540867883</v>
      </c>
      <c r="AL176" s="555">
        <f t="shared" si="325"/>
        <v>277.2</v>
      </c>
      <c r="AM176" s="469">
        <f t="shared" si="326"/>
        <v>207.81328025989632</v>
      </c>
      <c r="AO176">
        <f t="shared" si="327"/>
        <v>277.2</v>
      </c>
      <c r="AP176">
        <f t="shared" si="328"/>
        <v>207.81328025989632</v>
      </c>
      <c r="AR176" s="5">
        <f t="shared" si="249"/>
        <v>4.8120120078436557</v>
      </c>
      <c r="AS176" s="5">
        <f t="shared" si="246"/>
        <v>3.1069683830171635</v>
      </c>
      <c r="AT176" s="5">
        <f t="shared" si="247"/>
        <v>1.7050436248264922</v>
      </c>
      <c r="AU176" s="177">
        <f t="shared" si="248"/>
        <v>0.64566929133858264</v>
      </c>
      <c r="AW176" s="5">
        <f t="shared" si="275"/>
        <v>5.5564621662732758</v>
      </c>
      <c r="AX176" s="5"/>
      <c r="AY176" s="5">
        <f t="shared" si="276"/>
        <v>18.58355464092141</v>
      </c>
      <c r="AZ176" s="5"/>
      <c r="BA176" s="5">
        <f t="shared" si="277"/>
        <v>1.5073848638743839</v>
      </c>
      <c r="BB176" s="5"/>
      <c r="BC176" s="5"/>
      <c r="BD176" s="177">
        <f t="shared" si="278"/>
        <v>1.4413892282723382</v>
      </c>
      <c r="BE176" s="177">
        <f t="shared" si="279"/>
        <v>1.0677771007923749</v>
      </c>
      <c r="BF176" s="177">
        <f t="shared" si="280"/>
        <v>1.7529981157315571</v>
      </c>
      <c r="BG176" s="177"/>
      <c r="BH176" s="538">
        <f t="shared" si="281"/>
        <v>0.22853631981174796</v>
      </c>
      <c r="BI176" s="538">
        <f t="shared" si="282"/>
        <v>8.2000000000000003E-2</v>
      </c>
      <c r="BJ176" s="538">
        <f t="shared" si="283"/>
        <v>1.0390664012994816E-2</v>
      </c>
      <c r="BK176" s="538">
        <f t="shared" si="284"/>
        <v>3.0166383575806806E-2</v>
      </c>
      <c r="BL176">
        <f t="shared" si="285"/>
        <v>2.6099999999999999E-3</v>
      </c>
      <c r="BM176">
        <f t="shared" si="329"/>
        <v>8.3125312103958523E-6</v>
      </c>
      <c r="BN176">
        <f t="shared" si="330"/>
        <v>0.36928245662234604</v>
      </c>
      <c r="BO176" s="469">
        <f t="shared" si="286"/>
        <v>353.70336740054961</v>
      </c>
      <c r="BP176" s="177">
        <f t="shared" si="287"/>
        <v>0.24948000000000001</v>
      </c>
      <c r="BQ176" s="177">
        <f t="shared" si="288"/>
        <v>0.43064999999999998</v>
      </c>
      <c r="BR176" s="538"/>
      <c r="BT176" s="469">
        <f t="shared" si="289"/>
        <v>680.13</v>
      </c>
      <c r="BU176" s="538">
        <f t="shared" si="290"/>
        <v>9.9724939554217282E-2</v>
      </c>
      <c r="BV176" s="538">
        <f t="shared" si="291"/>
        <v>0.27363550487437666</v>
      </c>
      <c r="BW176" s="538">
        <f t="shared" si="292"/>
        <v>0.73752057450201347</v>
      </c>
      <c r="BX176" s="538">
        <f t="shared" si="293"/>
        <v>0</v>
      </c>
      <c r="BY176" s="538">
        <f t="shared" si="274"/>
        <v>1.2192350224555077</v>
      </c>
      <c r="BZ176" s="538">
        <f t="shared" si="250"/>
        <v>1.1108810189306073</v>
      </c>
      <c r="CA176" s="641">
        <f t="shared" si="331"/>
        <v>0.10030370370370373</v>
      </c>
      <c r="CB176" s="469">
        <f t="shared" si="294"/>
        <v>3541.300764020426</v>
      </c>
      <c r="CC176" s="177">
        <f t="shared" si="251"/>
        <v>2.368951182781557</v>
      </c>
      <c r="CD176" s="5">
        <f t="shared" si="295"/>
        <v>8.1245999999999992</v>
      </c>
      <c r="CE176" s="177">
        <f t="shared" si="296"/>
        <v>0.7742469501965481</v>
      </c>
      <c r="CF176" s="5">
        <f t="shared" si="297"/>
        <v>77.424695019654806</v>
      </c>
      <c r="CG176">
        <f t="shared" si="298"/>
        <v>66</v>
      </c>
      <c r="CI176" s="571">
        <f t="shared" si="332"/>
        <v>-50</v>
      </c>
      <c r="CJ176">
        <f t="shared" si="333"/>
        <v>-50</v>
      </c>
    </row>
    <row r="177" spans="5:88" x14ac:dyDescent="0.2">
      <c r="E177" s="174">
        <v>67</v>
      </c>
      <c r="F177" s="221">
        <f t="shared" si="334"/>
        <v>0.28139999999999998</v>
      </c>
      <c r="G177" s="221">
        <f t="shared" si="299"/>
        <v>0.48575000000000002</v>
      </c>
      <c r="H177" s="221">
        <f t="shared" si="300"/>
        <v>4.3616999999999999</v>
      </c>
      <c r="I177" s="221">
        <f t="shared" si="301"/>
        <v>3.8860000000000001</v>
      </c>
      <c r="J177" s="551">
        <f t="shared" si="302"/>
        <v>9</v>
      </c>
      <c r="K177" s="451">
        <f t="shared" si="303"/>
        <v>16.399999999999999</v>
      </c>
      <c r="L177" s="451">
        <f t="shared" si="304"/>
        <v>25.4</v>
      </c>
      <c r="M177" s="451"/>
      <c r="N177" s="221">
        <f t="shared" si="305"/>
        <v>0.64566929133858264</v>
      </c>
      <c r="O177" s="176">
        <f t="shared" si="306"/>
        <v>5.6698549287756563</v>
      </c>
      <c r="P177" s="176">
        <f t="shared" si="307"/>
        <v>9.552037446932033</v>
      </c>
      <c r="Q177" s="221">
        <f t="shared" si="308"/>
        <v>0.36579709217907458</v>
      </c>
      <c r="R177" s="221">
        <f t="shared" si="309"/>
        <v>0.70873186609695704</v>
      </c>
      <c r="S177" s="221">
        <f t="shared" si="310"/>
        <v>15.5</v>
      </c>
      <c r="T177" s="221">
        <f t="shared" si="311"/>
        <v>3.154043661547727</v>
      </c>
      <c r="U177" s="221">
        <f t="shared" si="312"/>
        <v>3.154043661547727</v>
      </c>
      <c r="V177" s="221">
        <f t="shared" si="313"/>
        <v>1.7308776191420456</v>
      </c>
      <c r="W177" s="201">
        <f t="shared" si="314"/>
        <v>350</v>
      </c>
      <c r="X177" s="451">
        <f t="shared" si="315"/>
        <v>204.71158950974856</v>
      </c>
      <c r="Z177" s="221">
        <f t="shared" si="316"/>
        <v>1.8447694038245221</v>
      </c>
      <c r="AA177" s="177">
        <f t="shared" si="317"/>
        <v>1.0123734533183355</v>
      </c>
      <c r="AB177" s="177">
        <f t="shared" si="318"/>
        <v>0.17283982577713339</v>
      </c>
      <c r="AC177" s="177"/>
      <c r="AD177" s="177">
        <f t="shared" si="319"/>
        <v>0.45</v>
      </c>
      <c r="AE177" s="555">
        <f t="shared" si="320"/>
        <v>1525.2032520325201</v>
      </c>
      <c r="AF177" s="538">
        <f t="shared" si="321"/>
        <v>6.4574999999999994E-2</v>
      </c>
      <c r="AH177" s="177">
        <f t="shared" si="322"/>
        <v>2.2883694895350533</v>
      </c>
      <c r="AI177" s="177">
        <f t="shared" si="323"/>
        <v>3.154043661547727</v>
      </c>
      <c r="AJ177" s="177">
        <f t="shared" si="324"/>
        <v>2.9289212307760941</v>
      </c>
      <c r="AL177" s="555">
        <f t="shared" si="325"/>
        <v>281.39999999999998</v>
      </c>
      <c r="AM177" s="469">
        <f t="shared" si="326"/>
        <v>204.71158950974856</v>
      </c>
      <c r="AO177">
        <f t="shared" si="327"/>
        <v>281.39999999999998</v>
      </c>
      <c r="AP177">
        <f t="shared" si="328"/>
        <v>204.71158950974856</v>
      </c>
      <c r="AR177" s="5">
        <f t="shared" si="249"/>
        <v>4.884921280689773</v>
      </c>
      <c r="AS177" s="5">
        <f t="shared" si="246"/>
        <v>3.154043661547727</v>
      </c>
      <c r="AT177" s="5">
        <f t="shared" si="247"/>
        <v>1.7308776191420461</v>
      </c>
      <c r="AU177" s="177">
        <f t="shared" si="248"/>
        <v>0.64566929133858253</v>
      </c>
      <c r="AW177" s="5">
        <f t="shared" si="275"/>
        <v>5.7261153958679376</v>
      </c>
      <c r="AX177" s="5"/>
      <c r="AY177" s="5">
        <f t="shared" si="276"/>
        <v>19.150958857460104</v>
      </c>
      <c r="AZ177" s="5"/>
      <c r="BA177" s="5">
        <f t="shared" si="277"/>
        <v>1.553409241031247</v>
      </c>
      <c r="BB177" s="5"/>
      <c r="BC177" s="5"/>
      <c r="BD177" s="177">
        <f t="shared" si="278"/>
        <v>1.4632284590037372</v>
      </c>
      <c r="BE177" s="177">
        <f t="shared" si="279"/>
        <v>1.0839555417134719</v>
      </c>
      <c r="BF177" s="177">
        <f t="shared" si="280"/>
        <v>1.7795586932426417</v>
      </c>
      <c r="BG177" s="177"/>
      <c r="BH177" s="538">
        <f t="shared" si="281"/>
        <v>0.23551412755622966</v>
      </c>
      <c r="BI177" s="538">
        <f t="shared" si="282"/>
        <v>8.199999999999999E-2</v>
      </c>
      <c r="BJ177" s="538">
        <f t="shared" si="283"/>
        <v>1.0235579475487427E-2</v>
      </c>
      <c r="BK177" s="538">
        <f t="shared" si="284"/>
        <v>2.9716139044824608E-2</v>
      </c>
      <c r="BL177">
        <f t="shared" si="285"/>
        <v>2.6099999999999999E-3</v>
      </c>
      <c r="BM177">
        <f t="shared" si="329"/>
        <v>8.1884635803899435E-6</v>
      </c>
      <c r="BN177">
        <f t="shared" si="330"/>
        <v>0.37644129594572345</v>
      </c>
      <c r="BO177" s="469">
        <f t="shared" si="286"/>
        <v>360.07584607654172</v>
      </c>
      <c r="BP177" s="177">
        <f t="shared" si="287"/>
        <v>0.25325999999999999</v>
      </c>
      <c r="BQ177" s="177">
        <f t="shared" si="288"/>
        <v>0.43717500000000004</v>
      </c>
      <c r="BR177" s="538"/>
      <c r="BT177" s="469">
        <f t="shared" si="289"/>
        <v>690.43500000000006</v>
      </c>
      <c r="BU177" s="538">
        <f t="shared" si="290"/>
        <v>0.10276980111544567</v>
      </c>
      <c r="BV177" s="538">
        <f t="shared" si="291"/>
        <v>0.28199030793872309</v>
      </c>
      <c r="BW177" s="538">
        <f t="shared" si="292"/>
        <v>0.76003899424691002</v>
      </c>
      <c r="BX177" s="538">
        <f t="shared" si="293"/>
        <v>0</v>
      </c>
      <c r="BY177" s="538">
        <f t="shared" si="274"/>
        <v>1.2602144974311773</v>
      </c>
      <c r="BZ177" s="538">
        <f t="shared" si="250"/>
        <v>1.1447991033010787</v>
      </c>
      <c r="CA177" s="641">
        <f t="shared" si="331"/>
        <v>0.10182345679012347</v>
      </c>
      <c r="CB177" s="469">
        <f t="shared" si="294"/>
        <v>3651.6361608234583</v>
      </c>
      <c r="CC177" s="177">
        <f t="shared" si="251"/>
        <v>2.4289142501670242</v>
      </c>
      <c r="CD177" s="5">
        <f t="shared" si="295"/>
        <v>8.2477</v>
      </c>
      <c r="CE177" s="177">
        <f t="shared" si="296"/>
        <v>0.77250145099800471</v>
      </c>
      <c r="CF177" s="5">
        <f t="shared" si="297"/>
        <v>77.250145099800477</v>
      </c>
      <c r="CG177">
        <f t="shared" si="298"/>
        <v>67</v>
      </c>
      <c r="CI177" s="571">
        <f t="shared" si="332"/>
        <v>-50</v>
      </c>
      <c r="CJ177">
        <f t="shared" si="333"/>
        <v>-50</v>
      </c>
    </row>
    <row r="178" spans="5:88" x14ac:dyDescent="0.2">
      <c r="E178" s="174">
        <v>68</v>
      </c>
      <c r="F178" s="221">
        <f t="shared" si="334"/>
        <v>0.28560000000000002</v>
      </c>
      <c r="G178" s="221">
        <f t="shared" si="299"/>
        <v>0.49299999999999999</v>
      </c>
      <c r="H178" s="221">
        <f t="shared" si="300"/>
        <v>4.4268000000000001</v>
      </c>
      <c r="I178" s="221">
        <f t="shared" si="301"/>
        <v>3.944</v>
      </c>
      <c r="J178" s="551">
        <f t="shared" si="302"/>
        <v>9</v>
      </c>
      <c r="K178" s="451">
        <f t="shared" si="303"/>
        <v>16.399999999999999</v>
      </c>
      <c r="L178" s="451">
        <f t="shared" si="304"/>
        <v>25.4</v>
      </c>
      <c r="M178" s="451"/>
      <c r="N178" s="221">
        <f t="shared" si="305"/>
        <v>0.64566929133858264</v>
      </c>
      <c r="O178" s="176">
        <f t="shared" si="306"/>
        <v>5.6698549287756563</v>
      </c>
      <c r="P178" s="176">
        <f t="shared" si="307"/>
        <v>9.552037446932033</v>
      </c>
      <c r="Q178" s="221">
        <f t="shared" si="308"/>
        <v>0.36579709217907458</v>
      </c>
      <c r="R178" s="221">
        <f t="shared" si="309"/>
        <v>0.70873186609695704</v>
      </c>
      <c r="S178" s="221">
        <f t="shared" si="310"/>
        <v>15.5</v>
      </c>
      <c r="T178" s="221">
        <f t="shared" si="311"/>
        <v>3.2011189400782896</v>
      </c>
      <c r="U178" s="221">
        <f t="shared" si="312"/>
        <v>3.20111894007829</v>
      </c>
      <c r="V178" s="221">
        <f t="shared" si="313"/>
        <v>1.756711613457598</v>
      </c>
      <c r="W178" s="201">
        <f t="shared" si="314"/>
        <v>350</v>
      </c>
      <c r="X178" s="451">
        <f t="shared" si="315"/>
        <v>201.70112495813467</v>
      </c>
      <c r="Z178" s="221">
        <f t="shared" si="316"/>
        <v>1.8447694038245221</v>
      </c>
      <c r="AA178" s="177">
        <f t="shared" si="317"/>
        <v>1.0123734533183355</v>
      </c>
      <c r="AB178" s="177">
        <f t="shared" si="318"/>
        <v>0.17283982577713339</v>
      </c>
      <c r="AC178" s="177"/>
      <c r="AD178" s="177">
        <f t="shared" si="319"/>
        <v>0.45</v>
      </c>
      <c r="AE178" s="555">
        <f t="shared" si="320"/>
        <v>1547.967479674797</v>
      </c>
      <c r="AF178" s="538">
        <f t="shared" si="321"/>
        <v>6.4574999999999994E-2</v>
      </c>
      <c r="AH178" s="177">
        <f t="shared" si="322"/>
        <v>2.3053836233463727</v>
      </c>
      <c r="AI178" s="177">
        <f t="shared" si="323"/>
        <v>3.2011189400782896</v>
      </c>
      <c r="AJ178" s="177">
        <f t="shared" si="324"/>
        <v>2.9637918074653999</v>
      </c>
      <c r="AL178" s="555">
        <f t="shared" si="325"/>
        <v>285.60000000000002</v>
      </c>
      <c r="AM178" s="469">
        <f t="shared" si="326"/>
        <v>201.70112495813467</v>
      </c>
      <c r="AO178">
        <f t="shared" si="327"/>
        <v>285.60000000000002</v>
      </c>
      <c r="AP178">
        <f t="shared" si="328"/>
        <v>201.70112495813467</v>
      </c>
      <c r="AR178" s="5">
        <f t="shared" si="249"/>
        <v>4.9578305535358869</v>
      </c>
      <c r="AS178" s="5">
        <f t="shared" si="246"/>
        <v>3.20111894007829</v>
      </c>
      <c r="AT178" s="5">
        <f t="shared" si="247"/>
        <v>1.7567116134575969</v>
      </c>
      <c r="AU178" s="177">
        <f t="shared" si="248"/>
        <v>0.64566929133858286</v>
      </c>
      <c r="AW178" s="5">
        <f t="shared" si="275"/>
        <v>5.8983198018474825</v>
      </c>
      <c r="AX178" s="5"/>
      <c r="AY178" s="5">
        <f t="shared" si="276"/>
        <v>19.72689546823246</v>
      </c>
      <c r="AZ178" s="5"/>
      <c r="BA178" s="5">
        <f t="shared" si="277"/>
        <v>1.6001257140852034</v>
      </c>
      <c r="BB178" s="5"/>
      <c r="BC178" s="5"/>
      <c r="BD178" s="177">
        <f t="shared" si="278"/>
        <v>1.4850676897351365</v>
      </c>
      <c r="BE178" s="177">
        <f t="shared" si="279"/>
        <v>1.1001339826345677</v>
      </c>
      <c r="BF178" s="177">
        <f t="shared" si="280"/>
        <v>1.8061192707537248</v>
      </c>
      <c r="BG178" s="177"/>
      <c r="BH178" s="538">
        <f t="shared" si="281"/>
        <v>0.24259686474047809</v>
      </c>
      <c r="BI178" s="538">
        <f t="shared" si="282"/>
        <v>8.2000000000000003E-2</v>
      </c>
      <c r="BJ178" s="538">
        <f t="shared" si="283"/>
        <v>1.0085056247906732E-2</v>
      </c>
      <c r="BK178" s="538">
        <f t="shared" si="284"/>
        <v>2.9279137000047781E-2</v>
      </c>
      <c r="BL178">
        <f t="shared" si="285"/>
        <v>2.6099999999999999E-3</v>
      </c>
      <c r="BM178">
        <f t="shared" si="329"/>
        <v>8.0680449983253865E-6</v>
      </c>
      <c r="BN178">
        <f t="shared" si="330"/>
        <v>0.38375569377452412</v>
      </c>
      <c r="BO178" s="469">
        <f t="shared" si="286"/>
        <v>366.57105798843264</v>
      </c>
      <c r="BP178" s="177">
        <f t="shared" si="287"/>
        <v>0.25704000000000005</v>
      </c>
      <c r="BQ178" s="177">
        <f t="shared" si="288"/>
        <v>0.44369999999999998</v>
      </c>
      <c r="BR178" s="538"/>
      <c r="BT178" s="469">
        <f t="shared" si="289"/>
        <v>700.74</v>
      </c>
      <c r="BU178" s="538">
        <f t="shared" si="290"/>
        <v>0.10586045006857227</v>
      </c>
      <c r="BV178" s="538">
        <f t="shared" si="291"/>
        <v>0.29047074713937487</v>
      </c>
      <c r="BW178" s="538">
        <f t="shared" si="292"/>
        <v>0.782896036845112</v>
      </c>
      <c r="BX178" s="538">
        <f t="shared" si="293"/>
        <v>0</v>
      </c>
      <c r="BY178" s="538">
        <f t="shared" si="274"/>
        <v>1.3020613283575846</v>
      </c>
      <c r="BZ178" s="538">
        <f t="shared" si="250"/>
        <v>1.1792272340530592</v>
      </c>
      <c r="CA178" s="641">
        <f t="shared" si="331"/>
        <v>0.10334320987654322</v>
      </c>
      <c r="CB178" s="469">
        <f t="shared" si="294"/>
        <v>3763.8590063402457</v>
      </c>
      <c r="CC178" s="177">
        <f t="shared" si="251"/>
        <v>2.4899002320086518</v>
      </c>
      <c r="CD178" s="5">
        <f t="shared" si="295"/>
        <v>8.3707999999999991</v>
      </c>
      <c r="CE178" s="177">
        <f t="shared" si="296"/>
        <v>0.77074220088770906</v>
      </c>
      <c r="CF178" s="5">
        <f t="shared" si="297"/>
        <v>77.0742200887709</v>
      </c>
      <c r="CG178">
        <f t="shared" si="298"/>
        <v>68</v>
      </c>
      <c r="CI178" s="571">
        <f t="shared" si="332"/>
        <v>-50</v>
      </c>
      <c r="CJ178">
        <f t="shared" si="333"/>
        <v>-50</v>
      </c>
    </row>
    <row r="179" spans="5:88" x14ac:dyDescent="0.2">
      <c r="E179" s="174">
        <v>69</v>
      </c>
      <c r="F179" s="221">
        <f t="shared" si="334"/>
        <v>0.28979999999999995</v>
      </c>
      <c r="G179" s="221">
        <f t="shared" si="299"/>
        <v>0.50024999999999997</v>
      </c>
      <c r="H179" s="221">
        <f t="shared" si="300"/>
        <v>4.4918999999999993</v>
      </c>
      <c r="I179" s="221">
        <f t="shared" si="301"/>
        <v>4.0019999999999998</v>
      </c>
      <c r="J179" s="551">
        <f t="shared" si="302"/>
        <v>9</v>
      </c>
      <c r="K179" s="451">
        <f t="shared" si="303"/>
        <v>16.399999999999999</v>
      </c>
      <c r="L179" s="451">
        <f t="shared" si="304"/>
        <v>25.4</v>
      </c>
      <c r="M179" s="451"/>
      <c r="N179" s="221">
        <f t="shared" si="305"/>
        <v>0.64566929133858264</v>
      </c>
      <c r="O179" s="176">
        <f t="shared" si="306"/>
        <v>5.6698549287756563</v>
      </c>
      <c r="P179" s="176">
        <f t="shared" si="307"/>
        <v>9.552037446932033</v>
      </c>
      <c r="Q179" s="221">
        <f t="shared" si="308"/>
        <v>0.36579709217907458</v>
      </c>
      <c r="R179" s="221">
        <f t="shared" si="309"/>
        <v>0.70873186609695704</v>
      </c>
      <c r="S179" s="221">
        <f t="shared" si="310"/>
        <v>15.5</v>
      </c>
      <c r="T179" s="221">
        <f t="shared" si="311"/>
        <v>3.248194218608853</v>
      </c>
      <c r="U179" s="221">
        <f t="shared" si="312"/>
        <v>3.248194218608853</v>
      </c>
      <c r="V179" s="221">
        <f t="shared" si="313"/>
        <v>1.7825456077731512</v>
      </c>
      <c r="W179" s="201">
        <f t="shared" si="314"/>
        <v>350</v>
      </c>
      <c r="X179" s="451">
        <f t="shared" si="315"/>
        <v>198.77792024859644</v>
      </c>
      <c r="Z179" s="221">
        <f t="shared" si="316"/>
        <v>1.8447694038245221</v>
      </c>
      <c r="AA179" s="177">
        <f t="shared" si="317"/>
        <v>1.0123734533183355</v>
      </c>
      <c r="AB179" s="177">
        <f t="shared" si="318"/>
        <v>0.17283982577713339</v>
      </c>
      <c r="AC179" s="177"/>
      <c r="AD179" s="177">
        <f t="shared" si="319"/>
        <v>0.45</v>
      </c>
      <c r="AE179" s="555">
        <f t="shared" si="320"/>
        <v>1570.731707317073</v>
      </c>
      <c r="AF179" s="538">
        <f t="shared" si="321"/>
        <v>6.4574999999999994E-2</v>
      </c>
      <c r="AH179" s="177">
        <f t="shared" si="322"/>
        <v>2.3222731064524647</v>
      </c>
      <c r="AI179" s="177">
        <f t="shared" si="323"/>
        <v>3.248194218608853</v>
      </c>
      <c r="AJ179" s="177">
        <f t="shared" si="324"/>
        <v>2.9986623841547062</v>
      </c>
      <c r="AL179" s="555">
        <f t="shared" si="325"/>
        <v>289.79999999999995</v>
      </c>
      <c r="AM179" s="469">
        <f t="shared" si="326"/>
        <v>198.77792024859644</v>
      </c>
      <c r="AO179">
        <f t="shared" si="327"/>
        <v>289.79999999999995</v>
      </c>
      <c r="AP179">
        <f t="shared" si="328"/>
        <v>198.77792024859644</v>
      </c>
      <c r="AR179" s="5">
        <f t="shared" si="249"/>
        <v>5.0307398263820051</v>
      </c>
      <c r="AS179" s="5">
        <f t="shared" ref="AS179:AS242" si="335">L*AI179/J179*1000000</f>
        <v>3.248194218608853</v>
      </c>
      <c r="AT179" s="5">
        <f t="shared" ref="AT179:AT242" si="336">AR179-AS179</f>
        <v>1.7825456077731521</v>
      </c>
      <c r="AU179" s="177">
        <f t="shared" ref="AU179:AU242" si="337">AS179/AR179</f>
        <v>0.64566929133858253</v>
      </c>
      <c r="AW179" s="5">
        <f t="shared" si="275"/>
        <v>6.0730753842119061</v>
      </c>
      <c r="AX179" s="5"/>
      <c r="AY179" s="5">
        <f t="shared" si="276"/>
        <v>20.311364473238481</v>
      </c>
      <c r="AZ179" s="5"/>
      <c r="BA179" s="5">
        <f t="shared" si="277"/>
        <v>1.6475342830362592</v>
      </c>
      <c r="BB179" s="5"/>
      <c r="BC179" s="5"/>
      <c r="BD179" s="177">
        <f t="shared" si="278"/>
        <v>1.5069069204665353</v>
      </c>
      <c r="BE179" s="177">
        <f t="shared" si="279"/>
        <v>1.116312423555665</v>
      </c>
      <c r="BF179" s="177">
        <f t="shared" si="280"/>
        <v>1.8326798482648101</v>
      </c>
      <c r="BG179" s="177"/>
      <c r="BH179" s="538">
        <f t="shared" si="281"/>
        <v>0.24978453136449305</v>
      </c>
      <c r="BI179" s="538">
        <f t="shared" si="282"/>
        <v>8.199999999999999E-2</v>
      </c>
      <c r="BJ179" s="538">
        <f t="shared" si="283"/>
        <v>9.9388960124298219E-3</v>
      </c>
      <c r="BK179" s="538">
        <f t="shared" si="284"/>
        <v>2.8854801681206504E-2</v>
      </c>
      <c r="BL179">
        <f t="shared" si="285"/>
        <v>2.6099999999999999E-3</v>
      </c>
      <c r="BM179">
        <f t="shared" si="329"/>
        <v>7.9511168099438576E-6</v>
      </c>
      <c r="BN179">
        <f t="shared" si="330"/>
        <v>0.39122592309681004</v>
      </c>
      <c r="BO179" s="469">
        <f t="shared" si="286"/>
        <v>373.18822905812937</v>
      </c>
      <c r="BP179" s="177">
        <f t="shared" si="287"/>
        <v>0.26081999999999994</v>
      </c>
      <c r="BQ179" s="177">
        <f t="shared" si="288"/>
        <v>0.45022499999999999</v>
      </c>
      <c r="BR179" s="538"/>
      <c r="BT179" s="469">
        <f t="shared" si="289"/>
        <v>711.04499999999996</v>
      </c>
      <c r="BU179" s="538">
        <f t="shared" si="290"/>
        <v>0.10899688641359698</v>
      </c>
      <c r="BV179" s="538">
        <f t="shared" si="291"/>
        <v>0.29907682247633333</v>
      </c>
      <c r="BW179" s="538">
        <f t="shared" si="292"/>
        <v>0.80609170229662264</v>
      </c>
      <c r="BX179" s="538">
        <f t="shared" si="293"/>
        <v>0</v>
      </c>
      <c r="BY179" s="538">
        <f t="shared" si="274"/>
        <v>1.3447891266167826</v>
      </c>
      <c r="BZ179" s="538">
        <f t="shared" si="250"/>
        <v>1.214165411186553</v>
      </c>
      <c r="CA179" s="641">
        <f t="shared" si="331"/>
        <v>0.10486296296296298</v>
      </c>
      <c r="CB179" s="469">
        <f t="shared" si="294"/>
        <v>3877.9829119528517</v>
      </c>
      <c r="CC179" s="177">
        <f t="shared" si="251"/>
        <v>2.5519230126765557</v>
      </c>
      <c r="CD179" s="5">
        <f t="shared" si="295"/>
        <v>8.4939</v>
      </c>
      <c r="CE179" s="177">
        <f t="shared" si="296"/>
        <v>0.76896940954532012</v>
      </c>
      <c r="CF179" s="5">
        <f t="shared" si="297"/>
        <v>76.896940954532013</v>
      </c>
      <c r="CG179">
        <f t="shared" si="298"/>
        <v>69</v>
      </c>
      <c r="CI179" s="571">
        <f t="shared" si="332"/>
        <v>-50</v>
      </c>
      <c r="CJ179">
        <f t="shared" si="333"/>
        <v>-50</v>
      </c>
    </row>
    <row r="180" spans="5:88" x14ac:dyDescent="0.2">
      <c r="E180" s="174">
        <v>70</v>
      </c>
      <c r="F180" s="221">
        <f t="shared" si="334"/>
        <v>0.29399999999999998</v>
      </c>
      <c r="G180" s="221">
        <f t="shared" si="299"/>
        <v>0.50749999999999995</v>
      </c>
      <c r="H180" s="221">
        <f t="shared" si="300"/>
        <v>4.5569999999999995</v>
      </c>
      <c r="I180" s="221">
        <f t="shared" si="301"/>
        <v>4.0599999999999996</v>
      </c>
      <c r="J180" s="551">
        <f t="shared" si="302"/>
        <v>9</v>
      </c>
      <c r="K180" s="451">
        <f t="shared" si="303"/>
        <v>16.399999999999999</v>
      </c>
      <c r="L180" s="451">
        <f t="shared" si="304"/>
        <v>25.4</v>
      </c>
      <c r="M180" s="451"/>
      <c r="N180" s="221">
        <f t="shared" si="305"/>
        <v>0.64566929133858264</v>
      </c>
      <c r="O180" s="176">
        <f t="shared" si="306"/>
        <v>5.6698549287756563</v>
      </c>
      <c r="P180" s="176">
        <f t="shared" si="307"/>
        <v>9.552037446932033</v>
      </c>
      <c r="Q180" s="221">
        <f t="shared" si="308"/>
        <v>0.36579709217907458</v>
      </c>
      <c r="R180" s="221">
        <f t="shared" si="309"/>
        <v>0.70873186609695704</v>
      </c>
      <c r="S180" s="221">
        <f t="shared" si="310"/>
        <v>15.5</v>
      </c>
      <c r="T180" s="221">
        <f t="shared" si="311"/>
        <v>3.2952694971394161</v>
      </c>
      <c r="U180" s="221">
        <f t="shared" si="312"/>
        <v>3.2952694971394165</v>
      </c>
      <c r="V180" s="221">
        <f t="shared" si="313"/>
        <v>1.8083796020887042</v>
      </c>
      <c r="W180" s="201">
        <f t="shared" si="314"/>
        <v>350</v>
      </c>
      <c r="X180" s="451">
        <f t="shared" si="315"/>
        <v>195.93823567361648</v>
      </c>
      <c r="Z180" s="221">
        <f t="shared" si="316"/>
        <v>1.8447694038245221</v>
      </c>
      <c r="AA180" s="177">
        <f t="shared" si="317"/>
        <v>1.0123734533183355</v>
      </c>
      <c r="AB180" s="177">
        <f t="shared" si="318"/>
        <v>0.17283982577713339</v>
      </c>
      <c r="AC180" s="177"/>
      <c r="AD180" s="177">
        <f t="shared" si="319"/>
        <v>0.45</v>
      </c>
      <c r="AE180" s="555">
        <f t="shared" si="320"/>
        <v>1593.4959349593496</v>
      </c>
      <c r="AF180" s="538">
        <f t="shared" si="321"/>
        <v>6.4574999999999994E-2</v>
      </c>
      <c r="AH180" s="177">
        <f t="shared" si="322"/>
        <v>2.339040639046511</v>
      </c>
      <c r="AI180" s="177">
        <f t="shared" si="323"/>
        <v>3.2952694971394161</v>
      </c>
      <c r="AJ180" s="177">
        <f t="shared" si="324"/>
        <v>3.033532960844012</v>
      </c>
      <c r="AL180" s="555">
        <f t="shared" si="325"/>
        <v>294</v>
      </c>
      <c r="AM180" s="469">
        <f t="shared" si="326"/>
        <v>195.93823567361648</v>
      </c>
      <c r="AO180">
        <f t="shared" si="327"/>
        <v>294</v>
      </c>
      <c r="AP180">
        <f t="shared" si="328"/>
        <v>195.93823567361648</v>
      </c>
      <c r="AR180" s="5">
        <f t="shared" si="249"/>
        <v>5.1036490992281207</v>
      </c>
      <c r="AS180" s="5">
        <f t="shared" si="335"/>
        <v>3.2952694971394165</v>
      </c>
      <c r="AT180" s="5">
        <f t="shared" si="336"/>
        <v>1.8083796020887042</v>
      </c>
      <c r="AU180" s="177">
        <f t="shared" si="337"/>
        <v>0.64566929133858264</v>
      </c>
      <c r="AW180" s="5">
        <f t="shared" si="275"/>
        <v>6.2503821429612154</v>
      </c>
      <c r="AX180" s="5"/>
      <c r="AY180" s="5">
        <f t="shared" si="276"/>
        <v>20.904365872478174</v>
      </c>
      <c r="AZ180" s="5"/>
      <c r="BA180" s="5">
        <f t="shared" si="277"/>
        <v>1.6956349478844082</v>
      </c>
      <c r="BB180" s="5"/>
      <c r="BC180" s="5"/>
      <c r="BD180" s="177">
        <f t="shared" si="278"/>
        <v>1.5287461511979346</v>
      </c>
      <c r="BE180" s="177">
        <f t="shared" si="279"/>
        <v>1.1324908644767613</v>
      </c>
      <c r="BF180" s="177">
        <f t="shared" si="280"/>
        <v>1.8592404257758941</v>
      </c>
      <c r="BG180" s="177"/>
      <c r="BH180" s="538">
        <f t="shared" si="281"/>
        <v>0.25707712742827482</v>
      </c>
      <c r="BI180" s="538">
        <f t="shared" si="282"/>
        <v>8.199999999999999E-2</v>
      </c>
      <c r="BJ180" s="538">
        <f t="shared" si="283"/>
        <v>9.7969117836808235E-3</v>
      </c>
      <c r="BK180" s="538">
        <f t="shared" si="284"/>
        <v>2.844259022861784E-2</v>
      </c>
      <c r="BL180">
        <f t="shared" si="285"/>
        <v>2.6099999999999999E-3</v>
      </c>
      <c r="BM180">
        <f t="shared" si="329"/>
        <v>7.83752942694466E-6</v>
      </c>
      <c r="BN180">
        <f t="shared" si="330"/>
        <v>0.39885232385692543</v>
      </c>
      <c r="BO180" s="469">
        <f t="shared" si="286"/>
        <v>379.92662944057344</v>
      </c>
      <c r="BP180" s="177">
        <f t="shared" si="287"/>
        <v>0.2646</v>
      </c>
      <c r="BQ180" s="177">
        <f t="shared" si="288"/>
        <v>0.45674999999999999</v>
      </c>
      <c r="BR180" s="538"/>
      <c r="BT180" s="469">
        <f t="shared" si="289"/>
        <v>721.34999999999991</v>
      </c>
      <c r="BU180" s="538">
        <f t="shared" si="290"/>
        <v>0.11217911015051991</v>
      </c>
      <c r="BV180" s="538">
        <f t="shared" si="291"/>
        <v>0.30780853394959728</v>
      </c>
      <c r="BW180" s="538">
        <f t="shared" si="292"/>
        <v>0.82962599060143871</v>
      </c>
      <c r="BX180" s="538">
        <f t="shared" si="293"/>
        <v>0</v>
      </c>
      <c r="BY180" s="538">
        <f t="shared" si="274"/>
        <v>1.3884119110744055</v>
      </c>
      <c r="BZ180" s="538">
        <f t="shared" si="250"/>
        <v>1.2496136347015558</v>
      </c>
      <c r="CA180" s="641">
        <f t="shared" si="331"/>
        <v>0.10638271604938272</v>
      </c>
      <c r="CB180" s="469">
        <f t="shared" si="294"/>
        <v>3994.0218965269</v>
      </c>
      <c r="CC180" s="177">
        <f t="shared" si="251"/>
        <v>2.6149969509807138</v>
      </c>
      <c r="CD180" s="5">
        <f t="shared" si="295"/>
        <v>8.6169999999999991</v>
      </c>
      <c r="CE180" s="177">
        <f t="shared" si="296"/>
        <v>0.76718325669128784</v>
      </c>
      <c r="CF180" s="5">
        <f t="shared" si="297"/>
        <v>76.718325669128788</v>
      </c>
      <c r="CG180">
        <f t="shared" si="298"/>
        <v>70</v>
      </c>
      <c r="CI180" s="571">
        <f t="shared" si="332"/>
        <v>-50</v>
      </c>
      <c r="CJ180">
        <f t="shared" si="333"/>
        <v>-50</v>
      </c>
    </row>
    <row r="181" spans="5:88" x14ac:dyDescent="0.2">
      <c r="E181" s="174">
        <v>71</v>
      </c>
      <c r="F181" s="221">
        <f t="shared" si="334"/>
        <v>0.29819999999999997</v>
      </c>
      <c r="G181" s="221">
        <f t="shared" si="299"/>
        <v>0.51474999999999993</v>
      </c>
      <c r="H181" s="221">
        <f t="shared" si="300"/>
        <v>4.6220999999999997</v>
      </c>
      <c r="I181" s="221">
        <f t="shared" si="301"/>
        <v>4.1179999999999994</v>
      </c>
      <c r="J181" s="551">
        <f t="shared" si="302"/>
        <v>9</v>
      </c>
      <c r="K181" s="451">
        <f t="shared" si="303"/>
        <v>16.399999999999999</v>
      </c>
      <c r="L181" s="451">
        <f t="shared" si="304"/>
        <v>25.4</v>
      </c>
      <c r="M181" s="451"/>
      <c r="N181" s="221">
        <f t="shared" si="305"/>
        <v>0.64566929133858264</v>
      </c>
      <c r="O181" s="176">
        <f t="shared" si="306"/>
        <v>5.6698549287756563</v>
      </c>
      <c r="P181" s="176">
        <f t="shared" si="307"/>
        <v>9.552037446932033</v>
      </c>
      <c r="Q181" s="221">
        <f t="shared" si="308"/>
        <v>0.36579709217907458</v>
      </c>
      <c r="R181" s="221">
        <f t="shared" si="309"/>
        <v>0.70873186609695704</v>
      </c>
      <c r="S181" s="221">
        <f t="shared" si="310"/>
        <v>15.5</v>
      </c>
      <c r="T181" s="221">
        <f t="shared" si="311"/>
        <v>3.3423447756699787</v>
      </c>
      <c r="U181" s="221">
        <f t="shared" si="312"/>
        <v>3.3423447756699791</v>
      </c>
      <c r="V181" s="221">
        <f t="shared" si="313"/>
        <v>1.8342135964042567</v>
      </c>
      <c r="W181" s="201">
        <f t="shared" si="314"/>
        <v>350</v>
      </c>
      <c r="X181" s="451">
        <f t="shared" si="315"/>
        <v>193.17854221342472</v>
      </c>
      <c r="Z181" s="221">
        <f t="shared" si="316"/>
        <v>1.8447694038245221</v>
      </c>
      <c r="AA181" s="177">
        <f t="shared" si="317"/>
        <v>1.0123734533183355</v>
      </c>
      <c r="AB181" s="177">
        <f t="shared" si="318"/>
        <v>0.17283982577713339</v>
      </c>
      <c r="AC181" s="177"/>
      <c r="AD181" s="177">
        <f t="shared" si="319"/>
        <v>0.45</v>
      </c>
      <c r="AE181" s="555">
        <f t="shared" si="320"/>
        <v>1616.260162601626</v>
      </c>
      <c r="AF181" s="538">
        <f t="shared" si="321"/>
        <v>6.4574999999999994E-2</v>
      </c>
      <c r="AH181" s="177">
        <f t="shared" si="322"/>
        <v>2.3556888252207338</v>
      </c>
      <c r="AI181" s="177">
        <f t="shared" si="323"/>
        <v>3.3423447756699787</v>
      </c>
      <c r="AJ181" s="177">
        <f t="shared" si="324"/>
        <v>3.0684035375333174</v>
      </c>
      <c r="AL181" s="555">
        <f t="shared" si="325"/>
        <v>298.2</v>
      </c>
      <c r="AM181" s="469">
        <f t="shared" si="326"/>
        <v>193.17854221342472</v>
      </c>
      <c r="AO181">
        <f t="shared" si="327"/>
        <v>298.2</v>
      </c>
      <c r="AP181">
        <f t="shared" si="328"/>
        <v>193.17854221342472</v>
      </c>
      <c r="AR181" s="5">
        <f t="shared" si="249"/>
        <v>5.1765583720742363</v>
      </c>
      <c r="AS181" s="5">
        <f t="shared" si="335"/>
        <v>3.3423447756699791</v>
      </c>
      <c r="AT181" s="5">
        <f t="shared" si="336"/>
        <v>1.8342135964042572</v>
      </c>
      <c r="AU181" s="177">
        <f t="shared" si="337"/>
        <v>0.64566929133858264</v>
      </c>
      <c r="AW181" s="5">
        <f t="shared" si="275"/>
        <v>6.4302400780954034</v>
      </c>
      <c r="AX181" s="5"/>
      <c r="AY181" s="5">
        <f t="shared" si="276"/>
        <v>21.505899665951517</v>
      </c>
      <c r="AZ181" s="5"/>
      <c r="BA181" s="5">
        <f t="shared" si="277"/>
        <v>1.7444277086296536</v>
      </c>
      <c r="BB181" s="5"/>
      <c r="BC181" s="5"/>
      <c r="BD181" s="177">
        <f t="shared" si="278"/>
        <v>1.5505853819293334</v>
      </c>
      <c r="BE181" s="177">
        <f t="shared" si="279"/>
        <v>1.1486693053978578</v>
      </c>
      <c r="BF181" s="177">
        <f t="shared" si="280"/>
        <v>1.8858010032869781</v>
      </c>
      <c r="BG181" s="177"/>
      <c r="BH181" s="538">
        <f t="shared" si="281"/>
        <v>0.26447465293182304</v>
      </c>
      <c r="BI181" s="538">
        <f t="shared" si="282"/>
        <v>8.199999999999999E-2</v>
      </c>
      <c r="BJ181" s="538">
        <f t="shared" si="283"/>
        <v>9.6589271106712355E-3</v>
      </c>
      <c r="BK181" s="538">
        <f t="shared" si="284"/>
        <v>2.8041990366242945E-2</v>
      </c>
      <c r="BL181">
        <f t="shared" si="285"/>
        <v>2.6099999999999999E-3</v>
      </c>
      <c r="BM181">
        <f t="shared" si="329"/>
        <v>7.7271416885369889E-6</v>
      </c>
      <c r="BN181">
        <f t="shared" si="330"/>
        <v>0.40663530021595012</v>
      </c>
      <c r="BO181" s="469">
        <f t="shared" si="286"/>
        <v>386.78557040873716</v>
      </c>
      <c r="BP181" s="177">
        <f t="shared" si="287"/>
        <v>0.26837999999999995</v>
      </c>
      <c r="BQ181" s="177">
        <f t="shared" si="288"/>
        <v>0.46327499999999994</v>
      </c>
      <c r="BR181" s="538"/>
      <c r="BT181" s="469">
        <f t="shared" si="289"/>
        <v>731.65499999999997</v>
      </c>
      <c r="BU181" s="538">
        <f t="shared" si="290"/>
        <v>0.11540712127934097</v>
      </c>
      <c r="BV181" s="538">
        <f t="shared" si="291"/>
        <v>0.31666588155916731</v>
      </c>
      <c r="BW181" s="538">
        <f t="shared" si="292"/>
        <v>0.85349890175956156</v>
      </c>
      <c r="BX181" s="538">
        <f t="shared" si="293"/>
        <v>0</v>
      </c>
      <c r="BY181" s="538">
        <f t="shared" si="274"/>
        <v>1.4329441208031508</v>
      </c>
      <c r="BZ181" s="538">
        <f t="shared" si="250"/>
        <v>1.2855719045980698</v>
      </c>
      <c r="CA181" s="641">
        <f t="shared" si="331"/>
        <v>0.10790246913580244</v>
      </c>
      <c r="CB181" s="469">
        <f t="shared" si="294"/>
        <v>4111.990399135093</v>
      </c>
      <c r="CC181" s="177">
        <f t="shared" si="251"/>
        <v>2.6791368901549033</v>
      </c>
      <c r="CD181" s="5">
        <f t="shared" si="295"/>
        <v>8.7400999999999982</v>
      </c>
      <c r="CE181" s="177">
        <f t="shared" si="296"/>
        <v>0.76538389421934816</v>
      </c>
      <c r="CF181" s="5">
        <f t="shared" si="297"/>
        <v>76.538389421934809</v>
      </c>
      <c r="CG181">
        <f t="shared" si="298"/>
        <v>71</v>
      </c>
      <c r="CI181" s="571">
        <f t="shared" si="332"/>
        <v>-50</v>
      </c>
      <c r="CJ181">
        <f t="shared" si="333"/>
        <v>-50</v>
      </c>
    </row>
    <row r="182" spans="5:88" x14ac:dyDescent="0.2">
      <c r="E182" s="174">
        <v>72</v>
      </c>
      <c r="F182" s="221">
        <f t="shared" si="334"/>
        <v>0.3024</v>
      </c>
      <c r="G182" s="221">
        <f t="shared" si="299"/>
        <v>0.52200000000000002</v>
      </c>
      <c r="H182" s="221">
        <f t="shared" si="300"/>
        <v>4.6871999999999998</v>
      </c>
      <c r="I182" s="221">
        <f t="shared" si="301"/>
        <v>4.1760000000000002</v>
      </c>
      <c r="J182" s="551">
        <f t="shared" si="302"/>
        <v>9</v>
      </c>
      <c r="K182" s="451">
        <f t="shared" si="303"/>
        <v>16.399999999999999</v>
      </c>
      <c r="L182" s="451">
        <f t="shared" si="304"/>
        <v>25.4</v>
      </c>
      <c r="M182" s="451"/>
      <c r="N182" s="221">
        <f t="shared" si="305"/>
        <v>0.64566929133858264</v>
      </c>
      <c r="O182" s="176">
        <f t="shared" si="306"/>
        <v>5.6698549287756563</v>
      </c>
      <c r="P182" s="176">
        <f t="shared" si="307"/>
        <v>9.552037446932033</v>
      </c>
      <c r="Q182" s="221">
        <f t="shared" si="308"/>
        <v>0.36579709217907458</v>
      </c>
      <c r="R182" s="221">
        <f t="shared" si="309"/>
        <v>0.70873186609695704</v>
      </c>
      <c r="S182" s="221">
        <f t="shared" si="310"/>
        <v>15.5</v>
      </c>
      <c r="T182" s="221">
        <f t="shared" si="311"/>
        <v>3.3894200542005422</v>
      </c>
      <c r="U182" s="221">
        <f t="shared" si="312"/>
        <v>3.3894200542005422</v>
      </c>
      <c r="V182" s="221">
        <f t="shared" si="313"/>
        <v>1.86004759071981</v>
      </c>
      <c r="W182" s="201">
        <f t="shared" si="314"/>
        <v>350</v>
      </c>
      <c r="X182" s="451">
        <f t="shared" si="315"/>
        <v>190.49550690490494</v>
      </c>
      <c r="Z182" s="221">
        <f t="shared" si="316"/>
        <v>1.8447694038245221</v>
      </c>
      <c r="AA182" s="177">
        <f t="shared" si="317"/>
        <v>1.0123734533183355</v>
      </c>
      <c r="AB182" s="177">
        <f t="shared" si="318"/>
        <v>0.17283982577713339</v>
      </c>
      <c r="AC182" s="177"/>
      <c r="AD182" s="177">
        <f t="shared" si="319"/>
        <v>0.45</v>
      </c>
      <c r="AE182" s="555">
        <f t="shared" si="320"/>
        <v>1639.0243902439029</v>
      </c>
      <c r="AF182" s="538">
        <f t="shared" si="321"/>
        <v>6.4574999999999994E-2</v>
      </c>
      <c r="AH182" s="177">
        <f t="shared" si="322"/>
        <v>2.3722201776876806</v>
      </c>
      <c r="AI182" s="177">
        <f t="shared" si="323"/>
        <v>3.3894200542005422</v>
      </c>
      <c r="AJ182" s="177">
        <f t="shared" si="324"/>
        <v>3.1032741142226241</v>
      </c>
      <c r="AL182" s="555">
        <f t="shared" si="325"/>
        <v>302.39999999999998</v>
      </c>
      <c r="AM182" s="469">
        <f t="shared" si="326"/>
        <v>190.49550690490494</v>
      </c>
      <c r="AO182">
        <f t="shared" si="327"/>
        <v>302.39999999999998</v>
      </c>
      <c r="AP182">
        <f t="shared" si="328"/>
        <v>190.49550690490494</v>
      </c>
      <c r="AR182" s="5">
        <f t="shared" si="249"/>
        <v>5.2494676449203519</v>
      </c>
      <c r="AS182" s="5">
        <f t="shared" si="335"/>
        <v>3.3894200542005422</v>
      </c>
      <c r="AT182" s="5">
        <f t="shared" si="336"/>
        <v>1.8600475907198097</v>
      </c>
      <c r="AU182" s="177">
        <f t="shared" si="337"/>
        <v>0.64566929133858264</v>
      </c>
      <c r="AW182" s="5">
        <f t="shared" si="275"/>
        <v>6.6126491896144781</v>
      </c>
      <c r="AX182" s="5"/>
      <c r="AY182" s="5">
        <f t="shared" si="276"/>
        <v>22.11596585365854</v>
      </c>
      <c r="AZ182" s="5"/>
      <c r="BA182" s="5">
        <f t="shared" si="277"/>
        <v>1.7939125652719934</v>
      </c>
      <c r="BB182" s="5"/>
      <c r="BC182" s="5"/>
      <c r="BD182" s="177">
        <f t="shared" si="278"/>
        <v>1.5724246126607326</v>
      </c>
      <c r="BE182" s="177">
        <f t="shared" si="279"/>
        <v>1.1648477463189546</v>
      </c>
      <c r="BF182" s="177">
        <f t="shared" si="280"/>
        <v>1.9123615807980625</v>
      </c>
      <c r="BG182" s="177"/>
      <c r="BH182" s="538">
        <f t="shared" si="281"/>
        <v>0.27197710787513807</v>
      </c>
      <c r="BI182" s="538">
        <f t="shared" si="282"/>
        <v>8.199999999999999E-2</v>
      </c>
      <c r="BJ182" s="538">
        <f t="shared" si="283"/>
        <v>9.5247753452452465E-3</v>
      </c>
      <c r="BK182" s="538">
        <f t="shared" si="284"/>
        <v>2.7652518277822901E-2</v>
      </c>
      <c r="BL182">
        <f t="shared" si="285"/>
        <v>2.6099999999999999E-3</v>
      </c>
      <c r="BM182">
        <f t="shared" si="329"/>
        <v>7.619820276196198E-6</v>
      </c>
      <c r="BN182">
        <f t="shared" si="330"/>
        <v>0.41457531808202575</v>
      </c>
      <c r="BO182" s="469">
        <f t="shared" si="286"/>
        <v>393.76440149820621</v>
      </c>
      <c r="BP182" s="177">
        <f t="shared" si="287"/>
        <v>0.27216000000000001</v>
      </c>
      <c r="BQ182" s="177">
        <f t="shared" si="288"/>
        <v>0.46980000000000005</v>
      </c>
      <c r="BR182" s="538"/>
      <c r="BT182" s="469">
        <f t="shared" si="289"/>
        <v>741.96</v>
      </c>
      <c r="BU182" s="538">
        <f t="shared" si="290"/>
        <v>0.11868091980006025</v>
      </c>
      <c r="BV182" s="538">
        <f t="shared" si="291"/>
        <v>0.32564886530504339</v>
      </c>
      <c r="BW182" s="538">
        <f t="shared" si="292"/>
        <v>0.8777104357709915</v>
      </c>
      <c r="BX182" s="538">
        <f t="shared" si="293"/>
        <v>0</v>
      </c>
      <c r="BY182" s="538">
        <f t="shared" si="274"/>
        <v>1.4784006283341993</v>
      </c>
      <c r="BZ182" s="538">
        <f t="shared" si="250"/>
        <v>1.3220402208760951</v>
      </c>
      <c r="CA182" s="641">
        <f t="shared" si="331"/>
        <v>0.10942222222222223</v>
      </c>
      <c r="CB182" s="469">
        <f t="shared" si="294"/>
        <v>4231.9032923086106</v>
      </c>
      <c r="CC182" s="177">
        <f t="shared" si="251"/>
        <v>2.7443581686384473</v>
      </c>
      <c r="CD182" s="5">
        <f t="shared" si="295"/>
        <v>8.8631999999999991</v>
      </c>
      <c r="CE182" s="177">
        <f t="shared" si="296"/>
        <v>0.76357144812306743</v>
      </c>
      <c r="CF182" s="5">
        <f t="shared" si="297"/>
        <v>76.357144812306743</v>
      </c>
      <c r="CG182">
        <f t="shared" si="298"/>
        <v>72.000000000000014</v>
      </c>
      <c r="CI182" s="571">
        <f t="shared" si="332"/>
        <v>-50</v>
      </c>
      <c r="CJ182">
        <f t="shared" si="333"/>
        <v>-50</v>
      </c>
    </row>
    <row r="183" spans="5:88" x14ac:dyDescent="0.2">
      <c r="E183" s="174">
        <v>73</v>
      </c>
      <c r="F183" s="221">
        <f t="shared" si="334"/>
        <v>0.30659999999999998</v>
      </c>
      <c r="G183" s="221">
        <f t="shared" si="299"/>
        <v>0.52925</v>
      </c>
      <c r="H183" s="221">
        <f t="shared" si="300"/>
        <v>4.7523</v>
      </c>
      <c r="I183" s="221">
        <f t="shared" si="301"/>
        <v>4.234</v>
      </c>
      <c r="J183" s="551">
        <f t="shared" si="302"/>
        <v>9</v>
      </c>
      <c r="K183" s="451">
        <f t="shared" si="303"/>
        <v>16.399999999999999</v>
      </c>
      <c r="L183" s="451">
        <f t="shared" si="304"/>
        <v>25.4</v>
      </c>
      <c r="M183" s="451"/>
      <c r="N183" s="221">
        <f t="shared" si="305"/>
        <v>0.64566929133858264</v>
      </c>
      <c r="O183" s="176">
        <f t="shared" si="306"/>
        <v>5.6698549287756563</v>
      </c>
      <c r="P183" s="176">
        <f t="shared" si="307"/>
        <v>9.552037446932033</v>
      </c>
      <c r="Q183" s="221">
        <f t="shared" si="308"/>
        <v>0.36579709217907458</v>
      </c>
      <c r="R183" s="221">
        <f t="shared" si="309"/>
        <v>0.70873186609695704</v>
      </c>
      <c r="S183" s="221">
        <f t="shared" si="310"/>
        <v>15.5</v>
      </c>
      <c r="T183" s="221">
        <f t="shared" si="311"/>
        <v>3.4364953327311056</v>
      </c>
      <c r="U183" s="221">
        <f t="shared" si="312"/>
        <v>3.4364953327311056</v>
      </c>
      <c r="V183" s="221">
        <f t="shared" si="313"/>
        <v>1.885881585035363</v>
      </c>
      <c r="W183" s="201">
        <f t="shared" si="314"/>
        <v>350</v>
      </c>
      <c r="X183" s="451">
        <f t="shared" si="315"/>
        <v>187.8859794130569</v>
      </c>
      <c r="Z183" s="221">
        <f t="shared" si="316"/>
        <v>1.8447694038245221</v>
      </c>
      <c r="AA183" s="177">
        <f t="shared" si="317"/>
        <v>1.0123734533183355</v>
      </c>
      <c r="AB183" s="177">
        <f t="shared" si="318"/>
        <v>0.17283982577713339</v>
      </c>
      <c r="AC183" s="177"/>
      <c r="AD183" s="177">
        <f t="shared" si="319"/>
        <v>0.45</v>
      </c>
      <c r="AE183" s="555">
        <f t="shared" si="320"/>
        <v>1661.7886178861788</v>
      </c>
      <c r="AF183" s="538">
        <f t="shared" si="321"/>
        <v>6.4574999999999994E-2</v>
      </c>
      <c r="AH183" s="177">
        <f t="shared" si="322"/>
        <v>2.388637122207411</v>
      </c>
      <c r="AI183" s="177">
        <f t="shared" si="323"/>
        <v>3.4364953327311056</v>
      </c>
      <c r="AJ183" s="177">
        <f t="shared" si="324"/>
        <v>3.1381446909119299</v>
      </c>
      <c r="AL183" s="555">
        <f t="shared" si="325"/>
        <v>306.59999999999997</v>
      </c>
      <c r="AM183" s="469">
        <f t="shared" si="326"/>
        <v>187.8859794130569</v>
      </c>
      <c r="AO183">
        <f t="shared" si="327"/>
        <v>306.59999999999997</v>
      </c>
      <c r="AP183">
        <f t="shared" si="328"/>
        <v>187.8859794130569</v>
      </c>
      <c r="AR183" s="5">
        <f t="shared" si="249"/>
        <v>5.3223769177664693</v>
      </c>
      <c r="AS183" s="5">
        <f t="shared" si="335"/>
        <v>3.4364953327311056</v>
      </c>
      <c r="AT183" s="5">
        <f t="shared" si="336"/>
        <v>1.8858815850353636</v>
      </c>
      <c r="AU183" s="177">
        <f t="shared" si="337"/>
        <v>0.64566929133858253</v>
      </c>
      <c r="AW183" s="5">
        <f t="shared" si="275"/>
        <v>6.7976094775184315</v>
      </c>
      <c r="AX183" s="5"/>
      <c r="AY183" s="5">
        <f t="shared" si="276"/>
        <v>22.734564435599218</v>
      </c>
      <c r="AZ183" s="5"/>
      <c r="BA183" s="5">
        <f t="shared" si="277"/>
        <v>1.8440895178114314</v>
      </c>
      <c r="BB183" s="5"/>
      <c r="BC183" s="5"/>
      <c r="BD183" s="177">
        <f t="shared" si="278"/>
        <v>1.5942638433921317</v>
      </c>
      <c r="BE183" s="177">
        <f t="shared" si="279"/>
        <v>1.1810261872400514</v>
      </c>
      <c r="BF183" s="177">
        <f t="shared" si="280"/>
        <v>1.9389221583091474</v>
      </c>
      <c r="BG183" s="177"/>
      <c r="BH183" s="538">
        <f t="shared" si="281"/>
        <v>0.27958449225821963</v>
      </c>
      <c r="BI183" s="538">
        <f t="shared" si="282"/>
        <v>8.2000000000000003E-2</v>
      </c>
      <c r="BJ183" s="538">
        <f t="shared" si="283"/>
        <v>9.3942989706528434E-3</v>
      </c>
      <c r="BK183" s="538">
        <f t="shared" si="284"/>
        <v>2.7273716657578752E-2</v>
      </c>
      <c r="BL183">
        <f t="shared" si="285"/>
        <v>2.6099999999999999E-3</v>
      </c>
      <c r="BM183">
        <f t="shared" si="329"/>
        <v>7.5154391765222762E-6</v>
      </c>
      <c r="BN183">
        <f t="shared" si="330"/>
        <v>0.42267290288591891</v>
      </c>
      <c r="BO183" s="469">
        <f t="shared" si="286"/>
        <v>400.86250788645128</v>
      </c>
      <c r="BP183" s="177">
        <f t="shared" si="287"/>
        <v>0.27594000000000002</v>
      </c>
      <c r="BQ183" s="177">
        <f t="shared" si="288"/>
        <v>0.476325</v>
      </c>
      <c r="BR183" s="538"/>
      <c r="BT183" s="469">
        <f t="shared" si="289"/>
        <v>752.26499999999999</v>
      </c>
      <c r="BU183" s="538">
        <f t="shared" si="290"/>
        <v>0.12200050571267766</v>
      </c>
      <c r="BV183" s="538">
        <f t="shared" si="291"/>
        <v>0.33475748518722548</v>
      </c>
      <c r="BW183" s="538">
        <f t="shared" si="292"/>
        <v>0.90226059263572855</v>
      </c>
      <c r="BX183" s="538">
        <f t="shared" si="293"/>
        <v>0</v>
      </c>
      <c r="BY183" s="538">
        <f t="shared" si="274"/>
        <v>1.5247967534611071</v>
      </c>
      <c r="BZ183" s="538">
        <f t="shared" si="250"/>
        <v>1.3590185835356317</v>
      </c>
      <c r="CA183" s="641">
        <f t="shared" si="331"/>
        <v>0.11094197530864199</v>
      </c>
      <c r="CB183" s="469">
        <f t="shared" si="294"/>
        <v>4353.7758958410122</v>
      </c>
      <c r="CC183" s="177">
        <f t="shared" si="251"/>
        <v>2.8106766316556677</v>
      </c>
      <c r="CD183" s="5">
        <f t="shared" si="295"/>
        <v>8.9863</v>
      </c>
      <c r="CE183" s="177">
        <f t="shared" si="296"/>
        <v>0.76174602023762783</v>
      </c>
      <c r="CF183" s="5">
        <f t="shared" si="297"/>
        <v>76.174602023762787</v>
      </c>
      <c r="CG183">
        <f t="shared" si="298"/>
        <v>73</v>
      </c>
      <c r="CI183" s="571">
        <f t="shared" si="332"/>
        <v>-50</v>
      </c>
      <c r="CJ183">
        <f t="shared" si="333"/>
        <v>-50</v>
      </c>
    </row>
    <row r="184" spans="5:88" x14ac:dyDescent="0.2">
      <c r="E184" s="174">
        <v>74</v>
      </c>
      <c r="F184" s="221">
        <f t="shared" si="334"/>
        <v>0.31079999999999997</v>
      </c>
      <c r="G184" s="221">
        <f t="shared" si="299"/>
        <v>0.53649999999999998</v>
      </c>
      <c r="H184" s="221">
        <f t="shared" si="300"/>
        <v>4.8173999999999992</v>
      </c>
      <c r="I184" s="221">
        <f t="shared" si="301"/>
        <v>4.2919999999999998</v>
      </c>
      <c r="J184" s="551">
        <f t="shared" si="302"/>
        <v>9</v>
      </c>
      <c r="K184" s="451">
        <f t="shared" si="303"/>
        <v>16.399999999999999</v>
      </c>
      <c r="L184" s="451">
        <f t="shared" si="304"/>
        <v>25.4</v>
      </c>
      <c r="M184" s="451"/>
      <c r="N184" s="221">
        <f t="shared" si="305"/>
        <v>0.64566929133858264</v>
      </c>
      <c r="O184" s="176">
        <f t="shared" si="306"/>
        <v>5.6698549287756563</v>
      </c>
      <c r="P184" s="176">
        <f t="shared" si="307"/>
        <v>9.552037446932033</v>
      </c>
      <c r="Q184" s="221">
        <f t="shared" si="308"/>
        <v>0.36579709217907458</v>
      </c>
      <c r="R184" s="221">
        <f t="shared" si="309"/>
        <v>0.70873186609695704</v>
      </c>
      <c r="S184" s="221">
        <f t="shared" si="310"/>
        <v>15.5</v>
      </c>
      <c r="T184" s="221">
        <f t="shared" si="311"/>
        <v>3.4835706112616682</v>
      </c>
      <c r="U184" s="221">
        <f t="shared" si="312"/>
        <v>3.4835706112616687</v>
      </c>
      <c r="V184" s="221">
        <f t="shared" si="313"/>
        <v>1.9117155793509157</v>
      </c>
      <c r="W184" s="201">
        <f t="shared" si="314"/>
        <v>350</v>
      </c>
      <c r="X184" s="451">
        <f t="shared" si="315"/>
        <v>185.34697969125884</v>
      </c>
      <c r="Z184" s="221">
        <f t="shared" si="316"/>
        <v>1.8447694038245221</v>
      </c>
      <c r="AA184" s="177">
        <f t="shared" si="317"/>
        <v>1.0123734533183355</v>
      </c>
      <c r="AB184" s="177">
        <f t="shared" si="318"/>
        <v>0.17283982577713339</v>
      </c>
      <c r="AC184" s="177"/>
      <c r="AD184" s="177">
        <f t="shared" si="319"/>
        <v>0.45</v>
      </c>
      <c r="AE184" s="555">
        <f t="shared" si="320"/>
        <v>1684.5528455284552</v>
      </c>
      <c r="AF184" s="538">
        <f t="shared" si="321"/>
        <v>6.4574999999999994E-2</v>
      </c>
      <c r="AH184" s="177">
        <f t="shared" si="322"/>
        <v>2.4049420017426679</v>
      </c>
      <c r="AI184" s="177">
        <f t="shared" si="323"/>
        <v>3.4835706112616682</v>
      </c>
      <c r="AJ184" s="177">
        <f t="shared" si="324"/>
        <v>3.1730152676012358</v>
      </c>
      <c r="AL184" s="555">
        <f t="shared" si="325"/>
        <v>310.79999999999995</v>
      </c>
      <c r="AM184" s="469">
        <f t="shared" si="326"/>
        <v>185.34697969125884</v>
      </c>
      <c r="AO184">
        <f t="shared" si="327"/>
        <v>310.79999999999995</v>
      </c>
      <c r="AP184">
        <f t="shared" si="328"/>
        <v>185.34697969125884</v>
      </c>
      <c r="AR184" s="5">
        <f t="shared" si="249"/>
        <v>5.3952861906125849</v>
      </c>
      <c r="AS184" s="5">
        <f t="shared" si="335"/>
        <v>3.4835706112616687</v>
      </c>
      <c r="AT184" s="5">
        <f t="shared" si="336"/>
        <v>1.9117155793509162</v>
      </c>
      <c r="AU184" s="177">
        <f t="shared" si="337"/>
        <v>0.64566929133858264</v>
      </c>
      <c r="AW184" s="5">
        <f t="shared" si="275"/>
        <v>6.9851209418072679</v>
      </c>
      <c r="AX184" s="5"/>
      <c r="AY184" s="5">
        <f t="shared" si="276"/>
        <v>23.361695411773564</v>
      </c>
      <c r="AZ184" s="5"/>
      <c r="BA184" s="5">
        <f t="shared" si="277"/>
        <v>1.8949585662479633</v>
      </c>
      <c r="BB184" s="5"/>
      <c r="BC184" s="5"/>
      <c r="BD184" s="177">
        <f t="shared" si="278"/>
        <v>1.6161030741235307</v>
      </c>
      <c r="BE184" s="177">
        <f t="shared" si="279"/>
        <v>1.1972046281611477</v>
      </c>
      <c r="BF184" s="177">
        <f t="shared" si="280"/>
        <v>1.9654827358202305</v>
      </c>
      <c r="BG184" s="177"/>
      <c r="BH184" s="538">
        <f t="shared" si="281"/>
        <v>0.28729680608106789</v>
      </c>
      <c r="BI184" s="538">
        <f t="shared" si="282"/>
        <v>8.199999999999999E-2</v>
      </c>
      <c r="BJ184" s="538">
        <f t="shared" si="283"/>
        <v>9.2673489845629415E-3</v>
      </c>
      <c r="BK184" s="538">
        <f t="shared" si="284"/>
        <v>2.6905152918962821E-2</v>
      </c>
      <c r="BL184">
        <f t="shared" si="285"/>
        <v>2.6099999999999999E-3</v>
      </c>
      <c r="BM184">
        <f t="shared" si="329"/>
        <v>7.4138791876503539E-6</v>
      </c>
      <c r="BN184">
        <f t="shared" si="330"/>
        <v>0.43092863757989919</v>
      </c>
      <c r="BO184" s="469">
        <f t="shared" si="286"/>
        <v>408.07930798459364</v>
      </c>
      <c r="BP184" s="177">
        <f t="shared" si="287"/>
        <v>0.27971999999999997</v>
      </c>
      <c r="BQ184" s="177">
        <f t="shared" si="288"/>
        <v>0.48285</v>
      </c>
      <c r="BR184" s="538"/>
      <c r="BT184" s="469">
        <f t="shared" si="289"/>
        <v>762.56999999999994</v>
      </c>
      <c r="BU184" s="538">
        <f t="shared" si="290"/>
        <v>0.12536587901719326</v>
      </c>
      <c r="BV184" s="538">
        <f t="shared" si="291"/>
        <v>0.34399174120571324</v>
      </c>
      <c r="BW184" s="538">
        <f t="shared" si="292"/>
        <v>0.9271493723537706</v>
      </c>
      <c r="BX184" s="538">
        <f t="shared" si="293"/>
        <v>0</v>
      </c>
      <c r="BY184" s="538">
        <f t="shared" si="274"/>
        <v>1.5721482776219968</v>
      </c>
      <c r="BZ184" s="538">
        <f t="shared" si="250"/>
        <v>1.3965069925766771</v>
      </c>
      <c r="CA184" s="641">
        <f t="shared" si="331"/>
        <v>0.11246172839506172</v>
      </c>
      <c r="CB184" s="469">
        <f t="shared" si="294"/>
        <v>4477.6239911704124</v>
      </c>
      <c r="CC184" s="177">
        <f t="shared" si="251"/>
        <v>2.8781086435969576</v>
      </c>
      <c r="CD184" s="5">
        <f t="shared" si="295"/>
        <v>9.1093999999999991</v>
      </c>
      <c r="CE184" s="177">
        <f t="shared" si="296"/>
        <v>0.75990768981557488</v>
      </c>
      <c r="CF184" s="5">
        <f t="shared" si="297"/>
        <v>75.990768981557494</v>
      </c>
      <c r="CG184">
        <f t="shared" si="298"/>
        <v>74</v>
      </c>
      <c r="CI184" s="571">
        <f t="shared" si="332"/>
        <v>-50</v>
      </c>
      <c r="CJ184">
        <f t="shared" si="333"/>
        <v>-50</v>
      </c>
    </row>
    <row r="185" spans="5:88" x14ac:dyDescent="0.2">
      <c r="E185" s="174">
        <v>75</v>
      </c>
      <c r="F185" s="221">
        <f t="shared" si="334"/>
        <v>0.315</v>
      </c>
      <c r="G185" s="221">
        <f t="shared" si="299"/>
        <v>0.54374999999999996</v>
      </c>
      <c r="H185" s="221">
        <f t="shared" si="300"/>
        <v>4.8825000000000003</v>
      </c>
      <c r="I185" s="221">
        <f t="shared" si="301"/>
        <v>4.3499999999999996</v>
      </c>
      <c r="J185" s="551">
        <f t="shared" si="302"/>
        <v>9</v>
      </c>
      <c r="K185" s="451">
        <f t="shared" si="303"/>
        <v>16.399999999999999</v>
      </c>
      <c r="L185" s="451">
        <f t="shared" si="304"/>
        <v>25.4</v>
      </c>
      <c r="M185" s="451"/>
      <c r="N185" s="221">
        <f t="shared" si="305"/>
        <v>0.64566929133858264</v>
      </c>
      <c r="O185" s="176">
        <f t="shared" si="306"/>
        <v>5.6698549287756563</v>
      </c>
      <c r="P185" s="176">
        <f t="shared" si="307"/>
        <v>9.552037446932033</v>
      </c>
      <c r="Q185" s="221">
        <f t="shared" si="308"/>
        <v>0.36579709217907458</v>
      </c>
      <c r="R185" s="221">
        <f t="shared" si="309"/>
        <v>0.70873186609695704</v>
      </c>
      <c r="S185" s="221">
        <f t="shared" si="310"/>
        <v>15.5</v>
      </c>
      <c r="T185" s="221">
        <f t="shared" si="311"/>
        <v>3.5306458897922317</v>
      </c>
      <c r="U185" s="221">
        <f t="shared" si="312"/>
        <v>3.5306458897922317</v>
      </c>
      <c r="V185" s="221">
        <f t="shared" si="313"/>
        <v>1.9375495736664685</v>
      </c>
      <c r="W185" s="201">
        <f t="shared" si="314"/>
        <v>350</v>
      </c>
      <c r="X185" s="451">
        <f t="shared" si="315"/>
        <v>182.87568662870873</v>
      </c>
      <c r="Z185" s="221">
        <f t="shared" si="316"/>
        <v>1.8447694038245221</v>
      </c>
      <c r="AA185" s="177">
        <f t="shared" si="317"/>
        <v>1.0123734533183355</v>
      </c>
      <c r="AB185" s="177">
        <f t="shared" si="318"/>
        <v>0.17283982577713339</v>
      </c>
      <c r="AC185" s="177"/>
      <c r="AD185" s="177">
        <f t="shared" si="319"/>
        <v>0.45</v>
      </c>
      <c r="AE185" s="555">
        <f t="shared" si="320"/>
        <v>1707.3170731707319</v>
      </c>
      <c r="AF185" s="538">
        <f t="shared" si="321"/>
        <v>6.4574999999999994E-2</v>
      </c>
      <c r="AH185" s="177">
        <f t="shared" si="322"/>
        <v>2.4211370803621928</v>
      </c>
      <c r="AI185" s="177">
        <f t="shared" si="323"/>
        <v>3.5306458897922317</v>
      </c>
      <c r="AJ185" s="177">
        <f t="shared" si="324"/>
        <v>3.2078858442905425</v>
      </c>
      <c r="AL185" s="555">
        <f t="shared" si="325"/>
        <v>315</v>
      </c>
      <c r="AM185" s="469">
        <f t="shared" si="326"/>
        <v>182.87568662870873</v>
      </c>
      <c r="AO185">
        <f t="shared" si="327"/>
        <v>315</v>
      </c>
      <c r="AP185">
        <f t="shared" si="328"/>
        <v>182.87568662870873</v>
      </c>
      <c r="AR185" s="5">
        <f t="shared" si="249"/>
        <v>5.4681954634587004</v>
      </c>
      <c r="AS185" s="5">
        <f t="shared" si="335"/>
        <v>3.5306458897922317</v>
      </c>
      <c r="AT185" s="5">
        <f t="shared" si="336"/>
        <v>1.9375495736664687</v>
      </c>
      <c r="AU185" s="177">
        <f t="shared" si="337"/>
        <v>0.64566929133858264</v>
      </c>
      <c r="AW185" s="5">
        <f t="shared" si="275"/>
        <v>7.1751835824809858</v>
      </c>
      <c r="AX185" s="5"/>
      <c r="AY185" s="5">
        <f t="shared" si="276"/>
        <v>23.997358782181571</v>
      </c>
      <c r="AZ185" s="5"/>
      <c r="BA185" s="5">
        <f t="shared" si="277"/>
        <v>1.946519710581591</v>
      </c>
      <c r="BB185" s="5"/>
      <c r="BC185" s="5"/>
      <c r="BD185" s="177">
        <f t="shared" si="278"/>
        <v>1.63794230485493</v>
      </c>
      <c r="BE185" s="177">
        <f t="shared" si="279"/>
        <v>1.2133830690822445</v>
      </c>
      <c r="BF185" s="177">
        <f t="shared" si="280"/>
        <v>1.9920433133313153</v>
      </c>
      <c r="BG185" s="177"/>
      <c r="BH185" s="538">
        <f t="shared" si="281"/>
        <v>0.29511404934368285</v>
      </c>
      <c r="BI185" s="538">
        <f t="shared" si="282"/>
        <v>8.2000000000000003E-2</v>
      </c>
      <c r="BJ185" s="538">
        <f t="shared" si="283"/>
        <v>9.1437843314354349E-3</v>
      </c>
      <c r="BK185" s="538">
        <f t="shared" si="284"/>
        <v>2.6546417546709986E-2</v>
      </c>
      <c r="BL185">
        <f t="shared" si="285"/>
        <v>2.6099999999999999E-3</v>
      </c>
      <c r="BM185">
        <f t="shared" si="329"/>
        <v>7.3150274651483496E-6</v>
      </c>
      <c r="BN185">
        <f t="shared" si="330"/>
        <v>0.43934316084037528</v>
      </c>
      <c r="BO185" s="469">
        <f t="shared" si="286"/>
        <v>415.41425122182829</v>
      </c>
      <c r="BP185" s="177">
        <f t="shared" si="287"/>
        <v>0.28350000000000003</v>
      </c>
      <c r="BQ185" s="177">
        <f t="shared" si="288"/>
        <v>0.48937499999999995</v>
      </c>
      <c r="BR185" s="538"/>
      <c r="BT185" s="469">
        <f t="shared" si="289"/>
        <v>772.875</v>
      </c>
      <c r="BU185" s="538">
        <f t="shared" si="290"/>
        <v>0.12877703971360704</v>
      </c>
      <c r="BV185" s="538">
        <f t="shared" si="291"/>
        <v>0.35335163336050723</v>
      </c>
      <c r="BW185" s="538">
        <f t="shared" si="292"/>
        <v>0.95237677492512118</v>
      </c>
      <c r="BX185" s="538">
        <f t="shared" si="293"/>
        <v>0</v>
      </c>
      <c r="BY185" s="538">
        <f t="shared" si="274"/>
        <v>1.6204714588873264</v>
      </c>
      <c r="BZ185" s="538">
        <f t="shared" si="250"/>
        <v>1.4345054479992354</v>
      </c>
      <c r="CA185" s="641">
        <f t="shared" si="331"/>
        <v>0.1139814814814815</v>
      </c>
      <c r="CB185" s="469">
        <f t="shared" si="294"/>
        <v>4603.4638363672784</v>
      </c>
      <c r="CC185" s="177">
        <f t="shared" si="251"/>
        <v>2.9466711012091831</v>
      </c>
      <c r="CD185" s="5">
        <f t="shared" si="295"/>
        <v>9.2324999999999999</v>
      </c>
      <c r="CE185" s="177">
        <f t="shared" si="296"/>
        <v>0.75805651495308823</v>
      </c>
      <c r="CF185" s="5">
        <f t="shared" si="297"/>
        <v>75.805651495308823</v>
      </c>
      <c r="CG185">
        <f t="shared" si="298"/>
        <v>75</v>
      </c>
      <c r="CI185" s="571">
        <f t="shared" si="332"/>
        <v>-50</v>
      </c>
      <c r="CJ185">
        <f t="shared" si="333"/>
        <v>-50</v>
      </c>
    </row>
    <row r="186" spans="5:88" x14ac:dyDescent="0.2">
      <c r="E186" s="174">
        <v>76</v>
      </c>
      <c r="F186" s="221">
        <f t="shared" si="334"/>
        <v>0.31919999999999998</v>
      </c>
      <c r="G186" s="221">
        <f t="shared" si="299"/>
        <v>0.55099999999999993</v>
      </c>
      <c r="H186" s="221">
        <f t="shared" si="300"/>
        <v>4.9475999999999996</v>
      </c>
      <c r="I186" s="221">
        <f t="shared" si="301"/>
        <v>4.4079999999999995</v>
      </c>
      <c r="J186" s="551">
        <f t="shared" si="302"/>
        <v>9</v>
      </c>
      <c r="K186" s="451">
        <f t="shared" si="303"/>
        <v>16.399999999999999</v>
      </c>
      <c r="L186" s="451">
        <f t="shared" si="304"/>
        <v>25.4</v>
      </c>
      <c r="M186" s="451"/>
      <c r="N186" s="221">
        <f t="shared" si="305"/>
        <v>0.64566929133858264</v>
      </c>
      <c r="O186" s="176">
        <f t="shared" si="306"/>
        <v>5.6698549287756563</v>
      </c>
      <c r="P186" s="176">
        <f t="shared" si="307"/>
        <v>9.552037446932033</v>
      </c>
      <c r="Q186" s="221">
        <f t="shared" si="308"/>
        <v>0.36579709217907458</v>
      </c>
      <c r="R186" s="221">
        <f t="shared" si="309"/>
        <v>0.70873186609695704</v>
      </c>
      <c r="S186" s="221">
        <f t="shared" si="310"/>
        <v>15.5</v>
      </c>
      <c r="T186" s="221">
        <f t="shared" si="311"/>
        <v>3.5777211683227943</v>
      </c>
      <c r="U186" s="221">
        <f t="shared" si="312"/>
        <v>3.5777211683227943</v>
      </c>
      <c r="V186" s="221">
        <f t="shared" si="313"/>
        <v>1.9633835679820215</v>
      </c>
      <c r="W186" s="201">
        <f t="shared" si="314"/>
        <v>350</v>
      </c>
      <c r="X186" s="451">
        <f t="shared" si="315"/>
        <v>180.46942759412048</v>
      </c>
      <c r="Z186" s="221">
        <f t="shared" si="316"/>
        <v>1.8447694038245221</v>
      </c>
      <c r="AA186" s="177">
        <f t="shared" si="317"/>
        <v>1.0123734533183355</v>
      </c>
      <c r="AB186" s="177">
        <f t="shared" si="318"/>
        <v>0.17283982577713339</v>
      </c>
      <c r="AC186" s="177"/>
      <c r="AD186" s="177">
        <f t="shared" si="319"/>
        <v>0.45</v>
      </c>
      <c r="AE186" s="555">
        <f t="shared" si="320"/>
        <v>1730.0813008130081</v>
      </c>
      <c r="AF186" s="538">
        <f t="shared" si="321"/>
        <v>6.4574999999999994E-2</v>
      </c>
      <c r="AH186" s="177">
        <f t="shared" si="322"/>
        <v>2.4372245469105818</v>
      </c>
      <c r="AI186" s="177">
        <f t="shared" si="323"/>
        <v>3.5777211683227943</v>
      </c>
      <c r="AJ186" s="177">
        <f t="shared" si="324"/>
        <v>3.2427564209798474</v>
      </c>
      <c r="AL186" s="555">
        <f t="shared" si="325"/>
        <v>319.2</v>
      </c>
      <c r="AM186" s="469">
        <f t="shared" si="326"/>
        <v>180.46942759412048</v>
      </c>
      <c r="AO186">
        <f t="shared" si="327"/>
        <v>319.2</v>
      </c>
      <c r="AP186">
        <f t="shared" si="328"/>
        <v>180.46942759412048</v>
      </c>
      <c r="AR186" s="5">
        <f t="shared" si="249"/>
        <v>5.5411047363048151</v>
      </c>
      <c r="AS186" s="5">
        <f t="shared" si="335"/>
        <v>3.5777211683227943</v>
      </c>
      <c r="AT186" s="5">
        <f t="shared" si="336"/>
        <v>1.9633835679820208</v>
      </c>
      <c r="AU186" s="177">
        <f t="shared" si="337"/>
        <v>0.64566929133858275</v>
      </c>
      <c r="AW186" s="5">
        <f t="shared" si="275"/>
        <v>7.3677973995395867</v>
      </c>
      <c r="AX186" s="5"/>
      <c r="AY186" s="5">
        <f t="shared" si="276"/>
        <v>24.641554546823244</v>
      </c>
      <c r="AZ186" s="5"/>
      <c r="BA186" s="5">
        <f t="shared" si="277"/>
        <v>1.9987729508123135</v>
      </c>
      <c r="BB186" s="5"/>
      <c r="BC186" s="5"/>
      <c r="BD186" s="177">
        <f t="shared" si="278"/>
        <v>1.659781535586329</v>
      </c>
      <c r="BE186" s="177">
        <f t="shared" si="279"/>
        <v>1.2295615100033406</v>
      </c>
      <c r="BF186" s="177">
        <f t="shared" si="280"/>
        <v>2.0186038908423987</v>
      </c>
      <c r="BG186" s="177"/>
      <c r="BH186" s="538">
        <f t="shared" si="281"/>
        <v>0.3030362220460644</v>
      </c>
      <c r="BI186" s="538">
        <f t="shared" si="282"/>
        <v>8.199999999999999E-2</v>
      </c>
      <c r="BJ186" s="538">
        <f t="shared" si="283"/>
        <v>9.0234713797060235E-3</v>
      </c>
      <c r="BK186" s="538">
        <f t="shared" si="284"/>
        <v>2.619712257899012E-2</v>
      </c>
      <c r="BL186">
        <f t="shared" si="285"/>
        <v>2.6099999999999999E-3</v>
      </c>
      <c r="BM186">
        <f t="shared" si="329"/>
        <v>7.218777103764819E-6</v>
      </c>
      <c r="BN186">
        <f t="shared" si="330"/>
        <v>0.44791716545683968</v>
      </c>
      <c r="BO186" s="469">
        <f t="shared" si="286"/>
        <v>422.86681600476049</v>
      </c>
      <c r="BP186" s="177">
        <f t="shared" si="287"/>
        <v>0.28727999999999998</v>
      </c>
      <c r="BQ186" s="177">
        <f t="shared" si="288"/>
        <v>0.49589999999999995</v>
      </c>
      <c r="BR186" s="538"/>
      <c r="BT186" s="469">
        <f t="shared" si="289"/>
        <v>783.18</v>
      </c>
      <c r="BU186" s="538">
        <f t="shared" si="290"/>
        <v>0.132233987801919</v>
      </c>
      <c r="BV186" s="538">
        <f t="shared" si="291"/>
        <v>0.36283716165160679</v>
      </c>
      <c r="BW186" s="538">
        <f t="shared" si="292"/>
        <v>0.97794280034977688</v>
      </c>
      <c r="BX186" s="538">
        <f t="shared" si="293"/>
        <v>0</v>
      </c>
      <c r="BY186" s="538">
        <f t="shared" si="274"/>
        <v>1.6697830475819673</v>
      </c>
      <c r="BZ186" s="538">
        <f t="shared" si="250"/>
        <v>1.4730139498033026</v>
      </c>
      <c r="CA186" s="641">
        <f t="shared" si="331"/>
        <v>0.11550123456790122</v>
      </c>
      <c r="CB186" s="469">
        <f t="shared" si="294"/>
        <v>4731.3121817564743</v>
      </c>
      <c r="CC186" s="177">
        <f t="shared" si="251"/>
        <v>3.0163814476067081</v>
      </c>
      <c r="CD186" s="5">
        <f t="shared" si="295"/>
        <v>9.355599999999999</v>
      </c>
      <c r="CE186" s="177">
        <f t="shared" si="296"/>
        <v>0.75619253388144947</v>
      </c>
      <c r="CF186" s="5">
        <f t="shared" si="297"/>
        <v>75.619253388144941</v>
      </c>
      <c r="CG186">
        <f t="shared" si="298"/>
        <v>76</v>
      </c>
      <c r="CI186" s="571">
        <f t="shared" si="332"/>
        <v>-50</v>
      </c>
      <c r="CJ186">
        <f t="shared" si="333"/>
        <v>-50</v>
      </c>
    </row>
    <row r="187" spans="5:88" x14ac:dyDescent="0.2">
      <c r="E187" s="174">
        <v>77</v>
      </c>
      <c r="F187" s="221">
        <f t="shared" si="334"/>
        <v>0.32340000000000002</v>
      </c>
      <c r="G187" s="221">
        <f t="shared" si="299"/>
        <v>0.55825000000000002</v>
      </c>
      <c r="H187" s="221">
        <f t="shared" si="300"/>
        <v>5.0127000000000006</v>
      </c>
      <c r="I187" s="221">
        <f t="shared" si="301"/>
        <v>4.4660000000000002</v>
      </c>
      <c r="J187" s="551">
        <f t="shared" si="302"/>
        <v>9</v>
      </c>
      <c r="K187" s="451">
        <f t="shared" si="303"/>
        <v>16.399999999999999</v>
      </c>
      <c r="L187" s="451">
        <f t="shared" si="304"/>
        <v>25.4</v>
      </c>
      <c r="M187" s="451"/>
      <c r="N187" s="221">
        <f t="shared" si="305"/>
        <v>0.64566929133858264</v>
      </c>
      <c r="O187" s="176">
        <f t="shared" si="306"/>
        <v>5.6698549287756563</v>
      </c>
      <c r="P187" s="176">
        <f t="shared" si="307"/>
        <v>9.552037446932033</v>
      </c>
      <c r="Q187" s="221">
        <f t="shared" si="308"/>
        <v>0.36579709217907458</v>
      </c>
      <c r="R187" s="221">
        <f t="shared" si="309"/>
        <v>0.70873186609695704</v>
      </c>
      <c r="S187" s="221">
        <f t="shared" si="310"/>
        <v>15.5</v>
      </c>
      <c r="T187" s="221">
        <f t="shared" si="311"/>
        <v>3.6247964468533578</v>
      </c>
      <c r="U187" s="221">
        <f t="shared" si="312"/>
        <v>3.6247964468533582</v>
      </c>
      <c r="V187" s="221">
        <f t="shared" si="313"/>
        <v>1.989217562297575</v>
      </c>
      <c r="W187" s="201">
        <f t="shared" si="314"/>
        <v>350</v>
      </c>
      <c r="X187" s="451">
        <f t="shared" si="315"/>
        <v>178.12566879419677</v>
      </c>
      <c r="Z187" s="221">
        <f t="shared" si="316"/>
        <v>1.8447694038245221</v>
      </c>
      <c r="AA187" s="177">
        <f t="shared" si="317"/>
        <v>1.0123734533183355</v>
      </c>
      <c r="AB187" s="177">
        <f t="shared" si="318"/>
        <v>0.17283982577713339</v>
      </c>
      <c r="AC187" s="177"/>
      <c r="AD187" s="177">
        <f t="shared" si="319"/>
        <v>0.45</v>
      </c>
      <c r="AE187" s="555">
        <f t="shared" si="320"/>
        <v>1752.8455284552847</v>
      </c>
      <c r="AF187" s="538">
        <f t="shared" si="321"/>
        <v>6.4574999999999994E-2</v>
      </c>
      <c r="AH187" s="177">
        <f t="shared" si="322"/>
        <v>2.4532065184615468</v>
      </c>
      <c r="AI187" s="177">
        <f t="shared" si="323"/>
        <v>3.6247964468533578</v>
      </c>
      <c r="AJ187" s="177">
        <f t="shared" si="324"/>
        <v>3.2776269976691541</v>
      </c>
      <c r="AL187" s="555">
        <f t="shared" si="325"/>
        <v>323.40000000000003</v>
      </c>
      <c r="AM187" s="469">
        <f t="shared" si="326"/>
        <v>178.12566879419677</v>
      </c>
      <c r="AO187">
        <f t="shared" si="327"/>
        <v>323.40000000000003</v>
      </c>
      <c r="AP187">
        <f t="shared" si="328"/>
        <v>178.12566879419677</v>
      </c>
      <c r="AR187" s="5">
        <f t="shared" si="249"/>
        <v>5.6140140091509343</v>
      </c>
      <c r="AS187" s="5">
        <f t="shared" si="335"/>
        <v>3.6247964468533582</v>
      </c>
      <c r="AT187" s="5">
        <f t="shared" si="336"/>
        <v>1.9892175622975761</v>
      </c>
      <c r="AU187" s="177">
        <f t="shared" si="337"/>
        <v>0.64566929133858253</v>
      </c>
      <c r="AW187" s="5">
        <f t="shared" si="275"/>
        <v>7.5629623929830725</v>
      </c>
      <c r="AX187" s="5"/>
      <c r="AY187" s="5">
        <f t="shared" si="276"/>
        <v>25.294282705698592</v>
      </c>
      <c r="AZ187" s="5"/>
      <c r="BA187" s="5">
        <f t="shared" si="277"/>
        <v>2.0517182869401358</v>
      </c>
      <c r="BB187" s="5"/>
      <c r="BC187" s="5"/>
      <c r="BD187" s="177">
        <f t="shared" si="278"/>
        <v>1.6816207663177278</v>
      </c>
      <c r="BE187" s="177">
        <f t="shared" si="279"/>
        <v>1.2457399509244378</v>
      </c>
      <c r="BF187" s="177">
        <f t="shared" si="280"/>
        <v>2.0451644683534838</v>
      </c>
      <c r="BG187" s="177"/>
      <c r="BH187" s="538">
        <f t="shared" si="281"/>
        <v>0.31106332418821242</v>
      </c>
      <c r="BI187" s="538">
        <f t="shared" si="282"/>
        <v>8.199999999999999E-2</v>
      </c>
      <c r="BJ187" s="538">
        <f t="shared" si="283"/>
        <v>8.9062834397098372E-3</v>
      </c>
      <c r="BK187" s="538">
        <f t="shared" si="284"/>
        <v>2.5856900207834394E-2</v>
      </c>
      <c r="BL187">
        <f t="shared" si="285"/>
        <v>2.6099999999999999E-3</v>
      </c>
      <c r="BM187">
        <f t="shared" si="329"/>
        <v>7.1250267517678706E-6</v>
      </c>
      <c r="BN187">
        <f t="shared" si="330"/>
        <v>0.45665139689152179</v>
      </c>
      <c r="BO187" s="469">
        <f t="shared" si="286"/>
        <v>430.43650783575663</v>
      </c>
      <c r="BP187" s="177">
        <f t="shared" si="287"/>
        <v>0.29106000000000004</v>
      </c>
      <c r="BQ187" s="177">
        <f t="shared" si="288"/>
        <v>0.50242500000000001</v>
      </c>
      <c r="BR187" s="538"/>
      <c r="BT187" s="469">
        <f t="shared" si="289"/>
        <v>793.48500000000001</v>
      </c>
      <c r="BU187" s="538">
        <f t="shared" si="290"/>
        <v>0.13573672328212907</v>
      </c>
      <c r="BV187" s="538">
        <f t="shared" si="291"/>
        <v>0.37244832607901296</v>
      </c>
      <c r="BW187" s="538">
        <f t="shared" si="292"/>
        <v>1.0038474486277411</v>
      </c>
      <c r="BX187" s="538">
        <f t="shared" si="293"/>
        <v>0</v>
      </c>
      <c r="BY187" s="538">
        <f t="shared" si="274"/>
        <v>1.7201003025720376</v>
      </c>
      <c r="BZ187" s="538">
        <f t="shared" si="250"/>
        <v>1.5120324979888831</v>
      </c>
      <c r="CA187" s="641">
        <f t="shared" si="331"/>
        <v>0.11702098765432098</v>
      </c>
      <c r="CB187" s="469">
        <f t="shared" si="294"/>
        <v>4861.1862862041253</v>
      </c>
      <c r="CC187" s="177">
        <f t="shared" si="251"/>
        <v>3.0872576871178805</v>
      </c>
      <c r="CD187" s="5">
        <f t="shared" si="295"/>
        <v>9.4786999999999999</v>
      </c>
      <c r="CE187" s="177">
        <f t="shared" si="296"/>
        <v>0.75431576613672557</v>
      </c>
      <c r="CF187" s="5">
        <f t="shared" si="297"/>
        <v>75.431576613672561</v>
      </c>
      <c r="CG187">
        <f t="shared" si="298"/>
        <v>77.000000000000014</v>
      </c>
      <c r="CI187" s="571">
        <f t="shared" si="332"/>
        <v>-50</v>
      </c>
      <c r="CJ187">
        <f t="shared" si="333"/>
        <v>-50</v>
      </c>
    </row>
    <row r="188" spans="5:88" x14ac:dyDescent="0.2">
      <c r="E188" s="174">
        <v>78</v>
      </c>
      <c r="F188" s="221">
        <f t="shared" si="334"/>
        <v>0.3276</v>
      </c>
      <c r="G188" s="221">
        <f t="shared" si="299"/>
        <v>0.5655</v>
      </c>
      <c r="H188" s="221">
        <f t="shared" si="300"/>
        <v>5.0777999999999999</v>
      </c>
      <c r="I188" s="221">
        <f t="shared" si="301"/>
        <v>4.524</v>
      </c>
      <c r="J188" s="551">
        <f t="shared" si="302"/>
        <v>9</v>
      </c>
      <c r="K188" s="451">
        <f t="shared" si="303"/>
        <v>16.399999999999999</v>
      </c>
      <c r="L188" s="451">
        <f t="shared" si="304"/>
        <v>25.4</v>
      </c>
      <c r="M188" s="451"/>
      <c r="N188" s="221">
        <f t="shared" si="305"/>
        <v>0.64566929133858264</v>
      </c>
      <c r="O188" s="176">
        <f t="shared" si="306"/>
        <v>5.6698549287756563</v>
      </c>
      <c r="P188" s="176">
        <f t="shared" si="307"/>
        <v>9.552037446932033</v>
      </c>
      <c r="Q188" s="221">
        <f t="shared" si="308"/>
        <v>0.36579709217907458</v>
      </c>
      <c r="R188" s="221">
        <f t="shared" si="309"/>
        <v>0.70873186609695704</v>
      </c>
      <c r="S188" s="221">
        <f t="shared" si="310"/>
        <v>15.5</v>
      </c>
      <c r="T188" s="221">
        <f t="shared" si="311"/>
        <v>3.6718717253839213</v>
      </c>
      <c r="U188" s="221">
        <f t="shared" si="312"/>
        <v>3.6718717253839213</v>
      </c>
      <c r="V188" s="221">
        <f t="shared" si="313"/>
        <v>2.0150515566131277</v>
      </c>
      <c r="W188" s="201">
        <f t="shared" si="314"/>
        <v>350</v>
      </c>
      <c r="X188" s="451">
        <f t="shared" si="315"/>
        <v>175.84200637375838</v>
      </c>
      <c r="Z188" s="221">
        <f t="shared" si="316"/>
        <v>1.8447694038245221</v>
      </c>
      <c r="AA188" s="177">
        <f t="shared" si="317"/>
        <v>1.0123734533183355</v>
      </c>
      <c r="AB188" s="177">
        <f t="shared" si="318"/>
        <v>0.17283982577713339</v>
      </c>
      <c r="AC188" s="177"/>
      <c r="AD188" s="177">
        <f t="shared" si="319"/>
        <v>0.45</v>
      </c>
      <c r="AE188" s="555">
        <f t="shared" si="320"/>
        <v>1775.6097560975609</v>
      </c>
      <c r="AF188" s="538">
        <f t="shared" si="321"/>
        <v>6.4574999999999994E-2</v>
      </c>
      <c r="AH188" s="177">
        <f t="shared" si="322"/>
        <v>2.4690850435699763</v>
      </c>
      <c r="AI188" s="177">
        <f t="shared" si="323"/>
        <v>3.6718717253839213</v>
      </c>
      <c r="AJ188" s="177">
        <f t="shared" si="324"/>
        <v>3.3124975743584599</v>
      </c>
      <c r="AL188" s="555">
        <f t="shared" si="325"/>
        <v>327.60000000000002</v>
      </c>
      <c r="AM188" s="469">
        <f t="shared" si="326"/>
        <v>175.84200637375838</v>
      </c>
      <c r="AO188">
        <f t="shared" si="327"/>
        <v>327.60000000000002</v>
      </c>
      <c r="AP188">
        <f t="shared" si="328"/>
        <v>175.84200637375838</v>
      </c>
      <c r="AR188" s="5">
        <f t="shared" si="249"/>
        <v>5.686923281997049</v>
      </c>
      <c r="AS188" s="5">
        <f t="shared" si="335"/>
        <v>3.6718717253839213</v>
      </c>
      <c r="AT188" s="5">
        <f t="shared" si="336"/>
        <v>2.0150515566131277</v>
      </c>
      <c r="AU188" s="177">
        <f t="shared" si="337"/>
        <v>0.64566929133858264</v>
      </c>
      <c r="AW188" s="5">
        <f t="shared" si="275"/>
        <v>7.7606785628114361</v>
      </c>
      <c r="AX188" s="5"/>
      <c r="AY188" s="5">
        <f t="shared" si="276"/>
        <v>25.955543258807594</v>
      </c>
      <c r="AZ188" s="5"/>
      <c r="BA188" s="5">
        <f t="shared" si="277"/>
        <v>2.1053557189650487</v>
      </c>
      <c r="BB188" s="5"/>
      <c r="BC188" s="5"/>
      <c r="BD188" s="177">
        <f t="shared" si="278"/>
        <v>1.7034599970491273</v>
      </c>
      <c r="BE188" s="177">
        <f t="shared" si="279"/>
        <v>1.2619183918455343</v>
      </c>
      <c r="BF188" s="177">
        <f t="shared" si="280"/>
        <v>2.071725045864568</v>
      </c>
      <c r="BG188" s="177"/>
      <c r="BH188" s="538">
        <f t="shared" si="281"/>
        <v>0.31919535577012742</v>
      </c>
      <c r="BI188" s="538">
        <f t="shared" si="282"/>
        <v>8.2000000000000003E-2</v>
      </c>
      <c r="BJ188" s="538">
        <f t="shared" si="283"/>
        <v>8.7921003186879187E-3</v>
      </c>
      <c r="BK188" s="538">
        <f t="shared" si="284"/>
        <v>2.5525401487221138E-2</v>
      </c>
      <c r="BL188">
        <f t="shared" si="285"/>
        <v>2.6099999999999999E-3</v>
      </c>
      <c r="BM188">
        <f t="shared" si="329"/>
        <v>7.0336802549503352E-6</v>
      </c>
      <c r="BN188">
        <f t="shared" si="330"/>
        <v>0.46554665199579265</v>
      </c>
      <c r="BO188" s="469">
        <f t="shared" si="286"/>
        <v>438.12285757603655</v>
      </c>
      <c r="BP188" s="177">
        <f t="shared" si="287"/>
        <v>0.29483999999999999</v>
      </c>
      <c r="BQ188" s="177">
        <f t="shared" si="288"/>
        <v>0.50895000000000001</v>
      </c>
      <c r="BR188" s="538"/>
      <c r="BT188" s="469">
        <f t="shared" si="289"/>
        <v>803.79</v>
      </c>
      <c r="BU188" s="538">
        <f t="shared" si="290"/>
        <v>0.1392852461542374</v>
      </c>
      <c r="BV188" s="538">
        <f t="shared" si="291"/>
        <v>0.38218512664272464</v>
      </c>
      <c r="BW188" s="538">
        <f t="shared" si="292"/>
        <v>1.030090719759011</v>
      </c>
      <c r="BX188" s="538">
        <f t="shared" si="293"/>
        <v>0</v>
      </c>
      <c r="BY188" s="538">
        <f t="shared" si="274"/>
        <v>1.7714410082484917</v>
      </c>
      <c r="BZ188" s="538">
        <f t="shared" si="250"/>
        <v>1.5515610925559731</v>
      </c>
      <c r="CA188" s="641">
        <f t="shared" si="331"/>
        <v>0.11854074074074077</v>
      </c>
      <c r="CB188" s="469">
        <f t="shared" si="294"/>
        <v>4993.1039341011792</v>
      </c>
      <c r="CC188" s="177">
        <f t="shared" si="251"/>
        <v>3.159318400985025</v>
      </c>
      <c r="CD188" s="5">
        <f t="shared" si="295"/>
        <v>9.6018000000000008</v>
      </c>
      <c r="CE188" s="177">
        <f t="shared" si="296"/>
        <v>0.75242621361924211</v>
      </c>
      <c r="CF188" s="5">
        <f t="shared" si="297"/>
        <v>75.242621361924208</v>
      </c>
      <c r="CG188">
        <f t="shared" si="298"/>
        <v>78</v>
      </c>
      <c r="CI188" s="571">
        <f t="shared" si="332"/>
        <v>-50</v>
      </c>
      <c r="CJ188">
        <f t="shared" si="333"/>
        <v>-50</v>
      </c>
    </row>
    <row r="189" spans="5:88" x14ac:dyDescent="0.2">
      <c r="E189" s="174">
        <v>79</v>
      </c>
      <c r="F189" s="221">
        <f t="shared" si="334"/>
        <v>0.33179999999999998</v>
      </c>
      <c r="G189" s="221">
        <f t="shared" si="299"/>
        <v>0.57274999999999998</v>
      </c>
      <c r="H189" s="221">
        <f t="shared" si="300"/>
        <v>5.1429</v>
      </c>
      <c r="I189" s="221">
        <f t="shared" si="301"/>
        <v>4.5819999999999999</v>
      </c>
      <c r="J189" s="551">
        <f t="shared" si="302"/>
        <v>9</v>
      </c>
      <c r="K189" s="451">
        <f t="shared" si="303"/>
        <v>16.399999999999999</v>
      </c>
      <c r="L189" s="451">
        <f t="shared" si="304"/>
        <v>25.4</v>
      </c>
      <c r="M189" s="451"/>
      <c r="N189" s="221">
        <f t="shared" si="305"/>
        <v>0.64566929133858264</v>
      </c>
      <c r="O189" s="176">
        <f t="shared" si="306"/>
        <v>5.6698549287756563</v>
      </c>
      <c r="P189" s="176">
        <f t="shared" si="307"/>
        <v>9.552037446932033</v>
      </c>
      <c r="Q189" s="221">
        <f t="shared" si="308"/>
        <v>0.36579709217907458</v>
      </c>
      <c r="R189" s="221">
        <f t="shared" si="309"/>
        <v>0.70873186609695704</v>
      </c>
      <c r="S189" s="221">
        <f t="shared" si="310"/>
        <v>15.5</v>
      </c>
      <c r="T189" s="221">
        <f t="shared" si="311"/>
        <v>3.7189470039144839</v>
      </c>
      <c r="U189" s="221">
        <f t="shared" si="312"/>
        <v>3.7189470039144843</v>
      </c>
      <c r="V189" s="221">
        <f t="shared" si="313"/>
        <v>2.0408855509286807</v>
      </c>
      <c r="W189" s="201">
        <f t="shared" si="314"/>
        <v>350</v>
      </c>
      <c r="X189" s="451">
        <f t="shared" si="315"/>
        <v>173.61615819181208</v>
      </c>
      <c r="Z189" s="221">
        <f t="shared" si="316"/>
        <v>1.8447694038245221</v>
      </c>
      <c r="AA189" s="177">
        <f t="shared" si="317"/>
        <v>1.0123734533183355</v>
      </c>
      <c r="AB189" s="177">
        <f t="shared" si="318"/>
        <v>0.17283982577713339</v>
      </c>
      <c r="AC189" s="177"/>
      <c r="AD189" s="177">
        <f t="shared" si="319"/>
        <v>0.45</v>
      </c>
      <c r="AE189" s="555">
        <f t="shared" si="320"/>
        <v>1798.3739837398373</v>
      </c>
      <c r="AF189" s="538">
        <f t="shared" si="321"/>
        <v>6.4574999999999994E-2</v>
      </c>
      <c r="AH189" s="177">
        <f t="shared" si="322"/>
        <v>2.4848621053369708</v>
      </c>
      <c r="AI189" s="177">
        <f t="shared" si="323"/>
        <v>3.7189470039144839</v>
      </c>
      <c r="AJ189" s="177">
        <f t="shared" si="324"/>
        <v>3.3473681510477657</v>
      </c>
      <c r="AL189" s="555">
        <f t="shared" si="325"/>
        <v>331.8</v>
      </c>
      <c r="AM189" s="469">
        <f t="shared" si="326"/>
        <v>173.61615819181208</v>
      </c>
      <c r="AO189">
        <f t="shared" si="327"/>
        <v>331.8</v>
      </c>
      <c r="AP189">
        <f t="shared" si="328"/>
        <v>173.61615819181208</v>
      </c>
      <c r="AR189" s="5">
        <f t="shared" si="249"/>
        <v>5.7598325548431646</v>
      </c>
      <c r="AS189" s="5">
        <f t="shared" si="335"/>
        <v>3.7189470039144843</v>
      </c>
      <c r="AT189" s="5">
        <f t="shared" si="336"/>
        <v>2.0408855509286803</v>
      </c>
      <c r="AU189" s="177">
        <f t="shared" si="337"/>
        <v>0.64566929133858264</v>
      </c>
      <c r="AW189" s="5">
        <f t="shared" si="275"/>
        <v>7.9609459090246846</v>
      </c>
      <c r="AX189" s="5"/>
      <c r="AY189" s="5">
        <f t="shared" si="276"/>
        <v>26.625336206150255</v>
      </c>
      <c r="AZ189" s="5"/>
      <c r="BA189" s="5">
        <f t="shared" si="277"/>
        <v>2.1596852468870589</v>
      </c>
      <c r="BB189" s="5"/>
      <c r="BC189" s="5"/>
      <c r="BD189" s="177">
        <f t="shared" si="278"/>
        <v>1.7252992277805261</v>
      </c>
      <c r="BE189" s="177">
        <f t="shared" si="279"/>
        <v>1.2780968327666307</v>
      </c>
      <c r="BF189" s="177">
        <f t="shared" si="280"/>
        <v>2.0982856233756517</v>
      </c>
      <c r="BG189" s="177"/>
      <c r="BH189" s="538">
        <f t="shared" si="281"/>
        <v>0.32743231679180879</v>
      </c>
      <c r="BI189" s="538">
        <f t="shared" si="282"/>
        <v>8.199999999999999E-2</v>
      </c>
      <c r="BJ189" s="538">
        <f t="shared" si="283"/>
        <v>8.6808079095906029E-3</v>
      </c>
      <c r="BK189" s="538">
        <f t="shared" si="284"/>
        <v>2.5202295139281631E-2</v>
      </c>
      <c r="BL189">
        <f t="shared" si="285"/>
        <v>2.6099999999999999E-3</v>
      </c>
      <c r="BM189">
        <f t="shared" si="329"/>
        <v>6.9446463276724836E-6</v>
      </c>
      <c r="BN189">
        <f t="shared" si="330"/>
        <v>0.47460377787081698</v>
      </c>
      <c r="BO189" s="469">
        <f t="shared" si="286"/>
        <v>445.925419840681</v>
      </c>
      <c r="BP189" s="177">
        <f t="shared" si="287"/>
        <v>0.29862</v>
      </c>
      <c r="BQ189" s="177">
        <f t="shared" si="288"/>
        <v>0.51547500000000002</v>
      </c>
      <c r="BR189" s="538"/>
      <c r="BT189" s="469">
        <f t="shared" si="289"/>
        <v>814.09500000000003</v>
      </c>
      <c r="BU189" s="538">
        <f t="shared" si="290"/>
        <v>0.14287955641824385</v>
      </c>
      <c r="BV189" s="538">
        <f t="shared" si="291"/>
        <v>0.39204756334274221</v>
      </c>
      <c r="BW189" s="538">
        <f t="shared" si="292"/>
        <v>1.0566726137435873</v>
      </c>
      <c r="BX189" s="538">
        <f t="shared" si="293"/>
        <v>0</v>
      </c>
      <c r="BY189" s="538">
        <f t="shared" si="274"/>
        <v>1.8238234922414422</v>
      </c>
      <c r="BZ189" s="538">
        <f t="shared" si="250"/>
        <v>1.5915997335045735</v>
      </c>
      <c r="CA189" s="641">
        <f t="shared" si="331"/>
        <v>0.12006049382716051</v>
      </c>
      <c r="CB189" s="469">
        <f t="shared" si="294"/>
        <v>5127.0834530777493</v>
      </c>
      <c r="CC189" s="177">
        <f t="shared" si="251"/>
        <v>3.2325827639394196</v>
      </c>
      <c r="CD189" s="5">
        <f t="shared" si="295"/>
        <v>9.7248999999999999</v>
      </c>
      <c r="CE189" s="177">
        <f t="shared" si="296"/>
        <v>0.75052386155313489</v>
      </c>
      <c r="CF189" s="5">
        <f t="shared" si="297"/>
        <v>75.052386155313485</v>
      </c>
      <c r="CG189">
        <f t="shared" si="298"/>
        <v>79</v>
      </c>
      <c r="CI189" s="571">
        <f t="shared" si="332"/>
        <v>-50</v>
      </c>
      <c r="CJ189">
        <f t="shared" si="333"/>
        <v>-50</v>
      </c>
    </row>
    <row r="190" spans="5:88" x14ac:dyDescent="0.2">
      <c r="E190" s="174">
        <v>80</v>
      </c>
      <c r="F190" s="221">
        <f t="shared" si="334"/>
        <v>0.33600000000000002</v>
      </c>
      <c r="G190" s="221">
        <f t="shared" si="299"/>
        <v>0.57999999999999996</v>
      </c>
      <c r="H190" s="221">
        <f t="shared" si="300"/>
        <v>5.2080000000000002</v>
      </c>
      <c r="I190" s="221">
        <f t="shared" si="301"/>
        <v>4.6399999999999997</v>
      </c>
      <c r="J190" s="551">
        <f t="shared" si="302"/>
        <v>9</v>
      </c>
      <c r="K190" s="451">
        <f t="shared" si="303"/>
        <v>16.399999999999999</v>
      </c>
      <c r="L190" s="451">
        <f t="shared" si="304"/>
        <v>25.4</v>
      </c>
      <c r="M190" s="451"/>
      <c r="N190" s="221">
        <f t="shared" si="305"/>
        <v>0.64566929133858264</v>
      </c>
      <c r="O190" s="176">
        <f t="shared" si="306"/>
        <v>5.6698549287756563</v>
      </c>
      <c r="P190" s="176">
        <f t="shared" si="307"/>
        <v>9.552037446932033</v>
      </c>
      <c r="Q190" s="221">
        <f t="shared" si="308"/>
        <v>0.36579709217907458</v>
      </c>
      <c r="R190" s="221">
        <f t="shared" si="309"/>
        <v>0.70873186609695704</v>
      </c>
      <c r="S190" s="221">
        <f t="shared" si="310"/>
        <v>15.5</v>
      </c>
      <c r="T190" s="221">
        <f t="shared" si="311"/>
        <v>3.7660222824450469</v>
      </c>
      <c r="U190" s="221">
        <f t="shared" si="312"/>
        <v>3.7660222824450469</v>
      </c>
      <c r="V190" s="221">
        <f t="shared" si="313"/>
        <v>2.0667195452442333</v>
      </c>
      <c r="W190" s="201">
        <f t="shared" si="314"/>
        <v>350</v>
      </c>
      <c r="X190" s="451">
        <f t="shared" si="315"/>
        <v>171.44595621441445</v>
      </c>
      <c r="Z190" s="221">
        <f t="shared" si="316"/>
        <v>1.8447694038245221</v>
      </c>
      <c r="AA190" s="177">
        <f t="shared" si="317"/>
        <v>1.0123734533183355</v>
      </c>
      <c r="AB190" s="177">
        <f t="shared" si="318"/>
        <v>0.17283982577713339</v>
      </c>
      <c r="AC190" s="177"/>
      <c r="AD190" s="177">
        <f t="shared" si="319"/>
        <v>0.45</v>
      </c>
      <c r="AE190" s="555">
        <f t="shared" si="320"/>
        <v>1821.1382113821142</v>
      </c>
      <c r="AF190" s="538">
        <f t="shared" si="321"/>
        <v>6.4574999999999994E-2</v>
      </c>
      <c r="AH190" s="177">
        <f t="shared" si="322"/>
        <v>2.5005396243008051</v>
      </c>
      <c r="AI190" s="177">
        <f t="shared" si="323"/>
        <v>3.7660222824450469</v>
      </c>
      <c r="AJ190" s="177">
        <f t="shared" si="324"/>
        <v>3.3822387277370716</v>
      </c>
      <c r="AL190" s="555">
        <f t="shared" si="325"/>
        <v>336</v>
      </c>
      <c r="AM190" s="469">
        <f t="shared" si="326"/>
        <v>171.44595621441445</v>
      </c>
      <c r="AO190">
        <f t="shared" si="327"/>
        <v>336</v>
      </c>
      <c r="AP190">
        <f t="shared" si="328"/>
        <v>171.44595621441445</v>
      </c>
      <c r="AR190" s="5">
        <f t="shared" si="249"/>
        <v>5.8327418276892802</v>
      </c>
      <c r="AS190" s="5">
        <f t="shared" si="335"/>
        <v>3.7660222824450469</v>
      </c>
      <c r="AT190" s="5">
        <f t="shared" si="336"/>
        <v>2.0667195452442333</v>
      </c>
      <c r="AU190" s="177">
        <f t="shared" si="337"/>
        <v>0.64566929133858264</v>
      </c>
      <c r="AW190" s="5">
        <f t="shared" si="275"/>
        <v>8.1637644316228126</v>
      </c>
      <c r="AX190" s="5"/>
      <c r="AY190" s="5">
        <f t="shared" si="276"/>
        <v>27.303661547726588</v>
      </c>
      <c r="AZ190" s="5"/>
      <c r="BA190" s="5">
        <f t="shared" si="277"/>
        <v>2.2147068707061659</v>
      </c>
      <c r="BB190" s="5"/>
      <c r="BC190" s="5"/>
      <c r="BD190" s="177">
        <f t="shared" si="278"/>
        <v>1.7471384585119252</v>
      </c>
      <c r="BE190" s="177">
        <f t="shared" si="279"/>
        <v>1.2942752736877272</v>
      </c>
      <c r="BF190" s="177">
        <f t="shared" si="280"/>
        <v>2.1248462008867359</v>
      </c>
      <c r="BG190" s="177"/>
      <c r="BH190" s="538">
        <f t="shared" si="281"/>
        <v>0.33577420725325691</v>
      </c>
      <c r="BI190" s="538">
        <f t="shared" si="282"/>
        <v>8.2000000000000003E-2</v>
      </c>
      <c r="BJ190" s="538">
        <f t="shared" si="283"/>
        <v>8.5722978107207227E-3</v>
      </c>
      <c r="BK190" s="538">
        <f t="shared" si="284"/>
        <v>2.4887266450040614E-2</v>
      </c>
      <c r="BL190">
        <f t="shared" si="285"/>
        <v>2.6099999999999999E-3</v>
      </c>
      <c r="BM190">
        <f t="shared" si="329"/>
        <v>6.8578382485765783E-6</v>
      </c>
      <c r="BN190">
        <f t="shared" si="330"/>
        <v>0.4838236708612525</v>
      </c>
      <c r="BO190" s="469">
        <f t="shared" si="286"/>
        <v>453.84377151401827</v>
      </c>
      <c r="BP190" s="177">
        <f t="shared" si="287"/>
        <v>0.3024</v>
      </c>
      <c r="BQ190" s="177">
        <f t="shared" si="288"/>
        <v>0.52200000000000002</v>
      </c>
      <c r="BR190" s="538"/>
      <c r="BT190" s="469">
        <f t="shared" si="289"/>
        <v>824.4</v>
      </c>
      <c r="BU190" s="538">
        <f t="shared" si="290"/>
        <v>0.14651965407414846</v>
      </c>
      <c r="BV190" s="538">
        <f t="shared" si="291"/>
        <v>0.4020356361790659</v>
      </c>
      <c r="BW190" s="538">
        <f t="shared" si="292"/>
        <v>1.0835931305814708</v>
      </c>
      <c r="BX190" s="538">
        <f t="shared" si="293"/>
        <v>0</v>
      </c>
      <c r="BY190" s="538">
        <f t="shared" si="274"/>
        <v>1.8772666439009735</v>
      </c>
      <c r="BZ190" s="538">
        <f t="shared" si="250"/>
        <v>1.6321484208346853</v>
      </c>
      <c r="CA190" s="641">
        <f t="shared" si="331"/>
        <v>0.12158024691358027</v>
      </c>
      <c r="CB190" s="469">
        <f t="shared" si="294"/>
        <v>5263.1437324839244</v>
      </c>
      <c r="CC190" s="177">
        <f t="shared" si="251"/>
        <v>3.3070705616758058</v>
      </c>
      <c r="CD190" s="5">
        <f t="shared" si="295"/>
        <v>9.847999999999999</v>
      </c>
      <c r="CE190" s="177">
        <f t="shared" si="296"/>
        <v>0.74860867935515485</v>
      </c>
      <c r="CF190" s="5">
        <f t="shared" si="297"/>
        <v>74.860867935515486</v>
      </c>
      <c r="CG190">
        <f t="shared" si="298"/>
        <v>80</v>
      </c>
      <c r="CI190" s="571">
        <f t="shared" si="332"/>
        <v>-50</v>
      </c>
      <c r="CJ190">
        <f t="shared" si="333"/>
        <v>-50</v>
      </c>
    </row>
    <row r="191" spans="5:88" x14ac:dyDescent="0.2">
      <c r="E191" s="174">
        <v>81</v>
      </c>
      <c r="F191" s="221">
        <f t="shared" si="334"/>
        <v>0.3402</v>
      </c>
      <c r="G191" s="221">
        <f t="shared" si="299"/>
        <v>0.58725000000000005</v>
      </c>
      <c r="H191" s="221">
        <f t="shared" si="300"/>
        <v>5.2731000000000003</v>
      </c>
      <c r="I191" s="221">
        <f t="shared" si="301"/>
        <v>4.6980000000000004</v>
      </c>
      <c r="J191" s="551">
        <f t="shared" si="302"/>
        <v>9</v>
      </c>
      <c r="K191" s="451">
        <f t="shared" si="303"/>
        <v>16.399999999999999</v>
      </c>
      <c r="L191" s="451">
        <f t="shared" si="304"/>
        <v>25.4</v>
      </c>
      <c r="M191" s="451"/>
      <c r="N191" s="221">
        <f t="shared" si="305"/>
        <v>0.64566929133858264</v>
      </c>
      <c r="O191" s="176">
        <f t="shared" si="306"/>
        <v>5.6698549287756563</v>
      </c>
      <c r="P191" s="176">
        <f t="shared" si="307"/>
        <v>9.552037446932033</v>
      </c>
      <c r="Q191" s="221">
        <f t="shared" si="308"/>
        <v>0.36579709217907458</v>
      </c>
      <c r="R191" s="221">
        <f t="shared" si="309"/>
        <v>0.70873186609695704</v>
      </c>
      <c r="S191" s="221">
        <f t="shared" si="310"/>
        <v>15.5</v>
      </c>
      <c r="T191" s="221">
        <f t="shared" si="311"/>
        <v>3.8130975609756099</v>
      </c>
      <c r="U191" s="221">
        <f t="shared" si="312"/>
        <v>3.8130975609756099</v>
      </c>
      <c r="V191" s="221">
        <f t="shared" si="313"/>
        <v>2.0925535395597863</v>
      </c>
      <c r="W191" s="201">
        <f t="shared" si="314"/>
        <v>350</v>
      </c>
      <c r="X191" s="451">
        <f t="shared" si="315"/>
        <v>169.32933947102663</v>
      </c>
      <c r="Z191" s="221">
        <f t="shared" si="316"/>
        <v>1.8447694038245221</v>
      </c>
      <c r="AA191" s="177">
        <f t="shared" si="317"/>
        <v>1.0123734533183355</v>
      </c>
      <c r="AB191" s="177">
        <f t="shared" si="318"/>
        <v>0.17283982577713339</v>
      </c>
      <c r="AC191" s="177"/>
      <c r="AD191" s="177">
        <f t="shared" si="319"/>
        <v>0.45</v>
      </c>
      <c r="AE191" s="555">
        <f t="shared" si="320"/>
        <v>1843.9024390243903</v>
      </c>
      <c r="AF191" s="538">
        <f t="shared" si="321"/>
        <v>6.4574999999999994E-2</v>
      </c>
      <c r="AH191" s="177">
        <f t="shared" si="322"/>
        <v>2.5161194611657738</v>
      </c>
      <c r="AI191" s="177">
        <f t="shared" si="323"/>
        <v>3.8130975609756099</v>
      </c>
      <c r="AJ191" s="177">
        <f t="shared" si="324"/>
        <v>3.4171093044263774</v>
      </c>
      <c r="AL191" s="555">
        <f t="shared" si="325"/>
        <v>340.2</v>
      </c>
      <c r="AM191" s="469">
        <f t="shared" si="326"/>
        <v>169.32933947102663</v>
      </c>
      <c r="AO191">
        <f t="shared" si="327"/>
        <v>340.2</v>
      </c>
      <c r="AP191">
        <f t="shared" si="328"/>
        <v>169.32933947102663</v>
      </c>
      <c r="AR191" s="5">
        <f t="shared" si="249"/>
        <v>5.9056511005353958</v>
      </c>
      <c r="AS191" s="5">
        <f t="shared" si="335"/>
        <v>3.8130975609756099</v>
      </c>
      <c r="AT191" s="5">
        <f t="shared" si="336"/>
        <v>2.0925535395597858</v>
      </c>
      <c r="AU191" s="177">
        <f t="shared" si="337"/>
        <v>0.64566929133858264</v>
      </c>
      <c r="AW191" s="5">
        <f t="shared" si="275"/>
        <v>8.3691341306058238</v>
      </c>
      <c r="AX191" s="5"/>
      <c r="AY191" s="5">
        <f t="shared" si="276"/>
        <v>27.990519283536592</v>
      </c>
      <c r="AZ191" s="5"/>
      <c r="BA191" s="5">
        <f t="shared" si="277"/>
        <v>2.2704205904223675</v>
      </c>
      <c r="BB191" s="5"/>
      <c r="BC191" s="5"/>
      <c r="BD191" s="177">
        <f t="shared" si="278"/>
        <v>1.7689776892433242</v>
      </c>
      <c r="BE191" s="177">
        <f t="shared" si="279"/>
        <v>1.3104537146088238</v>
      </c>
      <c r="BF191" s="177">
        <f t="shared" si="280"/>
        <v>2.1514067783978201</v>
      </c>
      <c r="BG191" s="177"/>
      <c r="BH191" s="538">
        <f t="shared" si="281"/>
        <v>0.34422102715447161</v>
      </c>
      <c r="BI191" s="538">
        <f t="shared" si="282"/>
        <v>8.2000000000000003E-2</v>
      </c>
      <c r="BJ191" s="538">
        <f t="shared" si="283"/>
        <v>8.4664669735513304E-3</v>
      </c>
      <c r="BK191" s="538">
        <f t="shared" si="284"/>
        <v>2.4580016246953693E-2</v>
      </c>
      <c r="BL191">
        <f t="shared" si="285"/>
        <v>2.6099999999999999E-3</v>
      </c>
      <c r="BM191">
        <f t="shared" si="329"/>
        <v>6.7731735788410651E-6</v>
      </c>
      <c r="BN191">
        <f t="shared" si="330"/>
        <v>0.49320727567193201</v>
      </c>
      <c r="BO191" s="469">
        <f t="shared" si="286"/>
        <v>461.87751037497668</v>
      </c>
      <c r="BP191" s="177">
        <f t="shared" si="287"/>
        <v>0.30618000000000001</v>
      </c>
      <c r="BQ191" s="177">
        <f t="shared" si="288"/>
        <v>0.52852500000000002</v>
      </c>
      <c r="BR191" s="538"/>
      <c r="BT191" s="469">
        <f t="shared" si="289"/>
        <v>834.70500000000004</v>
      </c>
      <c r="BU191" s="538">
        <f t="shared" si="290"/>
        <v>0.15020553912195125</v>
      </c>
      <c r="BV191" s="538">
        <f t="shared" si="291"/>
        <v>0.41214934515169549</v>
      </c>
      <c r="BW191" s="538">
        <f t="shared" si="292"/>
        <v>1.1108522702726609</v>
      </c>
      <c r="BX191" s="538">
        <f t="shared" si="293"/>
        <v>0</v>
      </c>
      <c r="BY191" s="538">
        <f t="shared" si="274"/>
        <v>1.9317899335823496</v>
      </c>
      <c r="BZ191" s="538">
        <f t="shared" si="250"/>
        <v>1.6732071545463076</v>
      </c>
      <c r="CA191" s="641">
        <f t="shared" si="331"/>
        <v>0.12310000000000001</v>
      </c>
      <c r="CB191" s="469">
        <f t="shared" si="294"/>
        <v>5401.3042426749653</v>
      </c>
      <c r="CC191" s="177">
        <f t="shared" si="251"/>
        <v>3.3828022092542813</v>
      </c>
      <c r="CD191" s="5">
        <f t="shared" si="295"/>
        <v>9.9710999999999999</v>
      </c>
      <c r="CE191" s="177">
        <f t="shared" si="296"/>
        <v>0.7466806214209063</v>
      </c>
      <c r="CF191" s="5">
        <f t="shared" si="297"/>
        <v>74.668062142090633</v>
      </c>
      <c r="CG191">
        <f t="shared" si="298"/>
        <v>81</v>
      </c>
      <c r="CI191" s="571">
        <f t="shared" si="332"/>
        <v>-50</v>
      </c>
      <c r="CJ191">
        <f t="shared" si="333"/>
        <v>-50</v>
      </c>
    </row>
    <row r="192" spans="5:88" x14ac:dyDescent="0.2">
      <c r="E192" s="174">
        <v>82</v>
      </c>
      <c r="F192" s="221">
        <f t="shared" si="334"/>
        <v>0.34439999999999998</v>
      </c>
      <c r="G192" s="221">
        <f t="shared" si="299"/>
        <v>0.59449999999999992</v>
      </c>
      <c r="H192" s="221">
        <f t="shared" si="300"/>
        <v>5.3381999999999996</v>
      </c>
      <c r="I192" s="221">
        <f t="shared" si="301"/>
        <v>4.7559999999999993</v>
      </c>
      <c r="J192" s="551">
        <f t="shared" si="302"/>
        <v>9</v>
      </c>
      <c r="K192" s="451">
        <f t="shared" si="303"/>
        <v>16.399999999999999</v>
      </c>
      <c r="L192" s="451">
        <f t="shared" si="304"/>
        <v>25.4</v>
      </c>
      <c r="M192" s="451"/>
      <c r="N192" s="221">
        <f t="shared" si="305"/>
        <v>0.64566929133858264</v>
      </c>
      <c r="O192" s="176">
        <f t="shared" si="306"/>
        <v>5.6698549287756563</v>
      </c>
      <c r="P192" s="176">
        <f t="shared" si="307"/>
        <v>9.552037446932033</v>
      </c>
      <c r="Q192" s="221">
        <f t="shared" si="308"/>
        <v>0.36579709217907458</v>
      </c>
      <c r="R192" s="221">
        <f t="shared" si="309"/>
        <v>0.70873186609695704</v>
      </c>
      <c r="S192" s="221">
        <f t="shared" si="310"/>
        <v>15.5</v>
      </c>
      <c r="T192" s="221">
        <f t="shared" si="311"/>
        <v>3.860172839506173</v>
      </c>
      <c r="U192" s="221">
        <f t="shared" si="312"/>
        <v>3.8601728395061725</v>
      </c>
      <c r="V192" s="221">
        <f t="shared" si="313"/>
        <v>2.1183875338753388</v>
      </c>
      <c r="W192" s="201">
        <f t="shared" si="314"/>
        <v>350</v>
      </c>
      <c r="X192" s="451">
        <f t="shared" si="315"/>
        <v>167.26434752625801</v>
      </c>
      <c r="Z192" s="221">
        <f t="shared" si="316"/>
        <v>1.8447694038245221</v>
      </c>
      <c r="AA192" s="177">
        <f t="shared" si="317"/>
        <v>1.0123734533183355</v>
      </c>
      <c r="AB192" s="177">
        <f t="shared" si="318"/>
        <v>0.17283982577713339</v>
      </c>
      <c r="AC192" s="177"/>
      <c r="AD192" s="177">
        <f t="shared" si="319"/>
        <v>0.45</v>
      </c>
      <c r="AE192" s="555">
        <f t="shared" si="320"/>
        <v>1866.6666666666667</v>
      </c>
      <c r="AF192" s="538">
        <f t="shared" si="321"/>
        <v>6.4574999999999994E-2</v>
      </c>
      <c r="AH192" s="177">
        <f t="shared" si="322"/>
        <v>2.5316034193798744</v>
      </c>
      <c r="AI192" s="177">
        <f t="shared" si="323"/>
        <v>3.860172839506173</v>
      </c>
      <c r="AJ192" s="177">
        <f t="shared" si="324"/>
        <v>3.4519798811156832</v>
      </c>
      <c r="AL192" s="555">
        <f t="shared" si="325"/>
        <v>344.4</v>
      </c>
      <c r="AM192" s="469">
        <f t="shared" si="326"/>
        <v>167.26434752625801</v>
      </c>
      <c r="AO192">
        <f t="shared" si="327"/>
        <v>344.4</v>
      </c>
      <c r="AP192">
        <f t="shared" si="328"/>
        <v>167.26434752625801</v>
      </c>
      <c r="AR192" s="5">
        <f t="shared" si="249"/>
        <v>5.9785603733815114</v>
      </c>
      <c r="AS192" s="5">
        <f t="shared" si="335"/>
        <v>3.8601728395061725</v>
      </c>
      <c r="AT192" s="5">
        <f t="shared" si="336"/>
        <v>2.1183875338753388</v>
      </c>
      <c r="AU192" s="177">
        <f t="shared" si="337"/>
        <v>0.64566929133858264</v>
      </c>
      <c r="AW192" s="5">
        <f t="shared" si="275"/>
        <v>8.5770550059737154</v>
      </c>
      <c r="AX192" s="5"/>
      <c r="AY192" s="5">
        <f t="shared" si="276"/>
        <v>28.685909413580241</v>
      </c>
      <c r="AZ192" s="5"/>
      <c r="BA192" s="5">
        <f t="shared" si="277"/>
        <v>2.3268264060356647</v>
      </c>
      <c r="BB192" s="5"/>
      <c r="BC192" s="5"/>
      <c r="BD192" s="177">
        <f t="shared" si="278"/>
        <v>1.7908169199747233</v>
      </c>
      <c r="BE192" s="177">
        <f t="shared" si="279"/>
        <v>1.3266321555299203</v>
      </c>
      <c r="BF192" s="177">
        <f t="shared" si="280"/>
        <v>2.1779673559089043</v>
      </c>
      <c r="BG192" s="177"/>
      <c r="BH192" s="538">
        <f t="shared" si="281"/>
        <v>0.35277277649545297</v>
      </c>
      <c r="BI192" s="538">
        <f t="shared" si="282"/>
        <v>8.2000000000000003E-2</v>
      </c>
      <c r="BJ192" s="538">
        <f t="shared" si="283"/>
        <v>8.3632173763128984E-3</v>
      </c>
      <c r="BK192" s="538">
        <f t="shared" si="284"/>
        <v>2.4280259951259136E-2</v>
      </c>
      <c r="BL192">
        <f t="shared" si="285"/>
        <v>2.6099999999999999E-3</v>
      </c>
      <c r="BM192">
        <f t="shared" si="329"/>
        <v>6.6905739010503206E-6</v>
      </c>
      <c r="BN192">
        <f t="shared" si="330"/>
        <v>0.50275558459850822</v>
      </c>
      <c r="BO192" s="469">
        <f t="shared" si="286"/>
        <v>470.02625382302506</v>
      </c>
      <c r="BP192" s="177">
        <f t="shared" si="287"/>
        <v>0.30996000000000001</v>
      </c>
      <c r="BQ192" s="177">
        <f t="shared" si="288"/>
        <v>0.53504999999999991</v>
      </c>
      <c r="BR192" s="538"/>
      <c r="BT192" s="469">
        <f t="shared" si="289"/>
        <v>845.00999999999988</v>
      </c>
      <c r="BU192" s="538">
        <f t="shared" si="290"/>
        <v>0.15393721156165222</v>
      </c>
      <c r="BV192" s="538">
        <f t="shared" si="291"/>
        <v>0.42238869026063103</v>
      </c>
      <c r="BW192" s="538">
        <f t="shared" si="292"/>
        <v>1.1384500328171576</v>
      </c>
      <c r="BX192" s="538">
        <f t="shared" si="293"/>
        <v>0</v>
      </c>
      <c r="BY192" s="538">
        <f t="shared" si="274"/>
        <v>1.9874134327756714</v>
      </c>
      <c r="BZ192" s="538">
        <f t="shared" si="250"/>
        <v>1.7147759346394409</v>
      </c>
      <c r="CA192" s="641">
        <f t="shared" si="331"/>
        <v>0.12461975308641977</v>
      </c>
      <c r="CB192" s="469">
        <f t="shared" si="294"/>
        <v>5541.5850551409731</v>
      </c>
      <c r="CC192" s="177">
        <f t="shared" si="251"/>
        <v>3.4597987704605995</v>
      </c>
      <c r="CD192" s="5">
        <f t="shared" si="295"/>
        <v>10.094199999999999</v>
      </c>
      <c r="CE192" s="177">
        <f t="shared" si="296"/>
        <v>0.74473962783582082</v>
      </c>
      <c r="CF192" s="5">
        <f t="shared" si="297"/>
        <v>74.473962783582081</v>
      </c>
      <c r="CG192">
        <f t="shared" si="298"/>
        <v>82</v>
      </c>
      <c r="CI192" s="571">
        <f t="shared" si="332"/>
        <v>-50</v>
      </c>
      <c r="CJ192">
        <f t="shared" si="333"/>
        <v>-50</v>
      </c>
    </row>
    <row r="193" spans="5:88" x14ac:dyDescent="0.2">
      <c r="E193" s="174">
        <v>83</v>
      </c>
      <c r="F193" s="221">
        <f t="shared" si="334"/>
        <v>0.34859999999999997</v>
      </c>
      <c r="G193" s="221">
        <f t="shared" si="299"/>
        <v>0.60175000000000001</v>
      </c>
      <c r="H193" s="221">
        <f t="shared" si="300"/>
        <v>5.4032999999999998</v>
      </c>
      <c r="I193" s="221">
        <f t="shared" si="301"/>
        <v>4.8140000000000001</v>
      </c>
      <c r="J193" s="551">
        <f t="shared" si="302"/>
        <v>9</v>
      </c>
      <c r="K193" s="451">
        <f t="shared" si="303"/>
        <v>16.399999999999999</v>
      </c>
      <c r="L193" s="451">
        <f t="shared" si="304"/>
        <v>25.4</v>
      </c>
      <c r="M193" s="451"/>
      <c r="N193" s="221">
        <f t="shared" si="305"/>
        <v>0.64566929133858264</v>
      </c>
      <c r="O193" s="176">
        <f t="shared" si="306"/>
        <v>5.6698549287756563</v>
      </c>
      <c r="P193" s="176">
        <f t="shared" si="307"/>
        <v>9.552037446932033</v>
      </c>
      <c r="Q193" s="221">
        <f t="shared" si="308"/>
        <v>0.36579709217907458</v>
      </c>
      <c r="R193" s="221">
        <f t="shared" si="309"/>
        <v>0.70873186609695704</v>
      </c>
      <c r="S193" s="221">
        <f t="shared" si="310"/>
        <v>15.5</v>
      </c>
      <c r="T193" s="221">
        <f t="shared" si="311"/>
        <v>3.9072481180367364</v>
      </c>
      <c r="U193" s="221">
        <f t="shared" si="312"/>
        <v>3.9072481180367364</v>
      </c>
      <c r="V193" s="221">
        <f t="shared" si="313"/>
        <v>2.1442215281908923</v>
      </c>
      <c r="W193" s="201">
        <f t="shared" si="314"/>
        <v>350</v>
      </c>
      <c r="X193" s="451">
        <f t="shared" si="315"/>
        <v>165.24911442353198</v>
      </c>
      <c r="Z193" s="221">
        <f t="shared" si="316"/>
        <v>1.8447694038245221</v>
      </c>
      <c r="AA193" s="177">
        <f t="shared" si="317"/>
        <v>1.0123734533183355</v>
      </c>
      <c r="AB193" s="177">
        <f t="shared" si="318"/>
        <v>0.17283982577713339</v>
      </c>
      <c r="AC193" s="177"/>
      <c r="AD193" s="177">
        <f t="shared" si="319"/>
        <v>0.45</v>
      </c>
      <c r="AE193" s="555">
        <f t="shared" si="320"/>
        <v>1889.4308943089432</v>
      </c>
      <c r="AF193" s="538">
        <f t="shared" si="321"/>
        <v>6.4574999999999994E-2</v>
      </c>
      <c r="AH193" s="177">
        <f t="shared" si="322"/>
        <v>2.5469932475714581</v>
      </c>
      <c r="AI193" s="177">
        <f t="shared" si="323"/>
        <v>3.9072481180367364</v>
      </c>
      <c r="AJ193" s="177">
        <f t="shared" si="324"/>
        <v>3.4868504578049899</v>
      </c>
      <c r="AL193" s="555">
        <f t="shared" si="325"/>
        <v>348.59999999999997</v>
      </c>
      <c r="AM193" s="469">
        <f t="shared" si="326"/>
        <v>165.24911442353198</v>
      </c>
      <c r="AO193">
        <f t="shared" si="327"/>
        <v>348.59999999999997</v>
      </c>
      <c r="AP193">
        <f t="shared" si="328"/>
        <v>165.24911442353198</v>
      </c>
      <c r="AR193" s="5">
        <f t="shared" si="249"/>
        <v>6.0514696462276287</v>
      </c>
      <c r="AS193" s="5">
        <f t="shared" si="335"/>
        <v>3.9072481180367364</v>
      </c>
      <c r="AT193" s="5">
        <f t="shared" si="336"/>
        <v>2.1442215281908923</v>
      </c>
      <c r="AU193" s="177">
        <f t="shared" si="337"/>
        <v>0.64566929133858264</v>
      </c>
      <c r="AW193" s="5">
        <f t="shared" si="275"/>
        <v>8.787527057726491</v>
      </c>
      <c r="AX193" s="5"/>
      <c r="AY193" s="5">
        <f t="shared" si="276"/>
        <v>29.389831937857576</v>
      </c>
      <c r="AZ193" s="5"/>
      <c r="BA193" s="5">
        <f t="shared" si="277"/>
        <v>2.3839243175460587</v>
      </c>
      <c r="BB193" s="5"/>
      <c r="BC193" s="5"/>
      <c r="BD193" s="177">
        <f t="shared" si="278"/>
        <v>1.8126561507061225</v>
      </c>
      <c r="BE193" s="177">
        <f t="shared" si="279"/>
        <v>1.3428105964510171</v>
      </c>
      <c r="BF193" s="177">
        <f t="shared" si="280"/>
        <v>2.204527933419989</v>
      </c>
      <c r="BG193" s="177"/>
      <c r="BH193" s="538">
        <f t="shared" si="281"/>
        <v>0.36142945527620107</v>
      </c>
      <c r="BI193" s="538">
        <f t="shared" si="282"/>
        <v>8.2000000000000003E-2</v>
      </c>
      <c r="BJ193" s="538">
        <f t="shared" si="283"/>
        <v>8.2624557211765995E-3</v>
      </c>
      <c r="BK193" s="538">
        <f t="shared" si="284"/>
        <v>2.3987726698834325E-2</v>
      </c>
      <c r="BL193">
        <f t="shared" si="285"/>
        <v>2.6099999999999999E-3</v>
      </c>
      <c r="BM193">
        <f t="shared" si="329"/>
        <v>6.6099645769412794E-6</v>
      </c>
      <c r="BN193">
        <f t="shared" si="330"/>
        <v>0.51246963686394609</v>
      </c>
      <c r="BO193" s="469">
        <f t="shared" si="286"/>
        <v>478.28963769621203</v>
      </c>
      <c r="BP193" s="177">
        <f t="shared" si="287"/>
        <v>0.31373999999999996</v>
      </c>
      <c r="BQ193" s="177">
        <f t="shared" si="288"/>
        <v>0.54157500000000003</v>
      </c>
      <c r="BR193" s="538"/>
      <c r="BT193" s="469">
        <f t="shared" si="289"/>
        <v>855.31500000000005</v>
      </c>
      <c r="BU193" s="538">
        <f t="shared" si="290"/>
        <v>0.15771467139325138</v>
      </c>
      <c r="BV193" s="538">
        <f t="shared" si="291"/>
        <v>0.43275367150587268</v>
      </c>
      <c r="BW193" s="538">
        <f t="shared" si="292"/>
        <v>1.1663864182149617</v>
      </c>
      <c r="BX193" s="538">
        <f t="shared" si="293"/>
        <v>0</v>
      </c>
      <c r="BY193" s="538">
        <f t="shared" si="274"/>
        <v>2.0441578351223555</v>
      </c>
      <c r="BZ193" s="538">
        <f t="shared" si="250"/>
        <v>1.7568547611140857</v>
      </c>
      <c r="CA193" s="641">
        <f t="shared" si="331"/>
        <v>0.12613950617283953</v>
      </c>
      <c r="CB193" s="469">
        <f t="shared" ref="CB193:CB210" si="338">SUM(BU193:CA193)*1000</f>
        <v>5684.0068635233665</v>
      </c>
      <c r="CC193" s="177">
        <f t="shared" si="251"/>
        <v>3.5380819781591408</v>
      </c>
      <c r="CD193" s="5">
        <f t="shared" ref="CD193:CD210" si="339">MIN(H193+I193,O193+P193)</f>
        <v>10.2173</v>
      </c>
      <c r="CE193" s="177">
        <f t="shared" ref="CE193:CE210" si="340">CD193/(CD193+CC193)</f>
        <v>0.74278562501739875</v>
      </c>
      <c r="CF193" s="5">
        <f t="shared" ref="CF193:CF210" si="341">CE193*100</f>
        <v>74.27856250173987</v>
      </c>
      <c r="CG193">
        <f t="shared" ref="CG193:CG210" si="342">F193/Iout*100</f>
        <v>83</v>
      </c>
      <c r="CI193" s="571">
        <f t="shared" si="332"/>
        <v>-50</v>
      </c>
      <c r="CJ193">
        <f t="shared" si="333"/>
        <v>-50</v>
      </c>
    </row>
    <row r="194" spans="5:88" x14ac:dyDescent="0.2">
      <c r="E194" s="174">
        <v>84</v>
      </c>
      <c r="F194" s="221">
        <f t="shared" si="334"/>
        <v>0.35279999999999995</v>
      </c>
      <c r="G194" s="221">
        <f t="shared" si="299"/>
        <v>0.60899999999999999</v>
      </c>
      <c r="H194" s="221">
        <f t="shared" si="300"/>
        <v>5.468399999999999</v>
      </c>
      <c r="I194" s="221">
        <f t="shared" si="301"/>
        <v>4.8719999999999999</v>
      </c>
      <c r="J194" s="551">
        <f t="shared" si="302"/>
        <v>9</v>
      </c>
      <c r="K194" s="451">
        <f t="shared" si="303"/>
        <v>16.399999999999999</v>
      </c>
      <c r="L194" s="451">
        <f t="shared" si="304"/>
        <v>25.4</v>
      </c>
      <c r="M194" s="451"/>
      <c r="N194" s="221">
        <f t="shared" si="305"/>
        <v>0.64566929133858264</v>
      </c>
      <c r="O194" s="176">
        <f t="shared" si="306"/>
        <v>5.6698549287756563</v>
      </c>
      <c r="P194" s="176">
        <f t="shared" si="307"/>
        <v>9.552037446932033</v>
      </c>
      <c r="Q194" s="221">
        <f t="shared" si="308"/>
        <v>0.36579709217907458</v>
      </c>
      <c r="R194" s="221">
        <f t="shared" si="309"/>
        <v>0.70873186609695704</v>
      </c>
      <c r="S194" s="221">
        <f t="shared" si="310"/>
        <v>15.5</v>
      </c>
      <c r="T194" s="221">
        <f t="shared" si="311"/>
        <v>3.954323396567299</v>
      </c>
      <c r="U194" s="221">
        <f t="shared" si="312"/>
        <v>3.9543233965672986</v>
      </c>
      <c r="V194" s="221">
        <f t="shared" si="313"/>
        <v>2.1700555225064448</v>
      </c>
      <c r="W194" s="201">
        <f t="shared" si="314"/>
        <v>350</v>
      </c>
      <c r="X194" s="451">
        <f t="shared" si="315"/>
        <v>163.28186306134711</v>
      </c>
      <c r="Z194" s="221">
        <f t="shared" si="316"/>
        <v>1.8447694038245221</v>
      </c>
      <c r="AA194" s="177">
        <f t="shared" si="317"/>
        <v>1.0123734533183355</v>
      </c>
      <c r="AB194" s="177">
        <f t="shared" si="318"/>
        <v>0.17283982577713339</v>
      </c>
      <c r="AC194" s="177"/>
      <c r="AD194" s="177">
        <f t="shared" si="319"/>
        <v>0.45</v>
      </c>
      <c r="AE194" s="555">
        <f t="shared" si="320"/>
        <v>1912.1951219512193</v>
      </c>
      <c r="AF194" s="538">
        <f t="shared" si="321"/>
        <v>6.4574999999999994E-2</v>
      </c>
      <c r="AH194" s="177">
        <f t="shared" si="322"/>
        <v>2.5622906418541462</v>
      </c>
      <c r="AI194" s="177">
        <f t="shared" si="323"/>
        <v>3.954323396567299</v>
      </c>
      <c r="AJ194" s="177">
        <f t="shared" si="324"/>
        <v>3.5217210344942957</v>
      </c>
      <c r="AL194" s="555">
        <f t="shared" si="325"/>
        <v>352.79999999999995</v>
      </c>
      <c r="AM194" s="469">
        <f t="shared" si="326"/>
        <v>163.28186306134711</v>
      </c>
      <c r="AO194">
        <f t="shared" si="327"/>
        <v>352.79999999999995</v>
      </c>
      <c r="AP194">
        <f t="shared" si="328"/>
        <v>163.28186306134711</v>
      </c>
      <c r="AR194" s="5">
        <f t="shared" si="249"/>
        <v>6.1243789190737434</v>
      </c>
      <c r="AS194" s="5">
        <f t="shared" si="335"/>
        <v>3.9543233965672986</v>
      </c>
      <c r="AT194" s="5">
        <f t="shared" si="336"/>
        <v>2.1700555225064448</v>
      </c>
      <c r="AU194" s="177">
        <f t="shared" si="337"/>
        <v>0.64566929133858264</v>
      </c>
      <c r="AW194" s="5">
        <f t="shared" si="275"/>
        <v>9.0005502858641453</v>
      </c>
      <c r="AX194" s="5"/>
      <c r="AY194" s="5">
        <f t="shared" si="276"/>
        <v>30.102286856368558</v>
      </c>
      <c r="AZ194" s="5"/>
      <c r="BA194" s="5">
        <f t="shared" si="277"/>
        <v>2.4417143249535469</v>
      </c>
      <c r="BB194" s="5"/>
      <c r="BC194" s="5"/>
      <c r="BD194" s="177">
        <f t="shared" si="278"/>
        <v>1.8344953814375213</v>
      </c>
      <c r="BE194" s="177">
        <f t="shared" si="279"/>
        <v>1.3589890373721136</v>
      </c>
      <c r="BF194" s="177">
        <f t="shared" si="280"/>
        <v>2.2310885109310727</v>
      </c>
      <c r="BG194" s="177"/>
      <c r="BH194" s="538">
        <f t="shared" si="281"/>
        <v>0.37019106349671566</v>
      </c>
      <c r="BI194" s="538">
        <f t="shared" si="282"/>
        <v>8.2000000000000003E-2</v>
      </c>
      <c r="BJ194" s="538">
        <f t="shared" si="283"/>
        <v>8.1640931530673564E-3</v>
      </c>
      <c r="BK194" s="538">
        <f t="shared" si="284"/>
        <v>2.3702158523848205E-2</v>
      </c>
      <c r="BL194">
        <f t="shared" si="285"/>
        <v>2.6099999999999999E-3</v>
      </c>
      <c r="BM194">
        <f t="shared" si="329"/>
        <v>6.5312745224538845E-6</v>
      </c>
      <c r="BN194">
        <f t="shared" si="330"/>
        <v>0.52235051805357335</v>
      </c>
      <c r="BO194" s="469">
        <f t="shared" si="286"/>
        <v>486.66731517363127</v>
      </c>
      <c r="BP194" s="177">
        <f t="shared" si="287"/>
        <v>0.31751999999999997</v>
      </c>
      <c r="BQ194" s="177">
        <f t="shared" si="288"/>
        <v>0.54810000000000003</v>
      </c>
      <c r="BR194" s="538"/>
      <c r="BT194" s="469">
        <f t="shared" si="289"/>
        <v>865.62</v>
      </c>
      <c r="BU194" s="538">
        <f t="shared" si="290"/>
        <v>0.16153791861674865</v>
      </c>
      <c r="BV194" s="538">
        <f t="shared" si="291"/>
        <v>0.44324428888742018</v>
      </c>
      <c r="BW194" s="538">
        <f t="shared" si="292"/>
        <v>1.1946614264660715</v>
      </c>
      <c r="BX194" s="538">
        <f t="shared" si="293"/>
        <v>0</v>
      </c>
      <c r="BY194" s="538">
        <f t="shared" si="274"/>
        <v>2.1020444783632897</v>
      </c>
      <c r="BZ194" s="538">
        <f t="shared" si="250"/>
        <v>1.7994436339702404</v>
      </c>
      <c r="CA194" s="641">
        <f t="shared" si="331"/>
        <v>0.12765925925925925</v>
      </c>
      <c r="CB194" s="469">
        <f t="shared" si="338"/>
        <v>5828.5910055630293</v>
      </c>
      <c r="CC194" s="177">
        <f t="shared" si="251"/>
        <v>3.6176742556761226</v>
      </c>
      <c r="CD194" s="5">
        <f t="shared" si="339"/>
        <v>10.340399999999999</v>
      </c>
      <c r="CE194" s="177">
        <f t="shared" si="340"/>
        <v>0.74081852629455835</v>
      </c>
      <c r="CF194" s="5">
        <f t="shared" si="341"/>
        <v>74.081852629455838</v>
      </c>
      <c r="CG194">
        <f t="shared" si="342"/>
        <v>83.999999999999986</v>
      </c>
      <c r="CI194" s="571">
        <f t="shared" si="332"/>
        <v>-50</v>
      </c>
      <c r="CJ194">
        <f t="shared" si="333"/>
        <v>-50</v>
      </c>
    </row>
    <row r="195" spans="5:88" x14ac:dyDescent="0.2">
      <c r="E195" s="174">
        <v>85</v>
      </c>
      <c r="F195" s="221">
        <f t="shared" si="334"/>
        <v>0.35699999999999998</v>
      </c>
      <c r="G195" s="221">
        <f t="shared" si="299"/>
        <v>0.61624999999999996</v>
      </c>
      <c r="H195" s="221">
        <f t="shared" si="300"/>
        <v>5.5335000000000001</v>
      </c>
      <c r="I195" s="221">
        <f t="shared" si="301"/>
        <v>4.93</v>
      </c>
      <c r="J195" s="551">
        <f t="shared" si="302"/>
        <v>9</v>
      </c>
      <c r="K195" s="451">
        <f t="shared" si="303"/>
        <v>16.399999999999999</v>
      </c>
      <c r="L195" s="451">
        <f t="shared" si="304"/>
        <v>25.4</v>
      </c>
      <c r="M195" s="451"/>
      <c r="N195" s="221">
        <f t="shared" si="305"/>
        <v>0.64566929133858264</v>
      </c>
      <c r="O195" s="176">
        <f t="shared" si="306"/>
        <v>5.6698549287756563</v>
      </c>
      <c r="P195" s="176">
        <f t="shared" si="307"/>
        <v>9.552037446932033</v>
      </c>
      <c r="Q195" s="221">
        <f t="shared" si="308"/>
        <v>0.36579709217907458</v>
      </c>
      <c r="R195" s="221">
        <f t="shared" si="309"/>
        <v>0.70873186609695704</v>
      </c>
      <c r="S195" s="221">
        <f t="shared" si="310"/>
        <v>15.5</v>
      </c>
      <c r="T195" s="221">
        <f t="shared" si="311"/>
        <v>4.0013986750978621</v>
      </c>
      <c r="U195" s="221">
        <f t="shared" si="312"/>
        <v>4.0013986750978621</v>
      </c>
      <c r="V195" s="221">
        <f t="shared" si="313"/>
        <v>2.1958895168219978</v>
      </c>
      <c r="W195" s="201">
        <f t="shared" si="314"/>
        <v>350</v>
      </c>
      <c r="X195" s="451">
        <f t="shared" si="315"/>
        <v>161.3608999665077</v>
      </c>
      <c r="Z195" s="221">
        <f t="shared" si="316"/>
        <v>1.8447694038245221</v>
      </c>
      <c r="AA195" s="177">
        <f t="shared" si="317"/>
        <v>1.0123734533183355</v>
      </c>
      <c r="AB195" s="177">
        <f t="shared" si="318"/>
        <v>0.17283982577713339</v>
      </c>
      <c r="AC195" s="177"/>
      <c r="AD195" s="177">
        <f t="shared" si="319"/>
        <v>0.45</v>
      </c>
      <c r="AE195" s="555">
        <f t="shared" si="320"/>
        <v>1934.959349593496</v>
      </c>
      <c r="AF195" s="538">
        <f t="shared" si="321"/>
        <v>6.4574999999999994E-2</v>
      </c>
      <c r="AH195" s="177">
        <f t="shared" si="322"/>
        <v>2.5774972480086302</v>
      </c>
      <c r="AI195" s="177">
        <f t="shared" si="323"/>
        <v>4.0013986750978621</v>
      </c>
      <c r="AJ195" s="177">
        <f t="shared" si="324"/>
        <v>3.5565916111836016</v>
      </c>
      <c r="AL195" s="555">
        <f t="shared" si="325"/>
        <v>357</v>
      </c>
      <c r="AM195" s="469">
        <f t="shared" si="326"/>
        <v>161.3608999665077</v>
      </c>
      <c r="AO195">
        <f t="shared" si="327"/>
        <v>357</v>
      </c>
      <c r="AP195">
        <f t="shared" si="328"/>
        <v>161.3608999665077</v>
      </c>
      <c r="AR195" s="5">
        <f t="shared" si="249"/>
        <v>6.1972881919198608</v>
      </c>
      <c r="AS195" s="5">
        <f t="shared" si="335"/>
        <v>4.0013986750978621</v>
      </c>
      <c r="AT195" s="5">
        <f t="shared" si="336"/>
        <v>2.1958895168219987</v>
      </c>
      <c r="AU195" s="177">
        <f t="shared" si="337"/>
        <v>0.64566929133858253</v>
      </c>
      <c r="AW195" s="5">
        <f t="shared" si="275"/>
        <v>9.2161246903866871</v>
      </c>
      <c r="AX195" s="5"/>
      <c r="AY195" s="5">
        <f t="shared" si="276"/>
        <v>30.823274169113219</v>
      </c>
      <c r="AZ195" s="5"/>
      <c r="BA195" s="5">
        <f t="shared" si="277"/>
        <v>2.5001964282581337</v>
      </c>
      <c r="BB195" s="5"/>
      <c r="BC195" s="5"/>
      <c r="BD195" s="177">
        <f t="shared" si="278"/>
        <v>1.8563346121689202</v>
      </c>
      <c r="BE195" s="177">
        <f t="shared" si="279"/>
        <v>1.3751674782932104</v>
      </c>
      <c r="BF195" s="177">
        <f t="shared" si="280"/>
        <v>2.2576490884421574</v>
      </c>
      <c r="BG195" s="177"/>
      <c r="BH195" s="538">
        <f t="shared" si="281"/>
        <v>0.37905760115699688</v>
      </c>
      <c r="BI195" s="538">
        <f t="shared" si="282"/>
        <v>8.199999999999999E-2</v>
      </c>
      <c r="BJ195" s="538">
        <f t="shared" si="283"/>
        <v>8.0680449983253841E-3</v>
      </c>
      <c r="BK195" s="538">
        <f t="shared" si="284"/>
        <v>2.3423309600038224E-2</v>
      </c>
      <c r="BL195">
        <f t="shared" si="285"/>
        <v>2.6099999999999999E-3</v>
      </c>
      <c r="BM195">
        <f t="shared" si="329"/>
        <v>6.4544359986603078E-6</v>
      </c>
      <c r="BN195">
        <f t="shared" si="330"/>
        <v>0.53239935964213947</v>
      </c>
      <c r="BO195" s="469">
        <f t="shared" si="286"/>
        <v>495.15895575536052</v>
      </c>
      <c r="BP195" s="177">
        <f t="shared" si="287"/>
        <v>0.32129999999999997</v>
      </c>
      <c r="BQ195" s="177">
        <f t="shared" si="288"/>
        <v>0.55462500000000003</v>
      </c>
      <c r="BR195" s="538"/>
      <c r="BT195" s="469">
        <f t="shared" si="289"/>
        <v>875.92500000000007</v>
      </c>
      <c r="BU195" s="538">
        <f t="shared" si="290"/>
        <v>0.16540695323214408</v>
      </c>
      <c r="BV195" s="538">
        <f t="shared" si="291"/>
        <v>0.45386054240527374</v>
      </c>
      <c r="BW195" s="538">
        <f t="shared" si="292"/>
        <v>1.2232750575704892</v>
      </c>
      <c r="BX195" s="538">
        <f t="shared" si="293"/>
        <v>0</v>
      </c>
      <c r="BY195" s="538">
        <f t="shared" si="274"/>
        <v>2.1610953672661792</v>
      </c>
      <c r="BZ195" s="538">
        <f t="shared" si="250"/>
        <v>1.8425425532079069</v>
      </c>
      <c r="CA195" s="641">
        <f t="shared" si="331"/>
        <v>0.129179012345679</v>
      </c>
      <c r="CB195" s="469">
        <f t="shared" si="338"/>
        <v>5975.3594860276717</v>
      </c>
      <c r="CC195" s="177">
        <f t="shared" si="251"/>
        <v>3.6985987392539976</v>
      </c>
      <c r="CD195" s="5">
        <f t="shared" si="339"/>
        <v>10.4635</v>
      </c>
      <c r="CE195" s="177">
        <f t="shared" si="340"/>
        <v>0.73883823242932534</v>
      </c>
      <c r="CF195" s="5">
        <f t="shared" si="341"/>
        <v>73.883823242932536</v>
      </c>
      <c r="CG195">
        <f t="shared" si="342"/>
        <v>85</v>
      </c>
      <c r="CI195" s="571">
        <f t="shared" si="332"/>
        <v>-50</v>
      </c>
      <c r="CJ195">
        <f t="shared" si="333"/>
        <v>-50</v>
      </c>
    </row>
    <row r="196" spans="5:88" x14ac:dyDescent="0.2">
      <c r="E196" s="174">
        <v>86</v>
      </c>
      <c r="F196" s="221">
        <f t="shared" si="334"/>
        <v>0.36119999999999997</v>
      </c>
      <c r="G196" s="221">
        <f t="shared" si="299"/>
        <v>0.62349999999999994</v>
      </c>
      <c r="H196" s="221">
        <f t="shared" si="300"/>
        <v>5.5985999999999994</v>
      </c>
      <c r="I196" s="221">
        <f t="shared" si="301"/>
        <v>4.9879999999999995</v>
      </c>
      <c r="J196" s="551">
        <f t="shared" si="302"/>
        <v>9</v>
      </c>
      <c r="K196" s="451">
        <f t="shared" si="303"/>
        <v>16.399999999999999</v>
      </c>
      <c r="L196" s="451">
        <f t="shared" si="304"/>
        <v>25.4</v>
      </c>
      <c r="M196" s="451"/>
      <c r="N196" s="221">
        <f t="shared" si="305"/>
        <v>0.64566929133858264</v>
      </c>
      <c r="O196" s="176">
        <f t="shared" si="306"/>
        <v>5.6698549287756563</v>
      </c>
      <c r="P196" s="176">
        <f t="shared" si="307"/>
        <v>9.552037446932033</v>
      </c>
      <c r="Q196" s="221">
        <f t="shared" si="308"/>
        <v>0.36579709217907458</v>
      </c>
      <c r="R196" s="221">
        <f t="shared" si="309"/>
        <v>0.70873186609695704</v>
      </c>
      <c r="S196" s="221">
        <f t="shared" si="310"/>
        <v>15.5</v>
      </c>
      <c r="T196" s="221">
        <f t="shared" si="311"/>
        <v>4.0484739536284255</v>
      </c>
      <c r="U196" s="221">
        <f t="shared" si="312"/>
        <v>4.0484739536284255</v>
      </c>
      <c r="V196" s="221">
        <f t="shared" si="313"/>
        <v>2.2217235111375508</v>
      </c>
      <c r="W196" s="201">
        <f t="shared" si="314"/>
        <v>350</v>
      </c>
      <c r="X196" s="451">
        <f t="shared" si="315"/>
        <v>159.48461043201343</v>
      </c>
      <c r="Z196" s="221">
        <f t="shared" si="316"/>
        <v>1.8447694038245221</v>
      </c>
      <c r="AA196" s="177">
        <f t="shared" si="317"/>
        <v>1.0123734533183355</v>
      </c>
      <c r="AB196" s="177">
        <f t="shared" si="318"/>
        <v>0.17283982577713339</v>
      </c>
      <c r="AC196" s="177"/>
      <c r="AD196" s="177">
        <f t="shared" si="319"/>
        <v>0.45</v>
      </c>
      <c r="AE196" s="555">
        <f t="shared" si="320"/>
        <v>1957.7235772357724</v>
      </c>
      <c r="AF196" s="538">
        <f t="shared" si="321"/>
        <v>6.4574999999999994E-2</v>
      </c>
      <c r="AH196" s="177">
        <f t="shared" si="322"/>
        <v>2.592614663549289</v>
      </c>
      <c r="AI196" s="177">
        <f t="shared" si="323"/>
        <v>4.0484739536284255</v>
      </c>
      <c r="AJ196" s="177">
        <f t="shared" si="324"/>
        <v>3.5914621878729083</v>
      </c>
      <c r="AL196" s="555">
        <f t="shared" si="325"/>
        <v>361.2</v>
      </c>
      <c r="AM196" s="469">
        <f t="shared" si="326"/>
        <v>159.48461043201343</v>
      </c>
      <c r="AO196">
        <f t="shared" si="327"/>
        <v>361.2</v>
      </c>
      <c r="AP196">
        <f t="shared" si="328"/>
        <v>159.48461043201343</v>
      </c>
      <c r="AR196" s="5">
        <f t="shared" si="249"/>
        <v>6.2701974647659764</v>
      </c>
      <c r="AS196" s="5">
        <f t="shared" si="335"/>
        <v>4.0484739536284255</v>
      </c>
      <c r="AT196" s="5">
        <f t="shared" si="336"/>
        <v>2.2217235111375508</v>
      </c>
      <c r="AU196" s="177">
        <f t="shared" si="337"/>
        <v>0.64566929133858264</v>
      </c>
      <c r="AW196" s="5">
        <f t="shared" si="275"/>
        <v>9.4342502712941112</v>
      </c>
      <c r="AX196" s="5"/>
      <c r="AY196" s="5">
        <f t="shared" si="276"/>
        <v>31.552793876091542</v>
      </c>
      <c r="AZ196" s="5"/>
      <c r="BA196" s="5">
        <f t="shared" si="277"/>
        <v>2.5593706274598125</v>
      </c>
      <c r="BB196" s="5"/>
      <c r="BC196" s="5"/>
      <c r="BD196" s="177">
        <f t="shared" si="278"/>
        <v>1.8781738429003196</v>
      </c>
      <c r="BE196" s="177">
        <f t="shared" si="279"/>
        <v>1.3913459192143069</v>
      </c>
      <c r="BF196" s="177">
        <f t="shared" si="280"/>
        <v>2.2842096659532412</v>
      </c>
      <c r="BG196" s="177"/>
      <c r="BH196" s="538">
        <f t="shared" si="281"/>
        <v>0.38802906825704497</v>
      </c>
      <c r="BI196" s="538">
        <f t="shared" si="282"/>
        <v>8.199999999999999E-2</v>
      </c>
      <c r="BJ196" s="538">
        <f t="shared" si="283"/>
        <v>7.9742305216006712E-3</v>
      </c>
      <c r="BK196" s="538">
        <f t="shared" si="284"/>
        <v>2.3150945534921499E-2</v>
      </c>
      <c r="BL196">
        <f t="shared" si="285"/>
        <v>2.6099999999999999E-3</v>
      </c>
      <c r="BM196">
        <f t="shared" si="329"/>
        <v>6.3793844172805373E-6</v>
      </c>
      <c r="BN196">
        <f t="shared" si="330"/>
        <v>0.54261733860698491</v>
      </c>
      <c r="BO196" s="469">
        <f t="shared" si="286"/>
        <v>503.76424431356713</v>
      </c>
      <c r="BP196" s="177">
        <f t="shared" si="287"/>
        <v>0.32507999999999998</v>
      </c>
      <c r="BQ196" s="177">
        <f t="shared" si="288"/>
        <v>0.56114999999999993</v>
      </c>
      <c r="BR196" s="538"/>
      <c r="BT196" s="469">
        <f t="shared" si="289"/>
        <v>886.2299999999999</v>
      </c>
      <c r="BU196" s="538">
        <f t="shared" si="290"/>
        <v>0.16932177523943781</v>
      </c>
      <c r="BV196" s="538">
        <f t="shared" si="291"/>
        <v>0.46460243205943313</v>
      </c>
      <c r="BW196" s="538">
        <f t="shared" si="292"/>
        <v>1.2522273115282121</v>
      </c>
      <c r="BX196" s="538">
        <f t="shared" si="293"/>
        <v>0</v>
      </c>
      <c r="BY196" s="538">
        <f t="shared" si="274"/>
        <v>2.2213331975823625</v>
      </c>
      <c r="BZ196" s="538">
        <f t="shared" si="250"/>
        <v>1.886151518827083</v>
      </c>
      <c r="CA196" s="641">
        <f t="shared" si="331"/>
        <v>0.13069876543209877</v>
      </c>
      <c r="CB196" s="469">
        <f t="shared" si="338"/>
        <v>6124.335000668626</v>
      </c>
      <c r="CC196" s="177">
        <f t="shared" si="251"/>
        <v>3.7808793016214461</v>
      </c>
      <c r="CD196" s="5">
        <f t="shared" si="339"/>
        <v>10.586599999999999</v>
      </c>
      <c r="CE196" s="177">
        <f t="shared" si="340"/>
        <v>0.73684463208554929</v>
      </c>
      <c r="CF196" s="5">
        <f t="shared" si="341"/>
        <v>73.684463208554931</v>
      </c>
      <c r="CG196">
        <f t="shared" si="342"/>
        <v>86</v>
      </c>
      <c r="CI196" s="571">
        <f t="shared" si="332"/>
        <v>-50</v>
      </c>
      <c r="CJ196">
        <f t="shared" si="333"/>
        <v>-50</v>
      </c>
    </row>
    <row r="197" spans="5:88" x14ac:dyDescent="0.2">
      <c r="E197" s="174">
        <v>87</v>
      </c>
      <c r="F197" s="221">
        <f t="shared" si="334"/>
        <v>0.3654</v>
      </c>
      <c r="G197" s="221">
        <f t="shared" si="299"/>
        <v>0.63075000000000003</v>
      </c>
      <c r="H197" s="221">
        <f t="shared" si="300"/>
        <v>5.6637000000000004</v>
      </c>
      <c r="I197" s="221">
        <f t="shared" si="301"/>
        <v>5.0460000000000003</v>
      </c>
      <c r="J197" s="551">
        <f t="shared" si="302"/>
        <v>9</v>
      </c>
      <c r="K197" s="451">
        <f t="shared" si="303"/>
        <v>16.399999999999999</v>
      </c>
      <c r="L197" s="451">
        <f t="shared" si="304"/>
        <v>25.4</v>
      </c>
      <c r="M197" s="451"/>
      <c r="N197" s="221">
        <f t="shared" si="305"/>
        <v>0.64566929133858264</v>
      </c>
      <c r="O197" s="176">
        <f t="shared" si="306"/>
        <v>5.6698549287756563</v>
      </c>
      <c r="P197" s="176">
        <f t="shared" si="307"/>
        <v>9.552037446932033</v>
      </c>
      <c r="Q197" s="221">
        <f t="shared" si="308"/>
        <v>0.36579709217907458</v>
      </c>
      <c r="R197" s="221">
        <f t="shared" si="309"/>
        <v>0.70873186609695704</v>
      </c>
      <c r="S197" s="221">
        <f t="shared" si="310"/>
        <v>15.5</v>
      </c>
      <c r="T197" s="221">
        <f t="shared" si="311"/>
        <v>4.095549232158989</v>
      </c>
      <c r="U197" s="221">
        <f t="shared" si="312"/>
        <v>4.0955492321589899</v>
      </c>
      <c r="V197" s="221">
        <f t="shared" si="313"/>
        <v>2.2475575054531038</v>
      </c>
      <c r="W197" s="201">
        <f t="shared" si="314"/>
        <v>350</v>
      </c>
      <c r="X197" s="451">
        <f t="shared" si="315"/>
        <v>157.65145399026611</v>
      </c>
      <c r="Z197" s="221">
        <f t="shared" si="316"/>
        <v>1.8447694038245221</v>
      </c>
      <c r="AA197" s="177">
        <f t="shared" si="317"/>
        <v>1.0123734533183355</v>
      </c>
      <c r="AB197" s="177">
        <f t="shared" si="318"/>
        <v>0.17283982577713339</v>
      </c>
      <c r="AC197" s="177"/>
      <c r="AD197" s="177">
        <f t="shared" si="319"/>
        <v>0.45</v>
      </c>
      <c r="AE197" s="555">
        <f t="shared" si="320"/>
        <v>1980.4878048780488</v>
      </c>
      <c r="AF197" s="538">
        <f t="shared" si="321"/>
        <v>6.4574999999999994E-2</v>
      </c>
      <c r="AH197" s="177">
        <f t="shared" si="322"/>
        <v>2.6076444396829728</v>
      </c>
      <c r="AI197" s="177">
        <f t="shared" si="323"/>
        <v>4.095549232158989</v>
      </c>
      <c r="AJ197" s="177">
        <f t="shared" si="324"/>
        <v>3.6263327645622141</v>
      </c>
      <c r="AL197" s="555">
        <f t="shared" si="325"/>
        <v>365.4</v>
      </c>
      <c r="AM197" s="469">
        <f t="shared" si="326"/>
        <v>157.65145399026611</v>
      </c>
      <c r="AO197">
        <f t="shared" si="327"/>
        <v>365.4</v>
      </c>
      <c r="AP197">
        <f t="shared" si="328"/>
        <v>157.65145399026611</v>
      </c>
      <c r="AR197" s="5">
        <f t="shared" si="249"/>
        <v>6.3431067376120938</v>
      </c>
      <c r="AS197" s="5">
        <f t="shared" si="335"/>
        <v>4.0955492321589899</v>
      </c>
      <c r="AT197" s="5">
        <f t="shared" si="336"/>
        <v>2.2475575054531038</v>
      </c>
      <c r="AU197" s="177">
        <f t="shared" si="337"/>
        <v>0.64566929133858275</v>
      </c>
      <c r="AW197" s="5">
        <f t="shared" si="275"/>
        <v>9.654927028586421</v>
      </c>
      <c r="AX197" s="5"/>
      <c r="AY197" s="5">
        <f t="shared" si="276"/>
        <v>32.29084597730354</v>
      </c>
      <c r="AZ197" s="5"/>
      <c r="BA197" s="5">
        <f t="shared" si="277"/>
        <v>2.6192369225585885</v>
      </c>
      <c r="BB197" s="5"/>
      <c r="BC197" s="5"/>
      <c r="BD197" s="177">
        <f t="shared" si="278"/>
        <v>1.9000130736317189</v>
      </c>
      <c r="BE197" s="177">
        <f t="shared" si="279"/>
        <v>1.4075243601354033</v>
      </c>
      <c r="BF197" s="177">
        <f t="shared" si="280"/>
        <v>2.3107702434643254</v>
      </c>
      <c r="BG197" s="177"/>
      <c r="BH197" s="538">
        <f t="shared" si="281"/>
        <v>0.39710546479685971</v>
      </c>
      <c r="BI197" s="538">
        <f t="shared" si="282"/>
        <v>8.199999999999999E-2</v>
      </c>
      <c r="BJ197" s="538">
        <f t="shared" si="283"/>
        <v>7.8825726995133041E-3</v>
      </c>
      <c r="BK197" s="538">
        <f t="shared" si="284"/>
        <v>2.2884842712681017E-2</v>
      </c>
      <c r="BL197">
        <f t="shared" si="285"/>
        <v>2.6099999999999999E-3</v>
      </c>
      <c r="BM197">
        <f t="shared" si="329"/>
        <v>6.3060581596106447E-6</v>
      </c>
      <c r="BN197">
        <f t="shared" si="330"/>
        <v>0.55300567712202531</v>
      </c>
      <c r="BO197" s="469">
        <f t="shared" si="286"/>
        <v>512.48288020905397</v>
      </c>
      <c r="BP197" s="177">
        <f t="shared" si="287"/>
        <v>0.32885999999999999</v>
      </c>
      <c r="BQ197" s="177">
        <f t="shared" si="288"/>
        <v>0.56767500000000004</v>
      </c>
      <c r="BR197" s="538"/>
      <c r="BT197" s="469">
        <f t="shared" si="289"/>
        <v>896.53500000000008</v>
      </c>
      <c r="BU197" s="538">
        <f t="shared" si="290"/>
        <v>0.17328238463862969</v>
      </c>
      <c r="BV197" s="538">
        <f t="shared" si="291"/>
        <v>0.47546995784989832</v>
      </c>
      <c r="BW197" s="538">
        <f t="shared" si="292"/>
        <v>1.2815181883392426</v>
      </c>
      <c r="BX197" s="538">
        <f t="shared" si="293"/>
        <v>0</v>
      </c>
      <c r="BY197" s="538">
        <f t="shared" si="274"/>
        <v>2.2827813810864503</v>
      </c>
      <c r="BZ197" s="538">
        <f t="shared" si="250"/>
        <v>1.9302705308277706</v>
      </c>
      <c r="CA197" s="641">
        <f t="shared" si="331"/>
        <v>0.13221851851851854</v>
      </c>
      <c r="CB197" s="469">
        <f t="shared" si="338"/>
        <v>6275.5409612605099</v>
      </c>
      <c r="CC197" s="177">
        <f t="shared" si="251"/>
        <v>3.8645405767269945</v>
      </c>
      <c r="CD197" s="5">
        <f t="shared" si="339"/>
        <v>10.709700000000002</v>
      </c>
      <c r="CE197" s="177">
        <f t="shared" si="340"/>
        <v>0.73483760224885264</v>
      </c>
      <c r="CF197" s="5">
        <f t="shared" si="341"/>
        <v>73.483760224885259</v>
      </c>
      <c r="CG197">
        <f t="shared" si="342"/>
        <v>87</v>
      </c>
      <c r="CI197" s="571">
        <f t="shared" si="332"/>
        <v>157.65145399026611</v>
      </c>
      <c r="CJ197">
        <f t="shared" si="333"/>
        <v>11.18561889505513</v>
      </c>
    </row>
    <row r="198" spans="5:88" x14ac:dyDescent="0.2">
      <c r="E198" s="174">
        <v>88</v>
      </c>
      <c r="F198" s="221">
        <f t="shared" si="334"/>
        <v>0.36959999999999998</v>
      </c>
      <c r="G198" s="221">
        <f t="shared" si="299"/>
        <v>0.63800000000000001</v>
      </c>
      <c r="H198" s="221">
        <f t="shared" si="300"/>
        <v>5.7287999999999997</v>
      </c>
      <c r="I198" s="221">
        <f t="shared" si="301"/>
        <v>5.1040000000000001</v>
      </c>
      <c r="J198" s="551">
        <f t="shared" si="302"/>
        <v>9</v>
      </c>
      <c r="K198" s="451">
        <f t="shared" si="303"/>
        <v>16.240516582185219</v>
      </c>
      <c r="L198" s="451">
        <f t="shared" si="304"/>
        <v>25.4</v>
      </c>
      <c r="M198" s="451"/>
      <c r="N198" s="221">
        <f t="shared" si="305"/>
        <v>0.64566929133858264</v>
      </c>
      <c r="O198" s="176">
        <f t="shared" si="306"/>
        <v>5.6698549287756563</v>
      </c>
      <c r="P198" s="176">
        <f t="shared" si="307"/>
        <v>9.552037446932033</v>
      </c>
      <c r="Q198" s="221">
        <f t="shared" si="308"/>
        <v>0.36579709217907458</v>
      </c>
      <c r="R198" s="221">
        <f t="shared" si="309"/>
        <v>0.70873186609695704</v>
      </c>
      <c r="S198" s="221">
        <f t="shared" si="310"/>
        <v>15.340516582185218</v>
      </c>
      <c r="T198" s="221">
        <f t="shared" si="311"/>
        <v>4.0999999999999996</v>
      </c>
      <c r="U198" s="221">
        <f t="shared" si="312"/>
        <v>4.0999999999999996</v>
      </c>
      <c r="V198" s="221">
        <f t="shared" si="313"/>
        <v>2.2720952140449078</v>
      </c>
      <c r="W198" s="201">
        <f t="shared" si="314"/>
        <v>350</v>
      </c>
      <c r="X198" s="451">
        <f t="shared" si="315"/>
        <v>156.9342526137828</v>
      </c>
      <c r="Z198" s="221">
        <f t="shared" si="316"/>
        <v>1.8383726734757415</v>
      </c>
      <c r="AA198" s="177">
        <f t="shared" si="317"/>
        <v>1.0187701836671157</v>
      </c>
      <c r="AB198" s="177">
        <f t="shared" si="318"/>
        <v>0.17332881429931779</v>
      </c>
      <c r="AC198" s="177"/>
      <c r="AD198" s="177">
        <f t="shared" si="319"/>
        <v>0.45441904280898154</v>
      </c>
      <c r="AE198" s="555">
        <f t="shared" si="320"/>
        <v>1983.7712105147918</v>
      </c>
      <c r="AF198" s="538">
        <f t="shared" si="321"/>
        <v>6.5209132643088849E-2</v>
      </c>
      <c r="AH198" s="177">
        <f t="shared" si="322"/>
        <v>2.6225880831667512</v>
      </c>
      <c r="AI198" s="177">
        <f t="shared" si="323"/>
        <v>4.0999999999999996</v>
      </c>
      <c r="AJ198" s="177">
        <f t="shared" si="324"/>
        <v>3.6296296296296298</v>
      </c>
      <c r="AL198" s="555">
        <f t="shared" si="325"/>
        <v>369.59999999999997</v>
      </c>
      <c r="AM198" s="469">
        <f t="shared" si="326"/>
        <v>156.9342526137828</v>
      </c>
      <c r="AO198" t="str">
        <f t="shared" si="327"/>
        <v/>
      </c>
      <c r="AP198" t="str">
        <f t="shared" si="328"/>
        <v/>
      </c>
      <c r="AR198" s="5">
        <f t="shared" ref="AR198:AR262" si="343">1/AM198*1000</f>
        <v>6.3720952140449079</v>
      </c>
      <c r="AS198" s="5">
        <f t="shared" si="335"/>
        <v>4.0999999999999996</v>
      </c>
      <c r="AT198" s="5">
        <f t="shared" si="336"/>
        <v>2.2720952140449082</v>
      </c>
      <c r="AU198" s="177">
        <f t="shared" si="337"/>
        <v>0.64343043571650949</v>
      </c>
      <c r="AW198" s="5">
        <f t="shared" si="275"/>
        <v>9.776516129032256</v>
      </c>
      <c r="AX198" s="5"/>
      <c r="AY198" s="5">
        <f t="shared" si="276"/>
        <v>32.697499999999998</v>
      </c>
      <c r="AZ198" s="5"/>
      <c r="BA198" s="5">
        <f t="shared" si="277"/>
        <v>2.6782672967531829</v>
      </c>
      <c r="BB198" s="5"/>
      <c r="BC198" s="5"/>
      <c r="BD198" s="177">
        <f t="shared" si="278"/>
        <v>1.8987772929260311</v>
      </c>
      <c r="BE198" s="177">
        <f t="shared" si="279"/>
        <v>1.41349854092667</v>
      </c>
      <c r="BF198" s="177">
        <f t="shared" si="280"/>
        <v>2.3205782152426662</v>
      </c>
      <c r="BG198" s="177"/>
      <c r="BH198" s="538">
        <f t="shared" si="281"/>
        <v>0.39658907289446577</v>
      </c>
      <c r="BI198" s="538">
        <f t="shared" si="282"/>
        <v>8.1715665335996696E-2</v>
      </c>
      <c r="BJ198" s="538">
        <f t="shared" si="283"/>
        <v>7.8467126306891403E-3</v>
      </c>
      <c r="BK198" s="538">
        <f t="shared" si="284"/>
        <v>2.2780733043669323E-2</v>
      </c>
      <c r="BL198">
        <f t="shared" si="285"/>
        <v>2.6099999999999999E-3</v>
      </c>
      <c r="BM198">
        <f t="shared" si="329"/>
        <v>6.2773701045513119E-6</v>
      </c>
      <c r="BN198">
        <f t="shared" si="330"/>
        <v>0.55193383767199788</v>
      </c>
      <c r="BO198" s="469">
        <f t="shared" si="286"/>
        <v>511.542183904821</v>
      </c>
      <c r="BP198" s="177">
        <f t="shared" si="287"/>
        <v>0.33263999999999999</v>
      </c>
      <c r="BQ198" s="177">
        <f t="shared" si="288"/>
        <v>0.57420000000000004</v>
      </c>
      <c r="BR198" s="538"/>
      <c r="BT198" s="469">
        <f t="shared" si="289"/>
        <v>906.84000000000015</v>
      </c>
      <c r="BU198" s="538">
        <f t="shared" si="290"/>
        <v>0.17305704999031235</v>
      </c>
      <c r="BV198" s="538">
        <f t="shared" si="291"/>
        <v>0.47951475004843802</v>
      </c>
      <c r="BW198" s="538">
        <f t="shared" si="292"/>
        <v>1.292419980734121</v>
      </c>
      <c r="BX198" s="538">
        <f t="shared" si="293"/>
        <v>0</v>
      </c>
      <c r="BY198" s="538">
        <f t="shared" si="274"/>
        <v>2.3033991783514804</v>
      </c>
      <c r="BZ198" s="538">
        <f t="shared" ref="BZ198:BZ210" si="344">SUM(BU198:BX198)</f>
        <v>1.9449917807728714</v>
      </c>
      <c r="CA198" s="641">
        <f t="shared" si="331"/>
        <v>0.13190323932188444</v>
      </c>
      <c r="CB198" s="469">
        <f t="shared" si="338"/>
        <v>6325.2859792191075</v>
      </c>
      <c r="CC198" s="177">
        <f t="shared" ref="CC198:CC210" si="345">SUM(BN198,BP198:BS198,BY198, CA198)</f>
        <v>3.8940762553453627</v>
      </c>
      <c r="CD198" s="5">
        <f t="shared" si="339"/>
        <v>10.832799999999999</v>
      </c>
      <c r="CE198" s="177">
        <f t="shared" si="340"/>
        <v>0.73558029633528399</v>
      </c>
      <c r="CF198" s="5">
        <f t="shared" si="341"/>
        <v>73.558029633528406</v>
      </c>
      <c r="CG198">
        <f t="shared" si="342"/>
        <v>88</v>
      </c>
      <c r="CI198" s="571">
        <f t="shared" si="332"/>
        <v>-50</v>
      </c>
      <c r="CJ198">
        <f t="shared" si="333"/>
        <v>-50</v>
      </c>
    </row>
    <row r="199" spans="5:88" x14ac:dyDescent="0.2">
      <c r="E199" s="174">
        <v>89</v>
      </c>
      <c r="F199" s="221">
        <f t="shared" si="334"/>
        <v>0.37379999999999997</v>
      </c>
      <c r="G199" s="221">
        <f t="shared" si="299"/>
        <v>0.64524999999999999</v>
      </c>
      <c r="H199" s="221">
        <f t="shared" si="300"/>
        <v>5.7938999999999998</v>
      </c>
      <c r="I199" s="221">
        <f t="shared" si="301"/>
        <v>5.1619999999999999</v>
      </c>
      <c r="J199" s="551">
        <f t="shared" si="302"/>
        <v>9</v>
      </c>
      <c r="K199" s="451">
        <f t="shared" si="303"/>
        <v>16.068151227329203</v>
      </c>
      <c r="L199" s="451">
        <f t="shared" si="304"/>
        <v>25.4</v>
      </c>
      <c r="M199" s="451"/>
      <c r="N199" s="221">
        <f t="shared" si="305"/>
        <v>0.64566929133858264</v>
      </c>
      <c r="O199" s="176">
        <f t="shared" si="306"/>
        <v>5.6698549287756563</v>
      </c>
      <c r="P199" s="176">
        <f t="shared" si="307"/>
        <v>9.552037446932033</v>
      </c>
      <c r="Q199" s="221">
        <f t="shared" si="308"/>
        <v>0.36579709217907458</v>
      </c>
      <c r="R199" s="221">
        <f t="shared" si="309"/>
        <v>0.70873186609695704</v>
      </c>
      <c r="S199" s="221">
        <f t="shared" si="310"/>
        <v>15.168151227329204</v>
      </c>
      <c r="T199" s="221">
        <f t="shared" si="311"/>
        <v>4.0999999999999996</v>
      </c>
      <c r="U199" s="221">
        <f t="shared" si="312"/>
        <v>4.0999999999999996</v>
      </c>
      <c r="V199" s="221">
        <f t="shared" si="313"/>
        <v>2.2964683041593079</v>
      </c>
      <c r="W199" s="201">
        <f t="shared" si="314"/>
        <v>350</v>
      </c>
      <c r="X199" s="451">
        <f t="shared" si="315"/>
        <v>156.33627064950034</v>
      </c>
      <c r="Z199" s="221">
        <f t="shared" si="316"/>
        <v>1.8313677418941468</v>
      </c>
      <c r="AA199" s="177">
        <f t="shared" si="317"/>
        <v>1.0257751152487102</v>
      </c>
      <c r="AB199" s="177">
        <f t="shared" si="318"/>
        <v>0.17385560778411488</v>
      </c>
      <c r="AC199" s="177"/>
      <c r="AD199" s="177">
        <f t="shared" si="319"/>
        <v>0.45929366083186163</v>
      </c>
      <c r="AE199" s="555">
        <f t="shared" si="320"/>
        <v>1985.0204669097941</v>
      </c>
      <c r="AF199" s="538">
        <f t="shared" si="321"/>
        <v>6.5908640329372145E-2</v>
      </c>
      <c r="AH199" s="177">
        <f t="shared" si="322"/>
        <v>2.6374470580709266</v>
      </c>
      <c r="AI199" s="177">
        <f t="shared" si="323"/>
        <v>4.0999999999999996</v>
      </c>
      <c r="AJ199" s="177">
        <f t="shared" si="324"/>
        <v>3.6296296296296298</v>
      </c>
      <c r="AL199" s="555">
        <f t="shared" si="325"/>
        <v>373.79999999999995</v>
      </c>
      <c r="AM199" s="469">
        <f t="shared" si="326"/>
        <v>156.33627064950034</v>
      </c>
      <c r="AO199" t="str">
        <f t="shared" si="327"/>
        <v/>
      </c>
      <c r="AP199" t="str">
        <f t="shared" si="328"/>
        <v/>
      </c>
      <c r="AR199" s="5">
        <f t="shared" si="343"/>
        <v>6.396468304159308</v>
      </c>
      <c r="AS199" s="5">
        <f t="shared" si="335"/>
        <v>4.0999999999999996</v>
      </c>
      <c r="AT199" s="5">
        <f t="shared" si="336"/>
        <v>2.2964683041593084</v>
      </c>
      <c r="AU199" s="177">
        <f t="shared" si="337"/>
        <v>0.64097870966295134</v>
      </c>
      <c r="AW199" s="5">
        <f t="shared" si="275"/>
        <v>9.887612903225806</v>
      </c>
      <c r="AX199" s="5"/>
      <c r="AY199" s="5">
        <f t="shared" si="276"/>
        <v>33.069062499999994</v>
      </c>
      <c r="AZ199" s="5"/>
      <c r="BA199" s="5">
        <f t="shared" si="277"/>
        <v>2.7377587875449825</v>
      </c>
      <c r="BB199" s="5"/>
      <c r="BC199" s="5"/>
      <c r="BD199" s="177">
        <f t="shared" si="278"/>
        <v>1.8951562916581322</v>
      </c>
      <c r="BE199" s="177">
        <f t="shared" si="279"/>
        <v>1.4183497324432817</v>
      </c>
      <c r="BF199" s="177">
        <f t="shared" si="280"/>
        <v>2.3285425456083972</v>
      </c>
      <c r="BG199" s="177"/>
      <c r="BH199" s="538">
        <f t="shared" si="281"/>
        <v>0.39507791067925435</v>
      </c>
      <c r="BI199" s="538">
        <f t="shared" si="282"/>
        <v>8.1404296127194811E-2</v>
      </c>
      <c r="BJ199" s="538">
        <f t="shared" si="283"/>
        <v>7.816813532475016E-3</v>
      </c>
      <c r="BK199" s="538">
        <f t="shared" si="284"/>
        <v>2.2693929383752115E-2</v>
      </c>
      <c r="BL199">
        <f t="shared" si="285"/>
        <v>2.6099999999999999E-3</v>
      </c>
      <c r="BM199">
        <f t="shared" si="329"/>
        <v>6.2534508259800139E-6</v>
      </c>
      <c r="BN199">
        <f t="shared" si="330"/>
        <v>0.54967612640632924</v>
      </c>
      <c r="BO199" s="469">
        <f t="shared" si="286"/>
        <v>509.60294972267627</v>
      </c>
      <c r="BP199" s="177">
        <f t="shared" si="287"/>
        <v>0.33642</v>
      </c>
      <c r="BQ199" s="177">
        <f t="shared" si="288"/>
        <v>0.58072500000000005</v>
      </c>
      <c r="BR199" s="538"/>
      <c r="BT199" s="469">
        <f t="shared" si="289"/>
        <v>917.1450000000001</v>
      </c>
      <c r="BU199" s="538">
        <f t="shared" si="290"/>
        <v>0.17239763375094735</v>
      </c>
      <c r="BV199" s="538">
        <f t="shared" si="291"/>
        <v>0.48281183124526283</v>
      </c>
      <c r="BW199" s="538">
        <f t="shared" si="292"/>
        <v>1.3013064928100244</v>
      </c>
      <c r="BX199" s="538">
        <f t="shared" si="293"/>
        <v>0</v>
      </c>
      <c r="BY199" s="538">
        <f t="shared" si="274"/>
        <v>2.3195795028195745</v>
      </c>
      <c r="BZ199" s="538">
        <f t="shared" si="344"/>
        <v>1.9565159578062346</v>
      </c>
      <c r="CA199" s="641">
        <f t="shared" si="331"/>
        <v>0.13140063548090503</v>
      </c>
      <c r="CB199" s="469">
        <f t="shared" si="338"/>
        <v>6364.0120539129493</v>
      </c>
      <c r="CC199" s="177">
        <f t="shared" si="345"/>
        <v>3.9178012647068088</v>
      </c>
      <c r="CD199" s="5">
        <f t="shared" si="339"/>
        <v>10.9559</v>
      </c>
      <c r="CE199" s="177">
        <f t="shared" si="340"/>
        <v>0.73659540453436445</v>
      </c>
      <c r="CF199" s="5">
        <f t="shared" si="341"/>
        <v>73.659540453436449</v>
      </c>
      <c r="CG199">
        <f t="shared" si="342"/>
        <v>88.999999999999986</v>
      </c>
      <c r="CI199" s="571">
        <f t="shared" si="332"/>
        <v>-50</v>
      </c>
      <c r="CJ199">
        <f t="shared" si="333"/>
        <v>-50</v>
      </c>
    </row>
    <row r="200" spans="5:88" x14ac:dyDescent="0.2">
      <c r="E200" s="174">
        <v>90</v>
      </c>
      <c r="F200" s="221">
        <f t="shared" si="334"/>
        <v>0.378</v>
      </c>
      <c r="G200" s="221">
        <f t="shared" si="299"/>
        <v>0.65249999999999997</v>
      </c>
      <c r="H200" s="221">
        <f t="shared" si="300"/>
        <v>5.859</v>
      </c>
      <c r="I200" s="221">
        <f t="shared" si="301"/>
        <v>5.22</v>
      </c>
      <c r="J200" s="551">
        <f t="shared" si="302"/>
        <v>9</v>
      </c>
      <c r="K200" s="451">
        <f t="shared" si="303"/>
        <v>15.899616213692212</v>
      </c>
      <c r="L200" s="451">
        <f t="shared" si="304"/>
        <v>25.4</v>
      </c>
      <c r="M200" s="451"/>
      <c r="N200" s="221">
        <f t="shared" si="305"/>
        <v>0.64566929133858264</v>
      </c>
      <c r="O200" s="176">
        <f t="shared" si="306"/>
        <v>5.6698549287756563</v>
      </c>
      <c r="P200" s="176">
        <f t="shared" si="307"/>
        <v>9.552037446932033</v>
      </c>
      <c r="Q200" s="221">
        <f t="shared" si="308"/>
        <v>0.36579709217907458</v>
      </c>
      <c r="R200" s="221">
        <f t="shared" si="309"/>
        <v>0.70873186609695704</v>
      </c>
      <c r="S200" s="221">
        <f t="shared" si="310"/>
        <v>14.999616213692212</v>
      </c>
      <c r="T200" s="221">
        <f t="shared" si="311"/>
        <v>4.0999999999999996</v>
      </c>
      <c r="U200" s="221">
        <f t="shared" si="312"/>
        <v>4.0999999999999996</v>
      </c>
      <c r="V200" s="221">
        <f t="shared" si="313"/>
        <v>2.320810735558696</v>
      </c>
      <c r="W200" s="201">
        <f t="shared" si="314"/>
        <v>350</v>
      </c>
      <c r="X200" s="451">
        <f t="shared" si="315"/>
        <v>155.74357214143717</v>
      </c>
      <c r="Z200" s="221">
        <f t="shared" si="316"/>
        <v>1.8244247022282638</v>
      </c>
      <c r="AA200" s="177">
        <f t="shared" si="317"/>
        <v>1.0327181549145934</v>
      </c>
      <c r="AB200" s="177">
        <f t="shared" si="318"/>
        <v>0.17436878445156692</v>
      </c>
      <c r="AC200" s="177"/>
      <c r="AD200" s="177">
        <f t="shared" si="319"/>
        <v>0.46416214711173925</v>
      </c>
      <c r="AE200" s="555">
        <f t="shared" si="320"/>
        <v>1986.2697233047979</v>
      </c>
      <c r="AF200" s="538">
        <f t="shared" si="321"/>
        <v>6.6607268110534579E-2</v>
      </c>
      <c r="AH200" s="177">
        <f t="shared" si="322"/>
        <v>2.6522227874531419</v>
      </c>
      <c r="AI200" s="177">
        <f t="shared" si="323"/>
        <v>4.0999999999999996</v>
      </c>
      <c r="AJ200" s="177">
        <f t="shared" si="324"/>
        <v>3.6296296296296298</v>
      </c>
      <c r="AL200" s="555">
        <f t="shared" si="325"/>
        <v>378</v>
      </c>
      <c r="AM200" s="469">
        <f t="shared" si="326"/>
        <v>155.74357214143717</v>
      </c>
      <c r="AO200" t="str">
        <f t="shared" si="327"/>
        <v/>
      </c>
      <c r="AP200" t="str">
        <f t="shared" si="328"/>
        <v/>
      </c>
      <c r="AR200" s="5">
        <f t="shared" si="343"/>
        <v>6.4208107355586952</v>
      </c>
      <c r="AS200" s="5">
        <f t="shared" si="335"/>
        <v>4.0999999999999996</v>
      </c>
      <c r="AT200" s="5">
        <f t="shared" si="336"/>
        <v>2.3208107355586955</v>
      </c>
      <c r="AU200" s="177">
        <f t="shared" si="337"/>
        <v>0.63854864577989245</v>
      </c>
      <c r="AW200" s="5">
        <f t="shared" si="275"/>
        <v>9.9987096774193525</v>
      </c>
      <c r="AX200" s="5"/>
      <c r="AY200" s="5">
        <f t="shared" si="276"/>
        <v>33.440624999999997</v>
      </c>
      <c r="AZ200" s="5"/>
      <c r="BA200" s="5">
        <f t="shared" si="277"/>
        <v>2.7978662756457604</v>
      </c>
      <c r="BB200" s="5"/>
      <c r="BC200" s="5"/>
      <c r="BD200" s="177">
        <f t="shared" si="278"/>
        <v>1.8915604436161511</v>
      </c>
      <c r="BE200" s="177">
        <f t="shared" si="279"/>
        <v>1.4231417432849063</v>
      </c>
      <c r="BF200" s="177">
        <f t="shared" si="280"/>
        <v>2.3364097174832197</v>
      </c>
      <c r="BG200" s="177"/>
      <c r="BH200" s="538">
        <f t="shared" si="281"/>
        <v>0.39358010030386631</v>
      </c>
      <c r="BI200" s="538">
        <f t="shared" si="282"/>
        <v>8.1095678014046324E-2</v>
      </c>
      <c r="BJ200" s="538">
        <f t="shared" si="283"/>
        <v>7.7871786070718577E-3</v>
      </c>
      <c r="BK200" s="538">
        <f t="shared" si="284"/>
        <v>2.2607892675623159E-2</v>
      </c>
      <c r="BL200">
        <f t="shared" si="285"/>
        <v>2.6099999999999999E-3</v>
      </c>
      <c r="BM200">
        <f t="shared" si="329"/>
        <v>6.2297428856574867E-6</v>
      </c>
      <c r="BN200">
        <f t="shared" si="330"/>
        <v>0.54743970267871001</v>
      </c>
      <c r="BO200" s="469">
        <f t="shared" si="286"/>
        <v>507.68084960060764</v>
      </c>
      <c r="BP200" s="177">
        <f t="shared" si="287"/>
        <v>0.3402</v>
      </c>
      <c r="BQ200" s="177">
        <f t="shared" si="288"/>
        <v>0.58724999999999994</v>
      </c>
      <c r="BR200" s="538"/>
      <c r="BT200" s="469">
        <f t="shared" si="289"/>
        <v>927.44999999999993</v>
      </c>
      <c r="BU200" s="538">
        <f t="shared" si="290"/>
        <v>0.17174404376895985</v>
      </c>
      <c r="BV200" s="538">
        <f t="shared" si="291"/>
        <v>0.48607978115520051</v>
      </c>
      <c r="BW200" s="538">
        <f t="shared" si="292"/>
        <v>1.3101144883080045</v>
      </c>
      <c r="BX200" s="538">
        <f t="shared" si="293"/>
        <v>0</v>
      </c>
      <c r="BY200" s="538">
        <f t="shared" si="274"/>
        <v>2.3356518075001205</v>
      </c>
      <c r="BZ200" s="538">
        <f t="shared" si="344"/>
        <v>1.9679383132321648</v>
      </c>
      <c r="CA200" s="641">
        <f t="shared" si="331"/>
        <v>0.13090247238487795</v>
      </c>
      <c r="CB200" s="469">
        <f t="shared" si="338"/>
        <v>6402.4309063493283</v>
      </c>
      <c r="CC200" s="177">
        <f t="shared" si="345"/>
        <v>3.9414439825637082</v>
      </c>
      <c r="CD200" s="5">
        <f t="shared" si="339"/>
        <v>11.079000000000001</v>
      </c>
      <c r="CE200" s="177">
        <f t="shared" si="340"/>
        <v>0.73759470844276753</v>
      </c>
      <c r="CF200" s="5">
        <f t="shared" si="341"/>
        <v>73.759470844276748</v>
      </c>
      <c r="CG200">
        <f t="shared" si="342"/>
        <v>90</v>
      </c>
      <c r="CI200" s="571">
        <f t="shared" si="332"/>
        <v>-50</v>
      </c>
      <c r="CJ200">
        <f t="shared" si="333"/>
        <v>-50</v>
      </c>
    </row>
    <row r="201" spans="5:88" x14ac:dyDescent="0.2">
      <c r="E201" s="174">
        <v>91</v>
      </c>
      <c r="F201" s="221">
        <f t="shared" si="334"/>
        <v>0.38219999999999998</v>
      </c>
      <c r="G201" s="221">
        <f t="shared" si="299"/>
        <v>0.65974999999999995</v>
      </c>
      <c r="H201" s="221">
        <f t="shared" si="300"/>
        <v>5.9241000000000001</v>
      </c>
      <c r="I201" s="221">
        <f t="shared" si="301"/>
        <v>5.2779999999999996</v>
      </c>
      <c r="J201" s="551">
        <f t="shared" si="302"/>
        <v>9</v>
      </c>
      <c r="K201" s="451">
        <f t="shared" si="303"/>
        <v>15.734785266289002</v>
      </c>
      <c r="L201" s="451">
        <f t="shared" si="304"/>
        <v>25.4</v>
      </c>
      <c r="M201" s="451"/>
      <c r="N201" s="221">
        <f t="shared" si="305"/>
        <v>0.64566929133858264</v>
      </c>
      <c r="O201" s="176">
        <f t="shared" si="306"/>
        <v>5.6698549287756563</v>
      </c>
      <c r="P201" s="176">
        <f t="shared" si="307"/>
        <v>9.552037446932033</v>
      </c>
      <c r="Q201" s="221">
        <f t="shared" si="308"/>
        <v>0.36579709217907458</v>
      </c>
      <c r="R201" s="221">
        <f t="shared" si="309"/>
        <v>0.70873186609695704</v>
      </c>
      <c r="S201" s="221">
        <f t="shared" si="310"/>
        <v>14.834785266289002</v>
      </c>
      <c r="T201" s="221">
        <f t="shared" si="311"/>
        <v>4.0999999999999996</v>
      </c>
      <c r="U201" s="221">
        <f t="shared" si="312"/>
        <v>4.0999999999999996</v>
      </c>
      <c r="V201" s="221">
        <f t="shared" si="313"/>
        <v>2.3451225660547408</v>
      </c>
      <c r="W201" s="201">
        <f t="shared" si="314"/>
        <v>350</v>
      </c>
      <c r="X201" s="451">
        <f t="shared" si="315"/>
        <v>155.15608737478689</v>
      </c>
      <c r="Z201" s="221">
        <f t="shared" si="316"/>
        <v>1.8175427378189319</v>
      </c>
      <c r="AA201" s="177">
        <f t="shared" si="317"/>
        <v>1.0396001193239253</v>
      </c>
      <c r="AB201" s="177">
        <f t="shared" si="318"/>
        <v>0.17486864171189004</v>
      </c>
      <c r="AC201" s="177"/>
      <c r="AD201" s="177">
        <f t="shared" si="319"/>
        <v>0.46902451321094824</v>
      </c>
      <c r="AE201" s="555">
        <f t="shared" si="320"/>
        <v>1987.5189796998006</v>
      </c>
      <c r="AF201" s="538">
        <f t="shared" si="321"/>
        <v>6.730501764577107E-2</v>
      </c>
      <c r="AH201" s="177">
        <f t="shared" si="322"/>
        <v>2.6669166549490151</v>
      </c>
      <c r="AI201" s="177">
        <f t="shared" si="323"/>
        <v>4.0999999999999996</v>
      </c>
      <c r="AJ201" s="177">
        <f t="shared" si="324"/>
        <v>3.6296296296296298</v>
      </c>
      <c r="AL201" s="555">
        <f t="shared" si="325"/>
        <v>382.2</v>
      </c>
      <c r="AM201" s="469">
        <f t="shared" si="326"/>
        <v>155.15608737478689</v>
      </c>
      <c r="AO201" t="str">
        <f t="shared" si="327"/>
        <v/>
      </c>
      <c r="AP201" t="str">
        <f t="shared" si="328"/>
        <v/>
      </c>
      <c r="AR201" s="5">
        <f t="shared" si="343"/>
        <v>6.4451225660547404</v>
      </c>
      <c r="AS201" s="5">
        <f t="shared" si="335"/>
        <v>4.0999999999999996</v>
      </c>
      <c r="AT201" s="5">
        <f t="shared" si="336"/>
        <v>2.3451225660547408</v>
      </c>
      <c r="AU201" s="177">
        <f t="shared" si="337"/>
        <v>0.63613995823662617</v>
      </c>
      <c r="AW201" s="5">
        <f t="shared" si="275"/>
        <v>10.109806451612902</v>
      </c>
      <c r="AX201" s="5"/>
      <c r="AY201" s="5">
        <f t="shared" si="276"/>
        <v>33.812187499999993</v>
      </c>
      <c r="AZ201" s="5"/>
      <c r="BA201" s="5">
        <f t="shared" si="277"/>
        <v>2.8585885994989484</v>
      </c>
      <c r="BB201" s="5"/>
      <c r="BC201" s="5"/>
      <c r="BD201" s="177">
        <f t="shared" si="278"/>
        <v>1.8879894683637835</v>
      </c>
      <c r="BE201" s="177">
        <f t="shared" si="279"/>
        <v>1.4278757301252694</v>
      </c>
      <c r="BF201" s="177">
        <f t="shared" si="280"/>
        <v>2.3441816298092064</v>
      </c>
      <c r="BG201" s="177"/>
      <c r="BH201" s="538">
        <f t="shared" si="281"/>
        <v>0.39209546559178177</v>
      </c>
      <c r="BI201" s="538">
        <f t="shared" si="282"/>
        <v>8.0789774696051531E-2</v>
      </c>
      <c r="BJ201" s="538">
        <f t="shared" si="283"/>
        <v>7.7578043687393438E-3</v>
      </c>
      <c r="BK201" s="538">
        <f t="shared" si="284"/>
        <v>2.2522612799411437E-2</v>
      </c>
      <c r="BL201">
        <f t="shared" si="285"/>
        <v>2.6099999999999999E-3</v>
      </c>
      <c r="BM201">
        <f t="shared" si="329"/>
        <v>6.2062434949914762E-6</v>
      </c>
      <c r="BN201">
        <f t="shared" si="330"/>
        <v>0.545224266827533</v>
      </c>
      <c r="BO201" s="469">
        <f t="shared" si="286"/>
        <v>505.77565745598406</v>
      </c>
      <c r="BP201" s="177">
        <f t="shared" si="287"/>
        <v>0.34398000000000001</v>
      </c>
      <c r="BQ201" s="177">
        <f t="shared" si="288"/>
        <v>0.59377499999999994</v>
      </c>
      <c r="BR201" s="538"/>
      <c r="BT201" s="469">
        <f t="shared" si="289"/>
        <v>937.75499999999988</v>
      </c>
      <c r="BU201" s="538">
        <f t="shared" si="290"/>
        <v>0.17109620316732296</v>
      </c>
      <c r="BV201" s="538">
        <f t="shared" si="291"/>
        <v>0.48931898416338504</v>
      </c>
      <c r="BW201" s="538">
        <f t="shared" si="292"/>
        <v>1.3188450032483874</v>
      </c>
      <c r="BX201" s="538">
        <f t="shared" si="293"/>
        <v>0</v>
      </c>
      <c r="BY201" s="538">
        <f t="shared" si="274"/>
        <v>2.3516171705039537</v>
      </c>
      <c r="BZ201" s="538">
        <f t="shared" si="344"/>
        <v>1.9792601905790954</v>
      </c>
      <c r="CA201" s="641">
        <f t="shared" si="331"/>
        <v>0.13040869143850839</v>
      </c>
      <c r="CB201" s="469">
        <f t="shared" si="338"/>
        <v>6440.5462431006526</v>
      </c>
      <c r="CC201" s="177">
        <f t="shared" si="345"/>
        <v>3.9650051287699952</v>
      </c>
      <c r="CD201" s="5">
        <f t="shared" si="339"/>
        <v>11.2021</v>
      </c>
      <c r="CE201" s="177">
        <f t="shared" si="340"/>
        <v>0.7385786479946721</v>
      </c>
      <c r="CF201" s="5">
        <f t="shared" si="341"/>
        <v>73.857864799467208</v>
      </c>
      <c r="CG201">
        <f t="shared" si="342"/>
        <v>91</v>
      </c>
      <c r="CI201" s="571">
        <f t="shared" si="332"/>
        <v>-50</v>
      </c>
      <c r="CJ201">
        <f t="shared" si="333"/>
        <v>-50</v>
      </c>
    </row>
    <row r="202" spans="5:88" x14ac:dyDescent="0.2">
      <c r="E202" s="174">
        <v>92</v>
      </c>
      <c r="F202" s="221">
        <f t="shared" si="334"/>
        <v>0.38640000000000002</v>
      </c>
      <c r="G202" s="221">
        <f t="shared" si="299"/>
        <v>0.66700000000000004</v>
      </c>
      <c r="H202" s="221">
        <f t="shared" si="300"/>
        <v>5.9892000000000003</v>
      </c>
      <c r="I202" s="221">
        <f t="shared" si="301"/>
        <v>5.3360000000000003</v>
      </c>
      <c r="J202" s="551">
        <f t="shared" si="302"/>
        <v>9</v>
      </c>
      <c r="K202" s="451">
        <f t="shared" si="303"/>
        <v>15.573537600351077</v>
      </c>
      <c r="L202" s="451">
        <f t="shared" si="304"/>
        <v>25.4</v>
      </c>
      <c r="M202" s="451"/>
      <c r="N202" s="221">
        <f t="shared" si="305"/>
        <v>0.64566929133858264</v>
      </c>
      <c r="O202" s="176">
        <f t="shared" si="306"/>
        <v>5.6698549287756563</v>
      </c>
      <c r="P202" s="176">
        <f t="shared" si="307"/>
        <v>9.552037446932033</v>
      </c>
      <c r="Q202" s="221">
        <f t="shared" si="308"/>
        <v>0.36579709217907458</v>
      </c>
      <c r="R202" s="221">
        <f t="shared" si="309"/>
        <v>0.70873186609695704</v>
      </c>
      <c r="S202" s="221">
        <f t="shared" si="310"/>
        <v>14.673537600351077</v>
      </c>
      <c r="T202" s="221">
        <f t="shared" si="311"/>
        <v>4.0999999999999996</v>
      </c>
      <c r="U202" s="221">
        <f t="shared" si="312"/>
        <v>4.0999999999999996</v>
      </c>
      <c r="V202" s="221">
        <f t="shared" si="313"/>
        <v>2.3694038533138517</v>
      </c>
      <c r="W202" s="201">
        <f t="shared" si="314"/>
        <v>350</v>
      </c>
      <c r="X202" s="451">
        <f t="shared" si="315"/>
        <v>154.57374785588095</v>
      </c>
      <c r="Z202" s="221">
        <f t="shared" si="316"/>
        <v>1.8107210463117482</v>
      </c>
      <c r="AA202" s="177">
        <f t="shared" si="317"/>
        <v>1.046421810831109</v>
      </c>
      <c r="AB202" s="177">
        <f t="shared" si="318"/>
        <v>0.17535546971252738</v>
      </c>
      <c r="AC202" s="177"/>
      <c r="AD202" s="177">
        <f t="shared" si="319"/>
        <v>0.47388077066277035</v>
      </c>
      <c r="AE202" s="555">
        <f t="shared" si="320"/>
        <v>1988.7682360948038</v>
      </c>
      <c r="AF202" s="538">
        <f t="shared" si="321"/>
        <v>6.8001890590107542E-2</v>
      </c>
      <c r="AH202" s="177">
        <f t="shared" si="322"/>
        <v>2.6815300062843179</v>
      </c>
      <c r="AI202" s="177">
        <f t="shared" si="323"/>
        <v>4.0999999999999996</v>
      </c>
      <c r="AJ202" s="177">
        <f t="shared" si="324"/>
        <v>3.6296296296296298</v>
      </c>
      <c r="AL202" s="555">
        <f t="shared" si="325"/>
        <v>386.40000000000003</v>
      </c>
      <c r="AM202" s="469">
        <f t="shared" si="326"/>
        <v>154.57374785588095</v>
      </c>
      <c r="AO202" t="str">
        <f t="shared" si="327"/>
        <v/>
      </c>
      <c r="AP202" t="str">
        <f t="shared" si="328"/>
        <v/>
      </c>
      <c r="AR202" s="5">
        <f t="shared" si="343"/>
        <v>6.4694038533138523</v>
      </c>
      <c r="AS202" s="5">
        <f t="shared" si="335"/>
        <v>4.0999999999999996</v>
      </c>
      <c r="AT202" s="5">
        <f t="shared" si="336"/>
        <v>2.3694038533138526</v>
      </c>
      <c r="AU202" s="177">
        <f t="shared" si="337"/>
        <v>0.63375236620911179</v>
      </c>
      <c r="AW202" s="5">
        <f t="shared" si="275"/>
        <v>10.220903225806451</v>
      </c>
      <c r="AX202" s="5"/>
      <c r="AY202" s="5">
        <f t="shared" si="276"/>
        <v>34.183749999999996</v>
      </c>
      <c r="AZ202" s="5"/>
      <c r="BA202" s="5">
        <f t="shared" si="277"/>
        <v>2.9199246004665276</v>
      </c>
      <c r="BB202" s="5"/>
      <c r="BC202" s="5"/>
      <c r="BD202" s="177">
        <f t="shared" si="278"/>
        <v>1.8844430897902937</v>
      </c>
      <c r="BE202" s="177">
        <f t="shared" si="279"/>
        <v>1.4325528174119595</v>
      </c>
      <c r="BF202" s="177">
        <f t="shared" si="280"/>
        <v>2.3518601286219223</v>
      </c>
      <c r="BG202" s="177"/>
      <c r="BH202" s="538">
        <f t="shared" si="281"/>
        <v>0.3906238334524228</v>
      </c>
      <c r="BI202" s="538">
        <f t="shared" si="282"/>
        <v>8.04865505085572E-2</v>
      </c>
      <c r="BJ202" s="538">
        <f t="shared" si="283"/>
        <v>7.728687392794047E-3</v>
      </c>
      <c r="BK202" s="538">
        <f t="shared" si="284"/>
        <v>2.2438079812507533E-2</v>
      </c>
      <c r="BL202">
        <f t="shared" si="285"/>
        <v>2.6099999999999999E-3</v>
      </c>
      <c r="BM202">
        <f t="shared" si="329"/>
        <v>6.1829499142352381E-6</v>
      </c>
      <c r="BN202">
        <f t="shared" si="330"/>
        <v>0.54302952478931443</v>
      </c>
      <c r="BO202" s="469">
        <f t="shared" si="286"/>
        <v>503.88715116628157</v>
      </c>
      <c r="BP202" s="177">
        <f t="shared" si="287"/>
        <v>0.34776000000000001</v>
      </c>
      <c r="BQ202" s="177">
        <f t="shared" si="288"/>
        <v>0.60030000000000006</v>
      </c>
      <c r="BR202" s="538"/>
      <c r="BT202" s="469">
        <f t="shared" si="289"/>
        <v>948.06000000000017</v>
      </c>
      <c r="BU202" s="538">
        <f t="shared" si="290"/>
        <v>0.17045403641560267</v>
      </c>
      <c r="BV202" s="538">
        <f t="shared" si="291"/>
        <v>0.49252981792198625</v>
      </c>
      <c r="BW202" s="538">
        <f t="shared" si="292"/>
        <v>1.3274990555043658</v>
      </c>
      <c r="BX202" s="538">
        <f t="shared" si="293"/>
        <v>0</v>
      </c>
      <c r="BY202" s="538">
        <f t="shared" si="274"/>
        <v>2.3674766556424398</v>
      </c>
      <c r="BZ202" s="538">
        <f t="shared" si="344"/>
        <v>1.9904829098419548</v>
      </c>
      <c r="CA202" s="641">
        <f t="shared" si="331"/>
        <v>0.12991923507286796</v>
      </c>
      <c r="CB202" s="469">
        <f t="shared" si="338"/>
        <v>6478.3617103992174</v>
      </c>
      <c r="CC202" s="177">
        <f t="shared" si="345"/>
        <v>3.9884854155046225</v>
      </c>
      <c r="CD202" s="5">
        <f t="shared" si="339"/>
        <v>11.325200000000001</v>
      </c>
      <c r="CE202" s="177">
        <f t="shared" si="340"/>
        <v>0.73954764595944966</v>
      </c>
      <c r="CF202" s="5">
        <f t="shared" si="341"/>
        <v>73.954764595944965</v>
      </c>
      <c r="CG202">
        <f t="shared" si="342"/>
        <v>92</v>
      </c>
      <c r="CI202" s="571">
        <f t="shared" si="332"/>
        <v>-50</v>
      </c>
      <c r="CJ202">
        <f t="shared" si="333"/>
        <v>-50</v>
      </c>
    </row>
    <row r="203" spans="5:88" x14ac:dyDescent="0.2">
      <c r="E203" s="174">
        <v>93</v>
      </c>
      <c r="F203" s="221">
        <f t="shared" si="334"/>
        <v>0.3906</v>
      </c>
      <c r="G203" s="221">
        <f t="shared" si="299"/>
        <v>0.67425000000000002</v>
      </c>
      <c r="H203" s="221">
        <f t="shared" si="300"/>
        <v>6.0543000000000005</v>
      </c>
      <c r="I203" s="221">
        <f t="shared" si="301"/>
        <v>5.3940000000000001</v>
      </c>
      <c r="J203" s="551">
        <f t="shared" si="302"/>
        <v>9</v>
      </c>
      <c r="K203" s="451">
        <f t="shared" si="303"/>
        <v>15.415757626153754</v>
      </c>
      <c r="L203" s="451">
        <f t="shared" si="304"/>
        <v>25.4</v>
      </c>
      <c r="M203" s="451"/>
      <c r="N203" s="221">
        <f t="shared" si="305"/>
        <v>0.64566929133858264</v>
      </c>
      <c r="O203" s="176">
        <f t="shared" si="306"/>
        <v>5.6698549287756563</v>
      </c>
      <c r="P203" s="176">
        <f t="shared" si="307"/>
        <v>9.552037446932033</v>
      </c>
      <c r="Q203" s="221">
        <f t="shared" si="308"/>
        <v>0.36579709217907458</v>
      </c>
      <c r="R203" s="221">
        <f t="shared" si="309"/>
        <v>0.70873186609695704</v>
      </c>
      <c r="S203" s="221">
        <f t="shared" si="310"/>
        <v>14.515757626153754</v>
      </c>
      <c r="T203" s="221">
        <f t="shared" si="311"/>
        <v>4.0999999999999996</v>
      </c>
      <c r="U203" s="221">
        <f t="shared" si="312"/>
        <v>4.0999999999999996</v>
      </c>
      <c r="V203" s="221">
        <f t="shared" si="313"/>
        <v>2.3936546548576336</v>
      </c>
      <c r="W203" s="201">
        <f t="shared" si="314"/>
        <v>350</v>
      </c>
      <c r="X203" s="451">
        <f t="shared" si="315"/>
        <v>153.99648628556824</v>
      </c>
      <c r="Z203" s="221">
        <f t="shared" si="316"/>
        <v>1.8039588393452282</v>
      </c>
      <c r="AA203" s="177">
        <f t="shared" si="317"/>
        <v>1.0531840177976293</v>
      </c>
      <c r="AB203" s="177">
        <f t="shared" si="318"/>
        <v>0.17582955154104188</v>
      </c>
      <c r="AC203" s="177"/>
      <c r="AD203" s="177">
        <f t="shared" si="319"/>
        <v>0.47873093097152669</v>
      </c>
      <c r="AE203" s="555">
        <f t="shared" si="320"/>
        <v>1990.0174924898065</v>
      </c>
      <c r="AF203" s="538">
        <f t="shared" si="321"/>
        <v>6.8697888594414086E-2</v>
      </c>
      <c r="AH203" s="177">
        <f t="shared" si="322"/>
        <v>2.6960641507133887</v>
      </c>
      <c r="AI203" s="177">
        <f t="shared" si="323"/>
        <v>4.0999999999999996</v>
      </c>
      <c r="AJ203" s="177">
        <f t="shared" si="324"/>
        <v>3.6296296296296298</v>
      </c>
      <c r="AL203" s="555">
        <f t="shared" si="325"/>
        <v>390.6</v>
      </c>
      <c r="AM203" s="469">
        <f t="shared" si="326"/>
        <v>153.99648628556824</v>
      </c>
      <c r="AO203" t="str">
        <f t="shared" si="327"/>
        <v/>
      </c>
      <c r="AP203" t="str">
        <f t="shared" si="328"/>
        <v/>
      </c>
      <c r="AR203" s="5">
        <f t="shared" si="343"/>
        <v>6.4936546548576342</v>
      </c>
      <c r="AS203" s="5">
        <f t="shared" si="335"/>
        <v>4.0999999999999996</v>
      </c>
      <c r="AT203" s="5">
        <f t="shared" si="336"/>
        <v>2.3936546548576345</v>
      </c>
      <c r="AU203" s="177">
        <f t="shared" si="337"/>
        <v>0.6313855937708297</v>
      </c>
      <c r="AW203" s="5">
        <f t="shared" si="275"/>
        <v>10.331999999999999</v>
      </c>
      <c r="AX203" s="5"/>
      <c r="AY203" s="5">
        <f t="shared" si="276"/>
        <v>34.555312499999999</v>
      </c>
      <c r="AZ203" s="5"/>
      <c r="BA203" s="5">
        <f t="shared" si="277"/>
        <v>2.9818731228198714</v>
      </c>
      <c r="BB203" s="5"/>
      <c r="BC203" s="5"/>
      <c r="BD203" s="177">
        <f t="shared" si="278"/>
        <v>1.8809210360253161</v>
      </c>
      <c r="BE203" s="177">
        <f t="shared" si="279"/>
        <v>1.4371740985596644</v>
      </c>
      <c r="BF203" s="177">
        <f t="shared" si="280"/>
        <v>2.3594470090093935</v>
      </c>
      <c r="BG203" s="177"/>
      <c r="BH203" s="538">
        <f t="shared" si="281"/>
        <v>0.38916503381388035</v>
      </c>
      <c r="BI203" s="538">
        <f t="shared" si="282"/>
        <v>8.0185970408895371E-2</v>
      </c>
      <c r="BJ203" s="538">
        <f t="shared" si="283"/>
        <v>7.6998243142784115E-3</v>
      </c>
      <c r="BK203" s="538">
        <f t="shared" si="284"/>
        <v>2.2354283945699369E-2</v>
      </c>
      <c r="BL203">
        <f t="shared" si="285"/>
        <v>2.6099999999999999E-3</v>
      </c>
      <c r="BM203">
        <f t="shared" si="329"/>
        <v>6.1598594514227301E-6</v>
      </c>
      <c r="BN203">
        <f t="shared" si="330"/>
        <v>0.54085518796857546</v>
      </c>
      <c r="BO203" s="469">
        <f t="shared" si="286"/>
        <v>502.01511248275341</v>
      </c>
      <c r="BP203" s="177">
        <f t="shared" si="287"/>
        <v>0.35154000000000002</v>
      </c>
      <c r="BQ203" s="177">
        <f t="shared" si="288"/>
        <v>0.60682500000000006</v>
      </c>
      <c r="BR203" s="538"/>
      <c r="BT203" s="469">
        <f t="shared" si="289"/>
        <v>958.36500000000012</v>
      </c>
      <c r="BU203" s="538">
        <f t="shared" si="290"/>
        <v>0.16981746930060235</v>
      </c>
      <c r="BV203" s="538">
        <f t="shared" si="291"/>
        <v>0.49571265349698812</v>
      </c>
      <c r="BW203" s="538">
        <f t="shared" si="292"/>
        <v>1.3360776451976095</v>
      </c>
      <c r="BX203" s="538">
        <f t="shared" si="293"/>
        <v>0</v>
      </c>
      <c r="BY203" s="538">
        <f t="shared" si="274"/>
        <v>2.383231312663777</v>
      </c>
      <c r="BZ203" s="538">
        <f t="shared" si="344"/>
        <v>2.0016077679951998</v>
      </c>
      <c r="CA203" s="641">
        <f t="shared" si="331"/>
        <v>0.12943404672302011</v>
      </c>
      <c r="CB203" s="469">
        <f t="shared" si="338"/>
        <v>6515.8808953771968</v>
      </c>
      <c r="CC203" s="177">
        <f t="shared" si="345"/>
        <v>4.0118855473553729</v>
      </c>
      <c r="CD203" s="5">
        <f t="shared" si="339"/>
        <v>11.4483</v>
      </c>
      <c r="CE203" s="177">
        <f t="shared" si="340"/>
        <v>0.74050210878344547</v>
      </c>
      <c r="CF203" s="5">
        <f t="shared" si="341"/>
        <v>74.050210878344544</v>
      </c>
      <c r="CG203">
        <f t="shared" si="342"/>
        <v>93</v>
      </c>
      <c r="CI203" s="571">
        <f t="shared" si="332"/>
        <v>-50</v>
      </c>
      <c r="CJ203">
        <f t="shared" si="333"/>
        <v>-50</v>
      </c>
    </row>
    <row r="204" spans="5:88" x14ac:dyDescent="0.2">
      <c r="E204" s="174">
        <v>94</v>
      </c>
      <c r="F204" s="221">
        <f t="shared" si="334"/>
        <v>0.39479999999999998</v>
      </c>
      <c r="G204" s="221">
        <f t="shared" si="299"/>
        <v>0.68149999999999999</v>
      </c>
      <c r="H204" s="221">
        <f t="shared" si="300"/>
        <v>6.1193999999999997</v>
      </c>
      <c r="I204" s="221">
        <f t="shared" si="301"/>
        <v>5.452</v>
      </c>
      <c r="J204" s="551">
        <f t="shared" si="302"/>
        <v>9</v>
      </c>
      <c r="K204" s="451">
        <f t="shared" si="303"/>
        <v>15.261334672684034</v>
      </c>
      <c r="L204" s="451">
        <f t="shared" si="304"/>
        <v>25.4</v>
      </c>
      <c r="M204" s="451"/>
      <c r="N204" s="221">
        <f t="shared" si="305"/>
        <v>0.64566929133858264</v>
      </c>
      <c r="O204" s="176">
        <f t="shared" si="306"/>
        <v>5.6698549287756563</v>
      </c>
      <c r="P204" s="176">
        <f t="shared" si="307"/>
        <v>9.552037446932033</v>
      </c>
      <c r="Q204" s="221">
        <f t="shared" si="308"/>
        <v>0.36579709217907458</v>
      </c>
      <c r="R204" s="221">
        <f t="shared" si="309"/>
        <v>0.70873186609695704</v>
      </c>
      <c r="S204" s="221">
        <f t="shared" si="310"/>
        <v>14.361334672684034</v>
      </c>
      <c r="T204" s="221">
        <f t="shared" si="311"/>
        <v>4.0999999999999996</v>
      </c>
      <c r="U204" s="221">
        <f t="shared" si="312"/>
        <v>4.0999999999999996</v>
      </c>
      <c r="V204" s="221">
        <f t="shared" si="313"/>
        <v>2.4178750280633441</v>
      </c>
      <c r="W204" s="201">
        <f t="shared" si="314"/>
        <v>350</v>
      </c>
      <c r="X204" s="451">
        <f t="shared" si="315"/>
        <v>153.42423653328777</v>
      </c>
      <c r="Z204" s="221">
        <f t="shared" si="316"/>
        <v>1.7972553422470852</v>
      </c>
      <c r="AA204" s="177">
        <f t="shared" si="317"/>
        <v>1.0598875148957723</v>
      </c>
      <c r="AB204" s="177">
        <f t="shared" si="318"/>
        <v>0.17629116342156836</v>
      </c>
      <c r="AC204" s="177"/>
      <c r="AD204" s="177">
        <f t="shared" si="319"/>
        <v>0.48357500561266886</v>
      </c>
      <c r="AE204" s="555">
        <f t="shared" si="320"/>
        <v>1991.2667488848094</v>
      </c>
      <c r="AF204" s="538">
        <f t="shared" si="321"/>
        <v>6.9393013305417986E-2</v>
      </c>
      <c r="AH204" s="177">
        <f t="shared" si="322"/>
        <v>2.710520362388122</v>
      </c>
      <c r="AI204" s="177">
        <f t="shared" si="323"/>
        <v>4.0999999999999996</v>
      </c>
      <c r="AJ204" s="177">
        <f t="shared" si="324"/>
        <v>3.6296296296296298</v>
      </c>
      <c r="AL204" s="555">
        <f t="shared" si="325"/>
        <v>394.8</v>
      </c>
      <c r="AM204" s="469">
        <f t="shared" si="326"/>
        <v>153.42423653328777</v>
      </c>
      <c r="AO204" t="str">
        <f t="shared" si="327"/>
        <v/>
      </c>
      <c r="AP204" t="str">
        <f t="shared" si="328"/>
        <v/>
      </c>
      <c r="AR204" s="5">
        <f t="shared" si="343"/>
        <v>6.5178750280633428</v>
      </c>
      <c r="AS204" s="5">
        <f t="shared" si="335"/>
        <v>4.0999999999999996</v>
      </c>
      <c r="AT204" s="5">
        <f t="shared" si="336"/>
        <v>2.4178750280633432</v>
      </c>
      <c r="AU204" s="177">
        <f t="shared" si="337"/>
        <v>0.62903936978647979</v>
      </c>
      <c r="AW204" s="5">
        <f t="shared" si="275"/>
        <v>10.443096774193549</v>
      </c>
      <c r="AX204" s="5"/>
      <c r="AY204" s="5">
        <f t="shared" si="276"/>
        <v>34.926874999999995</v>
      </c>
      <c r="AZ204" s="5"/>
      <c r="BA204" s="5">
        <f t="shared" si="277"/>
        <v>3.0444330137306213</v>
      </c>
      <c r="BB204" s="5"/>
      <c r="BC204" s="5"/>
      <c r="BD204" s="177">
        <f t="shared" si="278"/>
        <v>1.8774230393556948</v>
      </c>
      <c r="BE204" s="177">
        <f t="shared" si="279"/>
        <v>1.4417406370875998</v>
      </c>
      <c r="BF204" s="177">
        <f t="shared" si="280"/>
        <v>2.3669440169794522</v>
      </c>
      <c r="BG204" s="177"/>
      <c r="BH204" s="538">
        <f t="shared" si="281"/>
        <v>0.38771889955739325</v>
      </c>
      <c r="BI204" s="538">
        <f t="shared" si="282"/>
        <v>7.9887999962882927E-2</v>
      </c>
      <c r="BJ204" s="538">
        <f t="shared" si="283"/>
        <v>7.6712118266643887E-3</v>
      </c>
      <c r="BK204" s="538">
        <f t="shared" si="284"/>
        <v>2.2271215599408582E-2</v>
      </c>
      <c r="BL204">
        <f t="shared" si="285"/>
        <v>2.6099999999999999E-3</v>
      </c>
      <c r="BM204">
        <f t="shared" si="329"/>
        <v>6.1369694613315108E-6</v>
      </c>
      <c r="BN204">
        <f t="shared" si="330"/>
        <v>0.53870097311133425</v>
      </c>
      <c r="BO204" s="469">
        <f t="shared" si="286"/>
        <v>500.1593269463491</v>
      </c>
      <c r="BP204" s="177">
        <f t="shared" si="287"/>
        <v>0.35531999999999997</v>
      </c>
      <c r="BQ204" s="177">
        <f t="shared" si="288"/>
        <v>0.61335000000000006</v>
      </c>
      <c r="BR204" s="538"/>
      <c r="BT204" s="469">
        <f t="shared" si="289"/>
        <v>968.67000000000007</v>
      </c>
      <c r="BU204" s="538">
        <f t="shared" si="290"/>
        <v>0.16918642889777161</v>
      </c>
      <c r="BV204" s="538">
        <f t="shared" si="291"/>
        <v>0.49886785551114193</v>
      </c>
      <c r="BW204" s="538">
        <f t="shared" si="292"/>
        <v>1.3445817550835581</v>
      </c>
      <c r="BX204" s="538">
        <f t="shared" si="293"/>
        <v>0</v>
      </c>
      <c r="BY204" s="538">
        <f t="shared" si="274"/>
        <v>2.3988821774846074</v>
      </c>
      <c r="BZ204" s="538">
        <f t="shared" si="344"/>
        <v>2.0126360394924716</v>
      </c>
      <c r="CA204" s="641">
        <f t="shared" si="331"/>
        <v>0.12895307080622836</v>
      </c>
      <c r="CB204" s="469">
        <f t="shared" si="338"/>
        <v>6553.1073272757794</v>
      </c>
      <c r="CC204" s="177">
        <f t="shared" si="345"/>
        <v>4.03520622140217</v>
      </c>
      <c r="CD204" s="5">
        <f t="shared" si="339"/>
        <v>11.571400000000001</v>
      </c>
      <c r="CE204" s="177">
        <f t="shared" si="340"/>
        <v>0.74144242738254795</v>
      </c>
      <c r="CF204" s="5">
        <f t="shared" si="341"/>
        <v>74.144242738254789</v>
      </c>
      <c r="CG204">
        <f t="shared" si="342"/>
        <v>94</v>
      </c>
      <c r="CI204" s="571">
        <f t="shared" si="332"/>
        <v>-50</v>
      </c>
      <c r="CJ204">
        <f t="shared" si="333"/>
        <v>-50</v>
      </c>
    </row>
    <row r="205" spans="5:88" x14ac:dyDescent="0.2">
      <c r="E205" s="174">
        <v>95</v>
      </c>
      <c r="F205" s="221">
        <f t="shared" si="334"/>
        <v>0.39899999999999997</v>
      </c>
      <c r="G205" s="221">
        <f t="shared" si="299"/>
        <v>0.68874999999999997</v>
      </c>
      <c r="H205" s="221">
        <f t="shared" si="300"/>
        <v>6.1844999999999999</v>
      </c>
      <c r="I205" s="221">
        <f t="shared" si="301"/>
        <v>5.51</v>
      </c>
      <c r="J205" s="551">
        <f t="shared" si="302"/>
        <v>9</v>
      </c>
      <c r="K205" s="451">
        <f t="shared" si="303"/>
        <v>15.110162728761045</v>
      </c>
      <c r="L205" s="451">
        <f t="shared" si="304"/>
        <v>25.4</v>
      </c>
      <c r="M205" s="451"/>
      <c r="N205" s="221">
        <f t="shared" si="305"/>
        <v>0.64566929133858264</v>
      </c>
      <c r="O205" s="176">
        <f t="shared" si="306"/>
        <v>5.6698549287756563</v>
      </c>
      <c r="P205" s="176">
        <f t="shared" si="307"/>
        <v>9.552037446932033</v>
      </c>
      <c r="Q205" s="221">
        <f t="shared" si="308"/>
        <v>0.36579709217907458</v>
      </c>
      <c r="R205" s="221">
        <f t="shared" si="309"/>
        <v>0.70873186609695704</v>
      </c>
      <c r="S205" s="221">
        <f t="shared" si="310"/>
        <v>14.210162728761045</v>
      </c>
      <c r="T205" s="221">
        <f t="shared" si="311"/>
        <v>4.0999999999999996</v>
      </c>
      <c r="U205" s="221">
        <f t="shared" si="312"/>
        <v>4.0999999999999996</v>
      </c>
      <c r="V205" s="221">
        <f t="shared" si="313"/>
        <v>2.4420650301643447</v>
      </c>
      <c r="W205" s="201">
        <f t="shared" si="314"/>
        <v>350</v>
      </c>
      <c r="X205" s="451">
        <f t="shared" si="315"/>
        <v>152.85693361181382</v>
      </c>
      <c r="Z205" s="221">
        <f t="shared" si="316"/>
        <v>1.7906097937383907</v>
      </c>
      <c r="AA205" s="177">
        <f t="shared" si="317"/>
        <v>1.066533063404467</v>
      </c>
      <c r="AB205" s="177">
        <f t="shared" si="318"/>
        <v>0.17674057490505579</v>
      </c>
      <c r="AC205" s="177"/>
      <c r="AD205" s="177">
        <f t="shared" si="319"/>
        <v>0.48841300603286891</v>
      </c>
      <c r="AE205" s="555">
        <f t="shared" si="320"/>
        <v>1992.5160052798126</v>
      </c>
      <c r="AF205" s="538">
        <f t="shared" si="321"/>
        <v>7.0087266365716688E-2</v>
      </c>
      <c r="AH205" s="177">
        <f t="shared" si="322"/>
        <v>2.7248998816615932</v>
      </c>
      <c r="AI205" s="177">
        <f t="shared" si="323"/>
        <v>4.0999999999999996</v>
      </c>
      <c r="AJ205" s="177">
        <f t="shared" si="324"/>
        <v>3.6296296296296298</v>
      </c>
      <c r="AL205" s="555">
        <f t="shared" si="325"/>
        <v>398.99999999999994</v>
      </c>
      <c r="AM205" s="469">
        <f t="shared" si="326"/>
        <v>152.85693361181382</v>
      </c>
      <c r="AO205" t="str">
        <f t="shared" si="327"/>
        <v/>
      </c>
      <c r="AP205" t="str">
        <f t="shared" si="328"/>
        <v/>
      </c>
      <c r="AR205" s="5">
        <f t="shared" si="343"/>
        <v>6.5420650301643448</v>
      </c>
      <c r="AS205" s="5">
        <f t="shared" si="335"/>
        <v>4.0999999999999996</v>
      </c>
      <c r="AT205" s="5">
        <f t="shared" si="336"/>
        <v>2.4420650301643452</v>
      </c>
      <c r="AU205" s="177">
        <f t="shared" si="337"/>
        <v>0.62671342780843664</v>
      </c>
      <c r="AW205" s="5">
        <f t="shared" si="275"/>
        <v>10.554193548387094</v>
      </c>
      <c r="AX205" s="5"/>
      <c r="AY205" s="5">
        <f t="shared" si="276"/>
        <v>35.298437499999991</v>
      </c>
      <c r="AZ205" s="5"/>
      <c r="BA205" s="5">
        <f t="shared" si="277"/>
        <v>3.1076031232616028</v>
      </c>
      <c r="BB205" s="5"/>
      <c r="BC205" s="5"/>
      <c r="BD205" s="177">
        <f t="shared" si="278"/>
        <v>1.873948836144308</v>
      </c>
      <c r="BE205" s="177">
        <f t="shared" si="279"/>
        <v>1.4462534677043049</v>
      </c>
      <c r="BF205" s="177">
        <f t="shared" si="280"/>
        <v>2.3743528512406749</v>
      </c>
      <c r="BG205" s="177"/>
      <c r="BH205" s="538">
        <f t="shared" si="281"/>
        <v>0.38628526645352673</v>
      </c>
      <c r="BI205" s="538">
        <f t="shared" si="282"/>
        <v>7.9592605331671451E-2</v>
      </c>
      <c r="BJ205" s="538">
        <f t="shared" si="283"/>
        <v>7.6428466805906897E-3</v>
      </c>
      <c r="BK205" s="538">
        <f t="shared" si="284"/>
        <v>2.21888653400245E-2</v>
      </c>
      <c r="BL205">
        <f t="shared" si="285"/>
        <v>2.6099999999999999E-3</v>
      </c>
      <c r="BM205">
        <f t="shared" si="329"/>
        <v>6.1142773444725529E-6</v>
      </c>
      <c r="BN205">
        <f t="shared" si="330"/>
        <v>0.53656660218209618</v>
      </c>
      <c r="BO205" s="469">
        <f t="shared" si="286"/>
        <v>498.31958380581335</v>
      </c>
      <c r="BP205" s="177">
        <f t="shared" si="287"/>
        <v>0.35909999999999997</v>
      </c>
      <c r="BQ205" s="177">
        <f t="shared" si="288"/>
        <v>0.61987499999999995</v>
      </c>
      <c r="BR205" s="538"/>
      <c r="BT205" s="469">
        <f t="shared" si="289"/>
        <v>978.97499999999991</v>
      </c>
      <c r="BU205" s="538">
        <f t="shared" si="290"/>
        <v>0.16856084354335713</v>
      </c>
      <c r="BV205" s="538">
        <f t="shared" si="291"/>
        <v>0.5019957822832144</v>
      </c>
      <c r="BW205" s="538">
        <f t="shared" si="292"/>
        <v>1.3530123509267333</v>
      </c>
      <c r="BX205" s="538">
        <f t="shared" si="293"/>
        <v>0</v>
      </c>
      <c r="BY205" s="538">
        <f t="shared" si="274"/>
        <v>2.4144302724170843</v>
      </c>
      <c r="BZ205" s="538">
        <f t="shared" si="344"/>
        <v>2.0235689767533049</v>
      </c>
      <c r="CA205" s="641">
        <f t="shared" si="331"/>
        <v>0.12847625270072952</v>
      </c>
      <c r="CB205" s="469">
        <f t="shared" si="338"/>
        <v>6590.0444786244234</v>
      </c>
      <c r="CC205" s="177">
        <f t="shared" si="345"/>
        <v>4.0584481272999096</v>
      </c>
      <c r="CD205" s="5">
        <f t="shared" si="339"/>
        <v>11.6945</v>
      </c>
      <c r="CE205" s="177">
        <f t="shared" si="340"/>
        <v>0.74236897788886858</v>
      </c>
      <c r="CF205" s="5">
        <f t="shared" si="341"/>
        <v>74.236897788886864</v>
      </c>
      <c r="CG205">
        <f t="shared" si="342"/>
        <v>95</v>
      </c>
      <c r="CI205" s="571">
        <f t="shared" si="332"/>
        <v>-50</v>
      </c>
      <c r="CJ205">
        <f t="shared" si="333"/>
        <v>-50</v>
      </c>
    </row>
    <row r="206" spans="5:88" x14ac:dyDescent="0.2">
      <c r="E206" s="174">
        <v>96</v>
      </c>
      <c r="F206" s="221">
        <f t="shared" si="334"/>
        <v>0.40319999999999995</v>
      </c>
      <c r="G206" s="221">
        <f t="shared" si="299"/>
        <v>0.69599999999999995</v>
      </c>
      <c r="H206" s="221">
        <f t="shared" si="300"/>
        <v>6.2495999999999992</v>
      </c>
      <c r="I206" s="221">
        <f t="shared" si="301"/>
        <v>5.5679999999999996</v>
      </c>
      <c r="J206" s="551">
        <f t="shared" si="302"/>
        <v>9</v>
      </c>
      <c r="K206" s="451">
        <f t="shared" si="303"/>
        <v>14.962140200336451</v>
      </c>
      <c r="L206" s="451">
        <f t="shared" si="304"/>
        <v>25.4</v>
      </c>
      <c r="M206" s="451"/>
      <c r="N206" s="221">
        <f t="shared" si="305"/>
        <v>0.64566929133858264</v>
      </c>
      <c r="O206" s="176">
        <f t="shared" ref="O206:O210" si="346">N206*J206*Isw_max*0.5*Efficiency*Pout/(Pout+Pout2)</f>
        <v>5.6698549287756563</v>
      </c>
      <c r="P206" s="176">
        <f t="shared" si="307"/>
        <v>9.552037446932033</v>
      </c>
      <c r="Q206" s="221">
        <f t="shared" si="308"/>
        <v>0.36579709217907458</v>
      </c>
      <c r="R206" s="221">
        <f t="shared" si="309"/>
        <v>0.70873186609695704</v>
      </c>
      <c r="S206" s="221">
        <f t="shared" si="310"/>
        <v>14.062140200336451</v>
      </c>
      <c r="T206" s="221">
        <f t="shared" si="311"/>
        <v>4.0999999999999996</v>
      </c>
      <c r="U206" s="221">
        <f t="shared" si="312"/>
        <v>4.0999999999999996</v>
      </c>
      <c r="V206" s="221">
        <f t="shared" si="313"/>
        <v>2.4662247182505501</v>
      </c>
      <c r="W206" s="201">
        <f t="shared" si="314"/>
        <v>350</v>
      </c>
      <c r="X206" s="451">
        <f t="shared" si="315"/>
        <v>152.29451365265362</v>
      </c>
      <c r="Z206" s="221">
        <f t="shared" si="316"/>
        <v>1.7840214456453709</v>
      </c>
      <c r="AA206" s="177">
        <f t="shared" si="317"/>
        <v>1.0731214114974865</v>
      </c>
      <c r="AB206" s="177">
        <f t="shared" ref="AB206:AB210" si="347">0.5*AA206*Z206*Nps*W206/1000*(Pout/(Pout+Pout2))</f>
        <v>0.17717804905351847</v>
      </c>
      <c r="AC206" s="177"/>
      <c r="AD206" s="177">
        <f t="shared" si="319"/>
        <v>0.49324494365011007</v>
      </c>
      <c r="AE206" s="555">
        <f t="shared" ref="AE206:AE210" si="348">MAX(10, F206/(0.5*AD206/1000000*Isw_min*Nps)/1000*Pout_total/Pout)</f>
        <v>1993.7652616748157</v>
      </c>
      <c r="AF206" s="538">
        <f t="shared" si="321"/>
        <v>7.0780649413790794E-2</v>
      </c>
      <c r="AH206" s="177">
        <f t="shared" si="322"/>
        <v>2.7392039163300885</v>
      </c>
      <c r="AI206" s="177">
        <f t="shared" ref="AI206:AI210" si="349">MAX(IF(F206&gt;AB206,T206,AH206),Isw_min)</f>
        <v>4.0999999999999996</v>
      </c>
      <c r="AJ206" s="177">
        <f t="shared" ref="AJ206:AJ210" si="350">IF(F206&gt;AF206, (AI206-Isw_min)/1.08*0.8+1.2, AE206*0.2/350+1)</f>
        <v>3.6296296296296298</v>
      </c>
      <c r="AL206" s="555">
        <f t="shared" si="325"/>
        <v>403.19999999999993</v>
      </c>
      <c r="AM206" s="469">
        <f t="shared" si="326"/>
        <v>152.29451365265362</v>
      </c>
      <c r="AO206" t="str">
        <f t="shared" si="327"/>
        <v/>
      </c>
      <c r="AP206" t="str">
        <f t="shared" si="328"/>
        <v/>
      </c>
      <c r="AR206" s="5">
        <f t="shared" si="343"/>
        <v>6.5662247182505498</v>
      </c>
      <c r="AS206" s="5">
        <f t="shared" si="335"/>
        <v>4.0999999999999996</v>
      </c>
      <c r="AT206" s="5">
        <f t="shared" si="336"/>
        <v>2.4662247182505501</v>
      </c>
      <c r="AU206" s="177">
        <f t="shared" si="337"/>
        <v>0.6244075059758798</v>
      </c>
      <c r="AW206" s="5">
        <f t="shared" si="275"/>
        <v>10.665290322580644</v>
      </c>
      <c r="AX206" s="5"/>
      <c r="AY206" s="5">
        <f t="shared" si="276"/>
        <v>35.669999999999995</v>
      </c>
      <c r="AZ206" s="5"/>
      <c r="BA206" s="5">
        <f t="shared" si="277"/>
        <v>3.1713823043577434</v>
      </c>
      <c r="BB206" s="5"/>
      <c r="BC206" s="5"/>
      <c r="BD206" s="177">
        <f t="shared" si="278"/>
        <v>1.8704981667508203</v>
      </c>
      <c r="BE206" s="177">
        <f t="shared" si="279"/>
        <v>1.4507135973427536</v>
      </c>
      <c r="BF206" s="177">
        <f t="shared" si="280"/>
        <v>2.3816751649017536</v>
      </c>
      <c r="BG206" s="177"/>
      <c r="BH206" s="538">
        <f t="shared" si="281"/>
        <v>0.38486397309999976</v>
      </c>
      <c r="BI206" s="538">
        <f t="shared" si="282"/>
        <v>7.929975325893672E-2</v>
      </c>
      <c r="BJ206" s="538">
        <f t="shared" si="283"/>
        <v>7.6147256826326814E-3</v>
      </c>
      <c r="BK206" s="538">
        <f t="shared" si="284"/>
        <v>2.210722389633285E-2</v>
      </c>
      <c r="BL206">
        <f t="shared" si="285"/>
        <v>2.6099999999999999E-3</v>
      </c>
      <c r="BM206">
        <f t="shared" si="329"/>
        <v>6.0917805461061453E-6</v>
      </c>
      <c r="BN206">
        <f t="shared" ref="BN206:BN210" si="351">(BI206+BJ206+BK206+BL206+BM206+BH206*(1+RdsonTC*(Ta-25)))/(1-BH206*RdsonTC*ThetaJA)</f>
        <v>0.53445180224422828</v>
      </c>
      <c r="BO206" s="469">
        <f t="shared" si="286"/>
        <v>496.49567593790198</v>
      </c>
      <c r="BP206" s="177">
        <f t="shared" si="287"/>
        <v>0.36287999999999998</v>
      </c>
      <c r="BQ206" s="177">
        <f t="shared" si="288"/>
        <v>0.62639999999999996</v>
      </c>
      <c r="BR206" s="538"/>
      <c r="BT206" s="469">
        <f t="shared" si="289"/>
        <v>989.28</v>
      </c>
      <c r="BU206" s="538">
        <f t="shared" si="290"/>
        <v>0.16794064280727261</v>
      </c>
      <c r="BV206" s="538">
        <f t="shared" si="291"/>
        <v>0.50509678596363672</v>
      </c>
      <c r="BW206" s="538">
        <f t="shared" si="292"/>
        <v>1.3613703818663507</v>
      </c>
      <c r="BX206" s="538">
        <f t="shared" si="293"/>
        <v>0</v>
      </c>
      <c r="BY206" s="538">
        <f t="shared" si="274"/>
        <v>2.4298766063914647</v>
      </c>
      <c r="BZ206" s="538">
        <f t="shared" si="344"/>
        <v>2.0344078106372603</v>
      </c>
      <c r="CA206" s="641">
        <f t="shared" si="331"/>
        <v>0.12800353872505538</v>
      </c>
      <c r="CB206" s="469">
        <f t="shared" si="338"/>
        <v>6626.6957663910407</v>
      </c>
      <c r="CC206" s="177">
        <f t="shared" si="345"/>
        <v>4.0816119473607486</v>
      </c>
      <c r="CD206" s="5">
        <f t="shared" si="339"/>
        <v>11.817599999999999</v>
      </c>
      <c r="CE206" s="177">
        <f t="shared" si="340"/>
        <v>0.74328212235460567</v>
      </c>
      <c r="CF206" s="5">
        <f t="shared" si="341"/>
        <v>74.328212235460569</v>
      </c>
      <c r="CG206">
        <f t="shared" si="342"/>
        <v>96</v>
      </c>
      <c r="CI206" s="571">
        <f t="shared" si="332"/>
        <v>-50</v>
      </c>
      <c r="CJ206">
        <f t="shared" si="333"/>
        <v>-50</v>
      </c>
    </row>
    <row r="207" spans="5:88" x14ac:dyDescent="0.2">
      <c r="E207" s="174">
        <v>97</v>
      </c>
      <c r="F207" s="221">
        <f t="shared" ref="F207:F210" si="352">IF(PLOT_TYPE=1, E207/100*Iout_max, min_I*EXP(O207*rr/100))</f>
        <v>0.40739999999999998</v>
      </c>
      <c r="G207" s="221">
        <f t="shared" si="299"/>
        <v>0.70324999999999993</v>
      </c>
      <c r="H207" s="221">
        <f t="shared" si="300"/>
        <v>6.3147000000000002</v>
      </c>
      <c r="I207" s="221">
        <f t="shared" si="301"/>
        <v>5.6259999999999994</v>
      </c>
      <c r="J207" s="551">
        <f t="shared" si="302"/>
        <v>9</v>
      </c>
      <c r="K207" s="451">
        <f t="shared" si="303"/>
        <v>14.817169682807208</v>
      </c>
      <c r="L207" s="451">
        <f t="shared" si="304"/>
        <v>25.4</v>
      </c>
      <c r="M207" s="451"/>
      <c r="N207" s="221">
        <f t="shared" si="305"/>
        <v>0.64566929133858264</v>
      </c>
      <c r="O207" s="176">
        <f t="shared" si="346"/>
        <v>5.6698549287756563</v>
      </c>
      <c r="P207" s="176">
        <f t="shared" si="307"/>
        <v>9.552037446932033</v>
      </c>
      <c r="Q207" s="221">
        <f t="shared" si="308"/>
        <v>0.36579709217907458</v>
      </c>
      <c r="R207" s="221">
        <f t="shared" si="309"/>
        <v>0.70873186609695704</v>
      </c>
      <c r="S207" s="221">
        <f t="shared" si="310"/>
        <v>13.917169682807208</v>
      </c>
      <c r="T207" s="221">
        <f t="shared" si="311"/>
        <v>4.0999999999999996</v>
      </c>
      <c r="U207" s="221">
        <f t="shared" si="312"/>
        <v>4.0999999999999996</v>
      </c>
      <c r="V207" s="221">
        <f t="shared" si="313"/>
        <v>2.4903541492688808</v>
      </c>
      <c r="W207" s="201">
        <f t="shared" si="314"/>
        <v>350</v>
      </c>
      <c r="X207" s="451">
        <f t="shared" si="315"/>
        <v>151.73691388207686</v>
      </c>
      <c r="Z207" s="221">
        <f t="shared" si="316"/>
        <v>1.7774895626186147</v>
      </c>
      <c r="AA207" s="177">
        <f t="shared" si="317"/>
        <v>1.079653294524243</v>
      </c>
      <c r="AB207" s="177">
        <f t="shared" si="347"/>
        <v>0.17760384261850984</v>
      </c>
      <c r="AC207" s="177"/>
      <c r="AD207" s="177">
        <f t="shared" si="319"/>
        <v>0.49807082985377615</v>
      </c>
      <c r="AE207" s="555">
        <f t="shared" si="348"/>
        <v>1995.0145180698187</v>
      </c>
      <c r="AF207" s="538">
        <f t="shared" si="321"/>
        <v>7.1473164084016882E-2</v>
      </c>
      <c r="AH207" s="177">
        <f t="shared" si="322"/>
        <v>2.7534336428170598</v>
      </c>
      <c r="AI207" s="177">
        <f t="shared" si="349"/>
        <v>4.0999999999999996</v>
      </c>
      <c r="AJ207" s="177">
        <f t="shared" si="350"/>
        <v>3.6296296296296298</v>
      </c>
      <c r="AL207" s="555">
        <f t="shared" si="325"/>
        <v>407.4</v>
      </c>
      <c r="AM207" s="469">
        <f t="shared" si="326"/>
        <v>151.73691388207686</v>
      </c>
      <c r="AO207" t="str">
        <f t="shared" si="327"/>
        <v/>
      </c>
      <c r="AP207" t="str">
        <f t="shared" si="328"/>
        <v/>
      </c>
      <c r="AR207" s="5">
        <f t="shared" si="343"/>
        <v>6.5903541492688795</v>
      </c>
      <c r="AS207" s="5">
        <f t="shared" si="335"/>
        <v>4.0999999999999996</v>
      </c>
      <c r="AT207" s="5">
        <f t="shared" si="336"/>
        <v>2.4903541492688799</v>
      </c>
      <c r="AU207" s="177">
        <f t="shared" si="337"/>
        <v>0.62212134691651511</v>
      </c>
      <c r="AW207" s="5">
        <f t="shared" si="275"/>
        <v>10.776387096774192</v>
      </c>
      <c r="AX207" s="5"/>
      <c r="AY207" s="5">
        <f t="shared" si="276"/>
        <v>36.041562499999991</v>
      </c>
      <c r="AZ207" s="5"/>
      <c r="BA207" s="5">
        <f t="shared" si="277"/>
        <v>3.2357694128370769</v>
      </c>
      <c r="BB207" s="5"/>
      <c r="BC207" s="5"/>
      <c r="BD207" s="177">
        <f t="shared" si="278"/>
        <v>1.8670707754543048</v>
      </c>
      <c r="BE207" s="177">
        <f t="shared" si="279"/>
        <v>1.4551220061485544</v>
      </c>
      <c r="BF207" s="177">
        <f t="shared" si="280"/>
        <v>2.3889125670938478</v>
      </c>
      <c r="BG207" s="177"/>
      <c r="BH207" s="538">
        <f t="shared" si="281"/>
        <v>0.3834548608611093</v>
      </c>
      <c r="BI207" s="538">
        <f t="shared" si="282"/>
        <v>7.90094110583974E-2</v>
      </c>
      <c r="BJ207" s="538">
        <f t="shared" si="283"/>
        <v>7.586845694103843E-3</v>
      </c>
      <c r="BK207" s="538">
        <f t="shared" si="284"/>
        <v>2.2026282156036157E-2</v>
      </c>
      <c r="BL207">
        <f t="shared" si="285"/>
        <v>2.6099999999999999E-3</v>
      </c>
      <c r="BM207">
        <f t="shared" si="329"/>
        <v>6.0694765552830749E-6</v>
      </c>
      <c r="BN207">
        <f t="shared" si="351"/>
        <v>0.53235630534360734</v>
      </c>
      <c r="BO207" s="469">
        <f t="shared" si="286"/>
        <v>494.68739976964667</v>
      </c>
      <c r="BP207" s="177">
        <f t="shared" si="287"/>
        <v>0.36665999999999999</v>
      </c>
      <c r="BQ207" s="177">
        <f t="shared" si="288"/>
        <v>0.63292499999999996</v>
      </c>
      <c r="BR207" s="538"/>
      <c r="BT207" s="469">
        <f t="shared" si="289"/>
        <v>999.58499999999992</v>
      </c>
      <c r="BU207" s="538">
        <f t="shared" si="290"/>
        <v>0.16732575746666589</v>
      </c>
      <c r="BV207" s="538">
        <f t="shared" si="291"/>
        <v>0.50817121266667042</v>
      </c>
      <c r="BW207" s="538">
        <f t="shared" si="292"/>
        <v>1.3696567807725402</v>
      </c>
      <c r="BX207" s="538">
        <f t="shared" si="293"/>
        <v>0</v>
      </c>
      <c r="BY207" s="538">
        <f t="shared" si="274"/>
        <v>2.4452221751743624</v>
      </c>
      <c r="BZ207" s="538">
        <f t="shared" si="344"/>
        <v>2.0451537509058766</v>
      </c>
      <c r="CA207" s="641">
        <f t="shared" si="331"/>
        <v>0.12753487611788561</v>
      </c>
      <c r="CB207" s="469">
        <f t="shared" si="338"/>
        <v>6663.0645531040009</v>
      </c>
      <c r="CC207" s="177">
        <f t="shared" si="345"/>
        <v>4.104698356635855</v>
      </c>
      <c r="CD207" s="5">
        <f t="shared" si="339"/>
        <v>11.9407</v>
      </c>
      <c r="CE207" s="177">
        <f t="shared" si="340"/>
        <v>0.74418220941592983</v>
      </c>
      <c r="CF207" s="5">
        <f t="shared" si="341"/>
        <v>74.418220941592978</v>
      </c>
      <c r="CG207">
        <f t="shared" si="342"/>
        <v>97</v>
      </c>
      <c r="CI207" s="571">
        <f t="shared" si="332"/>
        <v>-50</v>
      </c>
      <c r="CJ207">
        <f t="shared" si="333"/>
        <v>-50</v>
      </c>
    </row>
    <row r="208" spans="5:88" x14ac:dyDescent="0.2">
      <c r="E208" s="174">
        <v>98</v>
      </c>
      <c r="F208" s="221">
        <f t="shared" si="352"/>
        <v>0.41159999999999997</v>
      </c>
      <c r="G208" s="221">
        <f t="shared" si="299"/>
        <v>0.71050000000000002</v>
      </c>
      <c r="H208" s="221">
        <f t="shared" si="300"/>
        <v>6.3797999999999995</v>
      </c>
      <c r="I208" s="221">
        <f t="shared" si="301"/>
        <v>5.6840000000000002</v>
      </c>
      <c r="J208" s="551">
        <f t="shared" si="302"/>
        <v>9</v>
      </c>
      <c r="K208" s="451">
        <f t="shared" si="303"/>
        <v>14.67515774726836</v>
      </c>
      <c r="L208" s="451">
        <f t="shared" si="304"/>
        <v>25.4</v>
      </c>
      <c r="M208" s="451"/>
      <c r="N208" s="221">
        <f t="shared" si="305"/>
        <v>0.64566929133858264</v>
      </c>
      <c r="O208" s="176">
        <f t="shared" si="346"/>
        <v>5.6698549287756563</v>
      </c>
      <c r="P208" s="176">
        <f t="shared" si="307"/>
        <v>9.552037446932033</v>
      </c>
      <c r="Q208" s="221">
        <f t="shared" si="308"/>
        <v>0.36579709217907458</v>
      </c>
      <c r="R208" s="221">
        <f t="shared" si="309"/>
        <v>0.70873186609695704</v>
      </c>
      <c r="S208" s="221">
        <f t="shared" si="310"/>
        <v>13.775157747268359</v>
      </c>
      <c r="T208" s="221">
        <f t="shared" si="311"/>
        <v>4.0999999999999996</v>
      </c>
      <c r="U208" s="221">
        <f t="shared" si="312"/>
        <v>4.0999999999999996</v>
      </c>
      <c r="V208" s="221">
        <f t="shared" si="313"/>
        <v>2.5144533800237054</v>
      </c>
      <c r="W208" s="201">
        <f t="shared" si="314"/>
        <v>350</v>
      </c>
      <c r="X208" s="451">
        <f t="shared" si="315"/>
        <v>151.18407259775955</v>
      </c>
      <c r="Z208" s="221">
        <f t="shared" si="316"/>
        <v>1.7710134218594691</v>
      </c>
      <c r="AA208" s="177">
        <f t="shared" si="317"/>
        <v>1.0861294352833881</v>
      </c>
      <c r="AB208" s="177">
        <f t="shared" si="347"/>
        <v>0.17801820621402092</v>
      </c>
      <c r="AC208" s="177"/>
      <c r="AD208" s="177">
        <f t="shared" si="319"/>
        <v>0.50289067600474113</v>
      </c>
      <c r="AE208" s="555">
        <f t="shared" si="348"/>
        <v>1996.2637744648218</v>
      </c>
      <c r="AF208" s="538">
        <f t="shared" si="321"/>
        <v>7.2164812006680346E-2</v>
      </c>
      <c r="AH208" s="177">
        <f t="shared" si="322"/>
        <v>2.7675902073022942</v>
      </c>
      <c r="AI208" s="177">
        <f t="shared" si="349"/>
        <v>4.0999999999999996</v>
      </c>
      <c r="AJ208" s="177">
        <f t="shared" si="350"/>
        <v>3.6296296296296298</v>
      </c>
      <c r="AL208" s="555">
        <f t="shared" si="325"/>
        <v>411.59999999999997</v>
      </c>
      <c r="AM208" s="469">
        <f t="shared" si="326"/>
        <v>151.18407259775955</v>
      </c>
      <c r="AO208" t="str">
        <f t="shared" si="327"/>
        <v/>
      </c>
      <c r="AP208" t="str">
        <f t="shared" si="328"/>
        <v/>
      </c>
      <c r="AR208" s="5">
        <f t="shared" si="343"/>
        <v>6.614453380023706</v>
      </c>
      <c r="AS208" s="5">
        <f t="shared" si="335"/>
        <v>4.0999999999999996</v>
      </c>
      <c r="AT208" s="5">
        <f t="shared" si="336"/>
        <v>2.5144533800237063</v>
      </c>
      <c r="AU208" s="177">
        <f t="shared" si="337"/>
        <v>0.61985469765081413</v>
      </c>
      <c r="AW208" s="5">
        <f t="shared" si="275"/>
        <v>10.88748387096774</v>
      </c>
      <c r="AX208" s="5"/>
      <c r="AY208" s="5">
        <f t="shared" si="276"/>
        <v>36.413125000000001</v>
      </c>
      <c r="AZ208" s="5"/>
      <c r="BA208" s="5">
        <f t="shared" si="277"/>
        <v>3.300763307381736</v>
      </c>
      <c r="BB208" s="5"/>
      <c r="BC208" s="5"/>
      <c r="BD208" s="177">
        <f t="shared" si="278"/>
        <v>1.863666410377689</v>
      </c>
      <c r="BE208" s="177">
        <f t="shared" si="279"/>
        <v>1.4594796484238042</v>
      </c>
      <c r="BF208" s="177">
        <f t="shared" si="280"/>
        <v>2.3960666245201372</v>
      </c>
      <c r="BG208" s="177"/>
      <c r="BH208" s="538">
        <f t="shared" si="281"/>
        <v>0.38205777380870665</v>
      </c>
      <c r="BI208" s="538">
        <f t="shared" si="282"/>
        <v>7.8721546601653383E-2</v>
      </c>
      <c r="BJ208" s="538">
        <f t="shared" si="283"/>
        <v>7.5592036298879773E-3</v>
      </c>
      <c r="BK208" s="538">
        <f t="shared" si="284"/>
        <v>2.1946031162363374E-2</v>
      </c>
      <c r="BL208">
        <f t="shared" si="285"/>
        <v>2.6099999999999999E-3</v>
      </c>
      <c r="BM208">
        <f t="shared" si="329"/>
        <v>6.0473629039103822E-6</v>
      </c>
      <c r="BN208">
        <f t="shared" si="351"/>
        <v>0.53027984839544084</v>
      </c>
      <c r="BO208" s="469">
        <f t="shared" si="286"/>
        <v>492.8945552026114</v>
      </c>
      <c r="BP208" s="177">
        <f t="shared" si="287"/>
        <v>0.37043999999999999</v>
      </c>
      <c r="BQ208" s="177">
        <f t="shared" si="288"/>
        <v>0.63945000000000007</v>
      </c>
      <c r="BR208" s="538"/>
      <c r="BT208" s="469">
        <f t="shared" si="289"/>
        <v>1009.89</v>
      </c>
      <c r="BU208" s="538">
        <f t="shared" si="290"/>
        <v>0.16671611948016291</v>
      </c>
      <c r="BV208" s="538">
        <f t="shared" si="291"/>
        <v>0.51121940259918508</v>
      </c>
      <c r="BW208" s="538">
        <f t="shared" si="292"/>
        <v>1.3778724645934377</v>
      </c>
      <c r="BX208" s="538">
        <f t="shared" si="293"/>
        <v>0</v>
      </c>
      <c r="BY208" s="538">
        <f t="shared" si="274"/>
        <v>2.4604679615827285</v>
      </c>
      <c r="BZ208" s="538">
        <f t="shared" si="344"/>
        <v>2.0558079866727859</v>
      </c>
      <c r="CA208" s="641">
        <f t="shared" si="331"/>
        <v>0.12707021301841692</v>
      </c>
      <c r="CB208" s="469">
        <f t="shared" si="338"/>
        <v>6699.1541479467169</v>
      </c>
      <c r="CC208" s="177">
        <f t="shared" si="345"/>
        <v>4.1277080229965861</v>
      </c>
      <c r="CD208" s="5">
        <f t="shared" si="339"/>
        <v>12.063800000000001</v>
      </c>
      <c r="CE208" s="177">
        <f t="shared" si="340"/>
        <v>0.74506957491951609</v>
      </c>
      <c r="CF208" s="5">
        <f t="shared" si="341"/>
        <v>74.50695749195161</v>
      </c>
      <c r="CG208">
        <f t="shared" si="342"/>
        <v>98</v>
      </c>
      <c r="CI208" s="571">
        <f t="shared" si="332"/>
        <v>-50</v>
      </c>
      <c r="CJ208">
        <f t="shared" si="333"/>
        <v>-50</v>
      </c>
    </row>
    <row r="209" spans="5:88" x14ac:dyDescent="0.2">
      <c r="E209" s="174">
        <v>99</v>
      </c>
      <c r="F209" s="221">
        <f t="shared" si="352"/>
        <v>0.4158</v>
      </c>
      <c r="G209" s="221">
        <f t="shared" si="299"/>
        <v>0.71775</v>
      </c>
      <c r="H209" s="221">
        <f t="shared" si="300"/>
        <v>6.4448999999999996</v>
      </c>
      <c r="I209" s="221">
        <f t="shared" si="301"/>
        <v>5.742</v>
      </c>
      <c r="J209" s="551">
        <f t="shared" si="302"/>
        <v>9</v>
      </c>
      <c r="K209" s="451">
        <f t="shared" si="303"/>
        <v>14.536014739720194</v>
      </c>
      <c r="L209" s="451">
        <f t="shared" si="304"/>
        <v>25.4</v>
      </c>
      <c r="M209" s="451"/>
      <c r="N209" s="221">
        <f t="shared" si="305"/>
        <v>0.64566929133858264</v>
      </c>
      <c r="O209" s="176">
        <f t="shared" si="346"/>
        <v>5.6698549287756563</v>
      </c>
      <c r="P209" s="176">
        <f t="shared" si="307"/>
        <v>9.552037446932033</v>
      </c>
      <c r="Q209" s="221">
        <f t="shared" si="308"/>
        <v>0.36579709217907458</v>
      </c>
      <c r="R209" s="221">
        <f t="shared" si="309"/>
        <v>0.70873186609695704</v>
      </c>
      <c r="S209" s="221">
        <f t="shared" si="310"/>
        <v>13.636014739720194</v>
      </c>
      <c r="T209" s="221">
        <f t="shared" si="311"/>
        <v>4.0999999999999996</v>
      </c>
      <c r="U209" s="221">
        <f t="shared" si="312"/>
        <v>4.0999999999999996</v>
      </c>
      <c r="V209" s="221">
        <f t="shared" si="313"/>
        <v>2.5385224671772924</v>
      </c>
      <c r="W209" s="201">
        <f t="shared" si="314"/>
        <v>350</v>
      </c>
      <c r="X209" s="451">
        <f t="shared" si="315"/>
        <v>150.63592914602293</v>
      </c>
      <c r="Z209" s="221">
        <f t="shared" si="316"/>
        <v>1.7645923128534116</v>
      </c>
      <c r="AA209" s="177">
        <f t="shared" si="317"/>
        <v>1.0925505442894459</v>
      </c>
      <c r="AB209" s="177">
        <f t="shared" si="347"/>
        <v>0.17842138448400077</v>
      </c>
      <c r="AC209" s="177"/>
      <c r="AD209" s="177">
        <f t="shared" si="319"/>
        <v>0.50770449343545854</v>
      </c>
      <c r="AE209" s="555">
        <f t="shared" si="348"/>
        <v>1997.513030859825</v>
      </c>
      <c r="AF209" s="538">
        <f t="shared" si="321"/>
        <v>7.2855594807988283E-2</v>
      </c>
      <c r="AH209" s="177">
        <f t="shared" si="322"/>
        <v>2.7816747267993587</v>
      </c>
      <c r="AI209" s="177">
        <f t="shared" si="349"/>
        <v>4.0999999999999996</v>
      </c>
      <c r="AJ209" s="177">
        <f t="shared" si="350"/>
        <v>3.6296296296296298</v>
      </c>
      <c r="AL209" s="555">
        <f t="shared" si="325"/>
        <v>415.8</v>
      </c>
      <c r="AM209" s="469">
        <f t="shared" si="326"/>
        <v>150.63592914602293</v>
      </c>
      <c r="AO209" t="str">
        <f t="shared" si="327"/>
        <v/>
      </c>
      <c r="AP209" t="str">
        <f t="shared" si="328"/>
        <v/>
      </c>
      <c r="AR209" s="5">
        <f t="shared" si="343"/>
        <v>6.6385224671772924</v>
      </c>
      <c r="AS209" s="5">
        <f t="shared" si="335"/>
        <v>4.0999999999999996</v>
      </c>
      <c r="AT209" s="5">
        <f t="shared" si="336"/>
        <v>2.5385224671772928</v>
      </c>
      <c r="AU209" s="177">
        <f t="shared" si="337"/>
        <v>0.61760730949869402</v>
      </c>
      <c r="AW209" s="5">
        <f t="shared" si="275"/>
        <v>10.99858064516129</v>
      </c>
      <c r="AX209" s="5"/>
      <c r="AY209" s="5">
        <f t="shared" si="276"/>
        <v>36.784687499999997</v>
      </c>
      <c r="AZ209" s="5"/>
      <c r="BA209" s="5">
        <f t="shared" si="277"/>
        <v>3.3663628495289983</v>
      </c>
      <c r="BB209" s="5"/>
      <c r="BC209" s="5"/>
      <c r="BD209" s="177">
        <f t="shared" si="278"/>
        <v>1.8602848234139706</v>
      </c>
      <c r="BE209" s="177">
        <f t="shared" si="279"/>
        <v>1.4637874535290236</v>
      </c>
      <c r="BF209" s="177">
        <f t="shared" si="280"/>
        <v>2.4031388629365491</v>
      </c>
      <c r="BG209" s="177"/>
      <c r="BH209" s="538">
        <f t="shared" si="281"/>
        <v>0.38067255866467825</v>
      </c>
      <c r="BI209" s="538">
        <f t="shared" si="282"/>
        <v>7.8436128306334132E-2</v>
      </c>
      <c r="BJ209" s="538">
        <f t="shared" si="283"/>
        <v>7.5317964573011461E-3</v>
      </c>
      <c r="BK209" s="538">
        <f t="shared" si="284"/>
        <v>2.186646211076583E-2</v>
      </c>
      <c r="BL209">
        <f t="shared" si="285"/>
        <v>2.6099999999999999E-3</v>
      </c>
      <c r="BM209">
        <f t="shared" si="329"/>
        <v>6.0254371658409173E-6</v>
      </c>
      <c r="BN209">
        <f t="shared" si="351"/>
        <v>0.52822217307415942</v>
      </c>
      <c r="BO209" s="469">
        <f t="shared" si="286"/>
        <v>491.11694553907932</v>
      </c>
      <c r="BP209" s="177">
        <f t="shared" si="287"/>
        <v>0.37422</v>
      </c>
      <c r="BQ209" s="177">
        <f t="shared" si="288"/>
        <v>0.64597499999999997</v>
      </c>
      <c r="BR209" s="538"/>
      <c r="BT209" s="469">
        <f t="shared" si="289"/>
        <v>1020.1949999999999</v>
      </c>
      <c r="BU209" s="538">
        <f t="shared" si="290"/>
        <v>0.16611166196276869</v>
      </c>
      <c r="BV209" s="538">
        <f t="shared" si="291"/>
        <v>0.51424169018615595</v>
      </c>
      <c r="BW209" s="538">
        <f t="shared" si="292"/>
        <v>1.3860183346934329</v>
      </c>
      <c r="BX209" s="538">
        <f t="shared" si="293"/>
        <v>0</v>
      </c>
      <c r="BY209" s="538">
        <f t="shared" si="274"/>
        <v>2.4756149356936756</v>
      </c>
      <c r="BZ209" s="538">
        <f t="shared" si="344"/>
        <v>2.0663716868423574</v>
      </c>
      <c r="CA209" s="641">
        <f t="shared" si="331"/>
        <v>0.12660949844723227</v>
      </c>
      <c r="CB209" s="469">
        <f t="shared" si="338"/>
        <v>6734.9678078256229</v>
      </c>
      <c r="CC209" s="177">
        <f t="shared" si="345"/>
        <v>4.1506416072150669</v>
      </c>
      <c r="CD209" s="5">
        <f t="shared" si="339"/>
        <v>12.1869</v>
      </c>
      <c r="CE209" s="177">
        <f t="shared" si="340"/>
        <v>0.7459445425141541</v>
      </c>
      <c r="CF209" s="5">
        <f t="shared" si="341"/>
        <v>74.594454251415414</v>
      </c>
      <c r="CG209">
        <f t="shared" si="342"/>
        <v>99</v>
      </c>
      <c r="CI209" s="571">
        <f t="shared" si="332"/>
        <v>-50</v>
      </c>
      <c r="CJ209">
        <f t="shared" si="333"/>
        <v>-50</v>
      </c>
    </row>
    <row r="210" spans="5:88" x14ac:dyDescent="0.2">
      <c r="E210" s="174">
        <v>100</v>
      </c>
      <c r="F210" s="221">
        <f t="shared" si="352"/>
        <v>0.42</v>
      </c>
      <c r="G210" s="221">
        <f t="shared" si="299"/>
        <v>0.72499999999999998</v>
      </c>
      <c r="H210" s="221">
        <f t="shared" si="300"/>
        <v>6.51</v>
      </c>
      <c r="I210" s="221">
        <f t="shared" si="301"/>
        <v>5.8</v>
      </c>
      <c r="J210" s="551">
        <f t="shared" si="302"/>
        <v>9</v>
      </c>
      <c r="K210" s="451">
        <f t="shared" si="303"/>
        <v>14.399654592322992</v>
      </c>
      <c r="L210" s="451">
        <f t="shared" si="304"/>
        <v>25.4</v>
      </c>
      <c r="M210" s="451"/>
      <c r="N210" s="221">
        <f t="shared" si="305"/>
        <v>0.64566929133858264</v>
      </c>
      <c r="O210" s="176">
        <f t="shared" si="346"/>
        <v>5.6698549287756563</v>
      </c>
      <c r="P210" s="176">
        <f t="shared" si="307"/>
        <v>9.552037446932033</v>
      </c>
      <c r="Q210" s="221">
        <f t="shared" si="308"/>
        <v>0.36579709217907458</v>
      </c>
      <c r="R210" s="221">
        <f t="shared" si="309"/>
        <v>0.70873186609695704</v>
      </c>
      <c r="S210" s="221">
        <f t="shared" si="310"/>
        <v>13.499654592322992</v>
      </c>
      <c r="T210" s="221">
        <f t="shared" si="311"/>
        <v>4.0999999999999996</v>
      </c>
      <c r="U210" s="221">
        <f t="shared" si="312"/>
        <v>4.0999999999999996</v>
      </c>
      <c r="V210" s="221">
        <f t="shared" si="313"/>
        <v>2.5625614672502488</v>
      </c>
      <c r="W210" s="201">
        <f t="shared" si="314"/>
        <v>350</v>
      </c>
      <c r="X210" s="451">
        <f t="shared" si="315"/>
        <v>150.09242389965024</v>
      </c>
      <c r="Z210" s="221">
        <f t="shared" si="316"/>
        <v>1.7582255371101887</v>
      </c>
      <c r="AA210" s="177">
        <f t="shared" si="317"/>
        <v>1.0989173200326692</v>
      </c>
      <c r="AB210" s="177">
        <f t="shared" si="347"/>
        <v>0.17881361626468451</v>
      </c>
      <c r="AC210" s="177"/>
      <c r="AD210" s="177">
        <f t="shared" si="319"/>
        <v>0.51251229345004989</v>
      </c>
      <c r="AE210" s="555">
        <f t="shared" si="348"/>
        <v>1998.7622872548275</v>
      </c>
      <c r="AF210" s="538">
        <f t="shared" si="321"/>
        <v>7.3545514110082158E-2</v>
      </c>
      <c r="AH210" s="177">
        <f t="shared" si="322"/>
        <v>2.7956882901841928</v>
      </c>
      <c r="AI210" s="177">
        <f t="shared" si="349"/>
        <v>4.0999999999999996</v>
      </c>
      <c r="AJ210" s="177">
        <f t="shared" si="350"/>
        <v>3.6296296296296298</v>
      </c>
      <c r="AL210" s="555">
        <f t="shared" si="325"/>
        <v>420</v>
      </c>
      <c r="AM210" s="469">
        <f t="shared" si="326"/>
        <v>150.09242389965024</v>
      </c>
      <c r="AO210" t="str">
        <f t="shared" si="327"/>
        <v/>
      </c>
      <c r="AP210" t="str">
        <f t="shared" si="328"/>
        <v/>
      </c>
      <c r="AR210" s="5">
        <f t="shared" si="343"/>
        <v>6.6625614672502493</v>
      </c>
      <c r="AS210" s="5">
        <f t="shared" si="335"/>
        <v>4.0999999999999996</v>
      </c>
      <c r="AT210" s="5">
        <f t="shared" si="336"/>
        <v>2.5625614672502497</v>
      </c>
      <c r="AU210" s="177">
        <f t="shared" si="337"/>
        <v>0.61537893798856591</v>
      </c>
      <c r="AW210" s="5">
        <f t="shared" si="275"/>
        <v>11.109677419354837</v>
      </c>
      <c r="AX210" s="5"/>
      <c r="AY210" s="5">
        <f t="shared" si="276"/>
        <v>37.156249999999993</v>
      </c>
      <c r="AZ210" s="5"/>
      <c r="BA210" s="5">
        <f t="shared" si="277"/>
        <v>3.4325669036623703</v>
      </c>
      <c r="BB210" s="5"/>
      <c r="BC210" s="5"/>
      <c r="BD210" s="177">
        <f t="shared" si="278"/>
        <v>1.8569257701541537</v>
      </c>
      <c r="BE210" s="177">
        <f t="shared" si="279"/>
        <v>1.4680463267454251</v>
      </c>
      <c r="BF210" s="177">
        <f t="shared" si="280"/>
        <v>2.4101307685673694</v>
      </c>
      <c r="BG210" s="177"/>
      <c r="BH210" s="538">
        <f t="shared" si="281"/>
        <v>0.37929906474488567</v>
      </c>
      <c r="BI210" s="538">
        <f t="shared" si="282"/>
        <v>7.8153125124547876E-2</v>
      </c>
      <c r="BJ210" s="538">
        <f t="shared" si="283"/>
        <v>7.5046211949825123E-3</v>
      </c>
      <c r="BK210" s="538">
        <f t="shared" si="284"/>
        <v>2.1787566345697125E-2</v>
      </c>
      <c r="BL210">
        <f t="shared" si="285"/>
        <v>2.6099999999999999E-3</v>
      </c>
      <c r="BM210">
        <f t="shared" si="329"/>
        <v>6.0036969559860097E-6</v>
      </c>
      <c r="BN210">
        <f t="shared" si="351"/>
        <v>0.52618302570628162</v>
      </c>
      <c r="BO210" s="469">
        <f t="shared" si="286"/>
        <v>489.35437741011316</v>
      </c>
      <c r="BP210" s="177">
        <f t="shared" si="287"/>
        <v>0.378</v>
      </c>
      <c r="BQ210" s="177">
        <f t="shared" si="288"/>
        <v>0.65249999999999997</v>
      </c>
      <c r="BR210" s="538"/>
      <c r="BT210" s="469">
        <f t="shared" si="289"/>
        <v>1030.5</v>
      </c>
      <c r="BU210" s="538">
        <f t="shared" si="290"/>
        <v>0.16551231916140466</v>
      </c>
      <c r="BV210" s="538">
        <f t="shared" si="291"/>
        <v>0.51723840419297651</v>
      </c>
      <c r="BW210" s="538">
        <f t="shared" si="292"/>
        <v>1.3940952771828332</v>
      </c>
      <c r="BX210" s="538">
        <f t="shared" si="293"/>
        <v>0</v>
      </c>
      <c r="BY210" s="538">
        <f t="shared" si="274"/>
        <v>2.4906640550502472</v>
      </c>
      <c r="BZ210" s="538">
        <f t="shared" si="344"/>
        <v>2.0768460005372145</v>
      </c>
      <c r="CA210" s="641">
        <f t="shared" si="331"/>
        <v>0.12615268228765605</v>
      </c>
      <c r="CB210" s="469">
        <f t="shared" si="338"/>
        <v>6770.5087384123326</v>
      </c>
      <c r="CC210" s="177">
        <f t="shared" si="345"/>
        <v>4.1734997630441848</v>
      </c>
      <c r="CD210" s="5">
        <f t="shared" si="339"/>
        <v>12.309999999999999</v>
      </c>
      <c r="CE210" s="177">
        <f t="shared" si="340"/>
        <v>0.74680742420968615</v>
      </c>
      <c r="CF210" s="5">
        <f t="shared" si="341"/>
        <v>74.680742420968613</v>
      </c>
      <c r="CG210">
        <f t="shared" si="342"/>
        <v>100</v>
      </c>
      <c r="CI210" s="571">
        <f t="shared" si="332"/>
        <v>-50</v>
      </c>
      <c r="CJ210">
        <f t="shared" si="333"/>
        <v>-50</v>
      </c>
    </row>
    <row r="211" spans="5:88" x14ac:dyDescent="0.2">
      <c r="E211" s="174"/>
      <c r="F211" s="221"/>
      <c r="G211" s="221"/>
      <c r="H211" s="221"/>
      <c r="I211" s="221"/>
      <c r="J211" s="551"/>
      <c r="K211" s="451"/>
      <c r="L211" s="451"/>
      <c r="M211" s="451"/>
      <c r="N211" s="221"/>
      <c r="O211" s="176"/>
      <c r="P211" s="176"/>
      <c r="Q211" s="221"/>
      <c r="R211" s="221"/>
      <c r="S211" s="221"/>
      <c r="T211" s="221"/>
      <c r="U211" s="221"/>
      <c r="V211" s="221"/>
      <c r="W211" s="201"/>
      <c r="X211" s="451"/>
      <c r="Z211" s="221"/>
      <c r="AA211" s="177"/>
      <c r="AB211" s="177"/>
      <c r="AC211" s="177"/>
      <c r="AD211" s="177"/>
      <c r="AE211" s="555"/>
      <c r="AF211" s="538"/>
      <c r="AH211" s="177"/>
      <c r="AI211" s="177"/>
      <c r="AJ211" s="177"/>
      <c r="AL211" s="555"/>
      <c r="AM211" s="469"/>
      <c r="AR211" s="5"/>
      <c r="AS211" s="5"/>
      <c r="AT211" s="5"/>
      <c r="AU211" s="177"/>
      <c r="CI211" s="571"/>
      <c r="CJ211" s="549">
        <f>MAX(CJ110:CJ210)</f>
        <v>11.18561889505513</v>
      </c>
    </row>
    <row r="212" spans="5:88" x14ac:dyDescent="0.2">
      <c r="G212" s="221"/>
      <c r="H212" s="221"/>
      <c r="I212" s="221"/>
      <c r="J212" s="551"/>
      <c r="K212" s="451"/>
      <c r="L212" s="451"/>
      <c r="M212" s="451"/>
      <c r="N212" s="221"/>
      <c r="O212" s="176"/>
      <c r="P212" s="176"/>
      <c r="Q212" s="221"/>
      <c r="R212" s="221"/>
      <c r="S212" s="221"/>
      <c r="T212" s="221"/>
      <c r="U212" s="221"/>
      <c r="V212" s="221"/>
      <c r="W212" s="201"/>
      <c r="X212" s="451"/>
      <c r="Z212" s="221"/>
      <c r="AA212" s="177"/>
      <c r="AB212" s="177"/>
      <c r="AC212" s="177"/>
      <c r="AD212" s="177"/>
      <c r="AE212" s="555"/>
      <c r="AF212" s="538"/>
      <c r="AH212" s="177"/>
      <c r="AI212" s="177"/>
      <c r="AJ212" s="177"/>
      <c r="AL212" s="555"/>
      <c r="AM212" s="469"/>
      <c r="AR212" s="5"/>
      <c r="AS212" s="5"/>
      <c r="AT212" s="5"/>
      <c r="AU212" s="177"/>
      <c r="CI212" s="571"/>
    </row>
    <row r="213" spans="5:88" x14ac:dyDescent="0.2">
      <c r="G213" s="221"/>
      <c r="H213" s="221"/>
      <c r="I213" s="221"/>
      <c r="J213" s="551"/>
      <c r="K213" s="451"/>
      <c r="L213" s="451"/>
      <c r="M213" s="451"/>
      <c r="N213" s="221"/>
      <c r="O213" s="176"/>
      <c r="P213" s="176"/>
      <c r="Q213" s="221"/>
      <c r="R213" s="221"/>
      <c r="S213" s="221"/>
      <c r="T213" s="221"/>
      <c r="U213" s="221"/>
      <c r="V213" s="221"/>
      <c r="W213" s="201"/>
      <c r="X213" s="451"/>
      <c r="Z213" s="221"/>
      <c r="AA213" s="177"/>
      <c r="AB213" s="177"/>
      <c r="AC213" s="177"/>
      <c r="AD213" s="177"/>
      <c r="AE213" s="555"/>
      <c r="AF213" s="538"/>
      <c r="AH213" s="177"/>
      <c r="AI213" s="177"/>
      <c r="AJ213" s="177"/>
      <c r="AL213" s="555"/>
      <c r="AM213" s="469"/>
      <c r="AR213" s="5"/>
      <c r="AS213" s="5"/>
      <c r="AT213" s="5"/>
      <c r="AU213" s="177"/>
      <c r="CI213" s="571"/>
    </row>
    <row r="214" spans="5:88" x14ac:dyDescent="0.2">
      <c r="E214" s="453" t="s">
        <v>442</v>
      </c>
      <c r="G214" s="221"/>
      <c r="H214" s="221"/>
      <c r="I214" s="221"/>
      <c r="J214" s="551"/>
      <c r="K214" s="451"/>
      <c r="L214" s="451"/>
      <c r="M214" s="451"/>
      <c r="N214" s="221"/>
      <c r="O214" s="176"/>
      <c r="P214" s="176"/>
      <c r="Q214" s="221"/>
      <c r="R214" s="221"/>
      <c r="S214" s="221"/>
      <c r="T214" s="221"/>
      <c r="U214" s="221"/>
      <c r="V214" s="221"/>
      <c r="W214" s="201"/>
      <c r="X214" s="451"/>
      <c r="Z214" s="221"/>
      <c r="AA214" s="177"/>
      <c r="AB214" s="177"/>
      <c r="AC214" s="177"/>
      <c r="AD214" s="177"/>
      <c r="AE214" s="555"/>
      <c r="AF214" s="538"/>
      <c r="AH214" s="177"/>
      <c r="AI214" s="177"/>
      <c r="AJ214" s="177"/>
      <c r="AL214" s="555"/>
      <c r="AM214" s="469"/>
      <c r="AR214" s="5"/>
      <c r="AS214" s="5"/>
      <c r="AT214" s="5"/>
      <c r="AU214" s="177"/>
      <c r="CI214" s="571"/>
    </row>
    <row r="215" spans="5:88" ht="45" customHeight="1" thickBot="1" x14ac:dyDescent="0.25">
      <c r="E215" s="245" t="s">
        <v>25</v>
      </c>
      <c r="F215" s="613" t="s">
        <v>594</v>
      </c>
      <c r="G215" s="452" t="s">
        <v>593</v>
      </c>
      <c r="H215" s="614" t="s">
        <v>595</v>
      </c>
      <c r="I215" s="615" t="s">
        <v>596</v>
      </c>
      <c r="J215" s="246" t="s">
        <v>419</v>
      </c>
      <c r="K215" s="247" t="s">
        <v>425</v>
      </c>
      <c r="L215" s="537" t="s">
        <v>420</v>
      </c>
      <c r="M215" s="537"/>
      <c r="N215" s="248" t="s">
        <v>48</v>
      </c>
      <c r="O215" s="617" t="s">
        <v>604</v>
      </c>
      <c r="P215" s="176"/>
      <c r="Q215" s="537" t="s">
        <v>410</v>
      </c>
      <c r="R215" s="617" t="s">
        <v>598</v>
      </c>
      <c r="S215" s="537" t="s">
        <v>440</v>
      </c>
      <c r="T215" s="617" t="s">
        <v>421</v>
      </c>
      <c r="U215" s="537" t="s">
        <v>473</v>
      </c>
      <c r="V215" s="537" t="s">
        <v>472</v>
      </c>
      <c r="W215" s="556" t="s">
        <v>427</v>
      </c>
      <c r="X215" s="552" t="s">
        <v>432</v>
      </c>
      <c r="Z215" s="249" t="s">
        <v>424</v>
      </c>
      <c r="AA215" s="249" t="s">
        <v>471</v>
      </c>
      <c r="AB215" s="177"/>
      <c r="AC215" s="554"/>
      <c r="AD215" s="249" t="s">
        <v>470</v>
      </c>
      <c r="AE215" s="555"/>
      <c r="AF215" s="538"/>
      <c r="AG215" s="554"/>
      <c r="AH215" s="177"/>
      <c r="AI215" s="557" t="s">
        <v>437</v>
      </c>
      <c r="AJ215" s="557" t="s">
        <v>438</v>
      </c>
      <c r="AL215" s="553" t="s">
        <v>274</v>
      </c>
      <c r="AM215" s="553" t="s">
        <v>439</v>
      </c>
      <c r="AO215" s="249" t="s">
        <v>274</v>
      </c>
      <c r="AP215" s="249" t="s">
        <v>439</v>
      </c>
      <c r="AQ215" s="558"/>
      <c r="AR215" s="249" t="s">
        <v>474</v>
      </c>
      <c r="AS215" s="249" t="s">
        <v>468</v>
      </c>
      <c r="AT215" s="249" t="s">
        <v>469</v>
      </c>
      <c r="AU215" s="249" t="s">
        <v>48</v>
      </c>
      <c r="AV215" s="554"/>
      <c r="AW215" s="249" t="s">
        <v>489</v>
      </c>
      <c r="AX215" s="249"/>
      <c r="AY215" s="249"/>
      <c r="AZ215" s="249"/>
      <c r="BA215" s="249" t="s">
        <v>490</v>
      </c>
      <c r="BB215" s="249"/>
      <c r="BC215" s="554"/>
      <c r="BD215" s="567" t="s">
        <v>463</v>
      </c>
      <c r="BE215" s="249" t="s">
        <v>464</v>
      </c>
      <c r="BF215" s="249"/>
      <c r="BG215" s="554"/>
      <c r="BH215" s="567" t="s">
        <v>481</v>
      </c>
      <c r="BI215" s="249" t="s">
        <v>482</v>
      </c>
      <c r="BJ215" s="249" t="s">
        <v>480</v>
      </c>
      <c r="BK215" s="249" t="s">
        <v>476</v>
      </c>
      <c r="BL215" s="249" t="s">
        <v>485</v>
      </c>
      <c r="BM215" s="249"/>
      <c r="BN215" s="249"/>
      <c r="BO215" s="249" t="s">
        <v>500</v>
      </c>
      <c r="BP215" s="567" t="s">
        <v>483</v>
      </c>
      <c r="BQ215" s="249"/>
      <c r="BR215" s="249" t="s">
        <v>484</v>
      </c>
      <c r="BS215" s="249" t="s">
        <v>492</v>
      </c>
      <c r="BT215" s="249" t="s">
        <v>496</v>
      </c>
      <c r="BU215" s="567" t="s">
        <v>465</v>
      </c>
      <c r="BV215" s="249" t="s">
        <v>466</v>
      </c>
      <c r="BW215" s="249"/>
      <c r="BX215" s="249" t="s">
        <v>475</v>
      </c>
      <c r="BY215" s="249"/>
      <c r="BZ215" s="249"/>
      <c r="CA215" s="249" t="s">
        <v>493</v>
      </c>
      <c r="CB215" s="249" t="s">
        <v>495</v>
      </c>
      <c r="CC215" s="567" t="s">
        <v>491</v>
      </c>
      <c r="CD215" s="249" t="s">
        <v>223</v>
      </c>
      <c r="CE215" s="249" t="s">
        <v>47</v>
      </c>
      <c r="CF215" s="249" t="s">
        <v>494</v>
      </c>
      <c r="CG215" s="249"/>
      <c r="CI215" s="571"/>
    </row>
    <row r="216" spans="5:88" x14ac:dyDescent="0.2">
      <c r="E216" s="174">
        <v>0.1</v>
      </c>
      <c r="F216" s="221">
        <v>1.0000000000000001E-9</v>
      </c>
      <c r="G216" s="221">
        <f t="shared" ref="G216:G247" si="353">IF(PLOT_TYPE=1, E216/100*Iout2, min_I*EXP(Q216*rr/100))</f>
        <v>7.2499999999999995E-4</v>
      </c>
      <c r="H216" s="221">
        <f t="shared" ref="H216:H247" si="354">F216*Vout</f>
        <v>1.55E-8</v>
      </c>
      <c r="I216" s="221">
        <f t="shared" ref="I216:I247" si="355">Vout2*G216</f>
        <v>5.7999999999999996E-3</v>
      </c>
      <c r="J216" s="551">
        <f t="shared" ref="J216:J279" si="356">VIN_max</f>
        <v>16</v>
      </c>
      <c r="K216" s="451">
        <f t="shared" ref="K216:K279" si="357">(S216+Vfwd1)*Nps</f>
        <v>16.399999999999999</v>
      </c>
      <c r="L216" s="451">
        <f t="shared" ref="L216:L279" si="358">(Vout+Vfwd1)*Nps+J216</f>
        <v>32.4</v>
      </c>
      <c r="M216" s="451"/>
      <c r="N216" s="221">
        <f t="shared" ref="N216:N279" si="359">(Vout+Vfwd1)*Nps/((Vout+Vfwd1)*Nps+J216)</f>
        <v>0.50617283950617287</v>
      </c>
      <c r="O216" s="176">
        <f t="shared" ref="O216:O247" si="360">N216*J216*Isw_max*0.5*Efficiency*Pout/(Pout+Pout2)</f>
        <v>7.9020200379095593</v>
      </c>
      <c r="P216" s="176">
        <f t="shared" ref="P216:P247" si="361">N216*J216*Isw_max*0.5*Efficiency*(Pout2/Pout_total)</f>
        <v>13.312578938385389</v>
      </c>
      <c r="Q216" s="221">
        <f t="shared" ref="Q216:Q279" si="362">O216/Vout</f>
        <v>0.50980774438126186</v>
      </c>
      <c r="R216" s="221">
        <f t="shared" ref="R216:R247" si="363">O216/Vout2</f>
        <v>0.98775250473869491</v>
      </c>
      <c r="S216" s="221">
        <f t="shared" ref="S216:S247" si="364">MIN(Vout,O216/F216)</f>
        <v>15.5</v>
      </c>
      <c r="T216" s="221">
        <f t="shared" ref="T216:T247" si="365">MIN(2*(Vout*F216+Vout2*G216)/(Efficiency*J216*N216), Isw_max)</f>
        <v>1.5914676676829264E-3</v>
      </c>
      <c r="U216" s="221">
        <f t="shared" ref="U216:U279" si="366">L*T216/J216*1000000</f>
        <v>8.9520056307164603E-4</v>
      </c>
      <c r="V216" s="221">
        <f t="shared" ref="V216:V279" si="367">L*T216/K216*1000000</f>
        <v>8.7336640299672799E-4</v>
      </c>
      <c r="W216" s="201">
        <f t="shared" ref="W216:W279" si="368">IF(1/((350000*L)*(1/J216+1/K216))&gt;Isw_min, 350, 0.001/((Isw_min*L)*(1/J216+1/K216)))</f>
        <v>350</v>
      </c>
      <c r="X216" s="451">
        <f t="shared" ref="X216:X279" si="369">MIN(1/(U216+V216)*1000, 350)</f>
        <v>350</v>
      </c>
      <c r="Z216" s="221">
        <f t="shared" ref="Z216:Z279" si="370">1/((W216*1000*L)*(1/J216+1/K216))</f>
        <v>2.5710366451107194</v>
      </c>
      <c r="AA216" s="177">
        <f t="shared" ref="AA216:AA279" si="371">L*Z216/K216*1000000</f>
        <v>1.4109347442680777</v>
      </c>
      <c r="AB216" s="177">
        <f t="shared" ref="AB216:AB247" si="372">0.5*AA216*Z216*Nps*W216/1000*(Pout/(Pout+Pout2))</f>
        <v>0.33571919968049235</v>
      </c>
      <c r="AC216" s="177"/>
      <c r="AD216" s="177">
        <f t="shared" ref="AD216:AD279" si="373">L*Isw_min/K216*1000000</f>
        <v>0.45</v>
      </c>
      <c r="AE216" s="555">
        <f t="shared" ref="AE216:AE247" si="374">MAX(10, F216/(0.5*AD216/1000000*Isw_min*Nps)/1000*Pout_total/Pout)</f>
        <v>10</v>
      </c>
      <c r="AF216" s="538">
        <f t="shared" ref="AF216:AF247" si="375">0.5*AD216/1000000*Isw_min*Nps*W216*1000*(Pout/Pout_total)</f>
        <v>6.4574999999999994E-2</v>
      </c>
      <c r="AH216" s="177">
        <f t="shared" ref="AH216:AH247" si="376">SQRT((H216+I216)/(0.5*L*Fsw_DCM))</f>
        <v>6.0684013741755111E-2</v>
      </c>
      <c r="AI216" s="177">
        <f t="shared" ref="AI216:AI247" si="377">MAX(IF(F216&gt;AB216,T216,AH216),Isw_min)</f>
        <v>0.82</v>
      </c>
      <c r="AJ216" s="177">
        <f t="shared" ref="AJ216:AJ247" si="378">IF(F216&gt;AF216, (AI216-Isw_min)/1.08*0.8+1.2, AE216*0.2/350+1)</f>
        <v>1.0057142857142858</v>
      </c>
      <c r="AL216" s="555">
        <f t="shared" ref="AL216:AL247" si="379">F216*1000</f>
        <v>1.0000000000000002E-6</v>
      </c>
      <c r="AM216" s="469">
        <f t="shared" ref="AM216:AM247" si="380">IF(F216&gt;AF216, X216, AE216)</f>
        <v>10</v>
      </c>
      <c r="AO216">
        <f t="shared" ref="AO216:AO279" si="381">IF(H216&gt;O216, "",AL216)</f>
        <v>1.0000000000000002E-6</v>
      </c>
      <c r="AP216">
        <f t="shared" ref="AP216:AP279" si="382">IF(H216&gt;O216, "",AM216)</f>
        <v>10</v>
      </c>
      <c r="AR216" s="5">
        <f t="shared" si="343"/>
        <v>100</v>
      </c>
      <c r="AS216" s="5">
        <f t="shared" si="335"/>
        <v>0.46124999999999999</v>
      </c>
      <c r="AT216" s="5">
        <f t="shared" si="336"/>
        <v>99.538749999999993</v>
      </c>
      <c r="AU216" s="177">
        <f t="shared" si="337"/>
        <v>4.6125000000000003E-3</v>
      </c>
      <c r="CI216" s="571">
        <f t="shared" ref="CI216:CI247" si="383">IF(ABS(F216-Ioutmax_Vinmax)&lt;Iout/200, AM216, -50)</f>
        <v>-50</v>
      </c>
    </row>
    <row r="217" spans="5:88" x14ac:dyDescent="0.2">
      <c r="E217" s="174">
        <v>1</v>
      </c>
      <c r="F217" s="221">
        <f t="shared" ref="F217:F248" si="384">IF(PLOT_TYPE=1, E217/100*Iout_max, min_I*EXP(O217*rr/100))</f>
        <v>4.1999999999999997E-3</v>
      </c>
      <c r="G217" s="221">
        <f t="shared" si="353"/>
        <v>7.2499999999999995E-3</v>
      </c>
      <c r="H217" s="221">
        <f t="shared" si="354"/>
        <v>6.5099999999999991E-2</v>
      </c>
      <c r="I217" s="221">
        <f t="shared" si="355"/>
        <v>5.7999999999999996E-2</v>
      </c>
      <c r="J217" s="551">
        <f t="shared" si="356"/>
        <v>16</v>
      </c>
      <c r="K217" s="451">
        <f t="shared" si="357"/>
        <v>16.399999999999999</v>
      </c>
      <c r="L217" s="451">
        <f t="shared" si="358"/>
        <v>32.4</v>
      </c>
      <c r="M217" s="451"/>
      <c r="N217" s="221">
        <f t="shared" si="359"/>
        <v>0.50617283950617287</v>
      </c>
      <c r="O217" s="176">
        <f t="shared" si="360"/>
        <v>7.9020200379095593</v>
      </c>
      <c r="P217" s="176">
        <f t="shared" si="361"/>
        <v>13.312578938385389</v>
      </c>
      <c r="Q217" s="221">
        <f t="shared" si="362"/>
        <v>0.50980774438126186</v>
      </c>
      <c r="R217" s="221">
        <f t="shared" si="363"/>
        <v>0.98775250473869491</v>
      </c>
      <c r="S217" s="221">
        <f t="shared" si="364"/>
        <v>15.5</v>
      </c>
      <c r="T217" s="221">
        <f t="shared" si="365"/>
        <v>3.3777439024390239E-2</v>
      </c>
      <c r="U217" s="221">
        <f t="shared" si="366"/>
        <v>1.8999809451219509E-2</v>
      </c>
      <c r="V217" s="221">
        <f t="shared" si="367"/>
        <v>1.8536399464604399E-2</v>
      </c>
      <c r="W217" s="201">
        <f t="shared" si="368"/>
        <v>350</v>
      </c>
      <c r="X217" s="451">
        <f t="shared" si="369"/>
        <v>350</v>
      </c>
      <c r="Z217" s="221">
        <f t="shared" si="370"/>
        <v>2.5710366451107194</v>
      </c>
      <c r="AA217" s="177">
        <f t="shared" si="371"/>
        <v>1.4109347442680777</v>
      </c>
      <c r="AB217" s="177">
        <f t="shared" si="372"/>
        <v>0.33571919968049235</v>
      </c>
      <c r="AC217" s="177"/>
      <c r="AD217" s="177">
        <f t="shared" si="373"/>
        <v>0.45</v>
      </c>
      <c r="AE217" s="555">
        <f t="shared" si="374"/>
        <v>22.764227642276424</v>
      </c>
      <c r="AF217" s="538">
        <f t="shared" si="375"/>
        <v>6.4574999999999994E-2</v>
      </c>
      <c r="AH217" s="177">
        <f t="shared" si="376"/>
        <v>0.27956882901841928</v>
      </c>
      <c r="AI217" s="177">
        <f t="shared" si="377"/>
        <v>0.82</v>
      </c>
      <c r="AJ217" s="177">
        <f t="shared" si="378"/>
        <v>1.0130081300813008</v>
      </c>
      <c r="AL217" s="555">
        <f t="shared" si="379"/>
        <v>4.2</v>
      </c>
      <c r="AM217" s="469">
        <f t="shared" si="380"/>
        <v>22.764227642276424</v>
      </c>
      <c r="AO217">
        <f t="shared" si="381"/>
        <v>4.2</v>
      </c>
      <c r="AP217">
        <f t="shared" si="382"/>
        <v>22.764227642276424</v>
      </c>
      <c r="AR217" s="5">
        <f t="shared" si="343"/>
        <v>43.928571428571431</v>
      </c>
      <c r="AS217" s="5">
        <f t="shared" si="335"/>
        <v>0.46124999999999999</v>
      </c>
      <c r="AT217" s="5">
        <f t="shared" si="336"/>
        <v>43.467321428571431</v>
      </c>
      <c r="AU217" s="177">
        <f t="shared" si="337"/>
        <v>1.0499999999999999E-2</v>
      </c>
      <c r="CI217" s="571">
        <f t="shared" si="383"/>
        <v>-50</v>
      </c>
    </row>
    <row r="218" spans="5:88" x14ac:dyDescent="0.2">
      <c r="E218" s="174">
        <v>2</v>
      </c>
      <c r="F218" s="221">
        <f t="shared" si="384"/>
        <v>8.3999999999999995E-3</v>
      </c>
      <c r="G218" s="221">
        <f t="shared" si="353"/>
        <v>1.4499999999999999E-2</v>
      </c>
      <c r="H218" s="221">
        <f t="shared" si="354"/>
        <v>0.13019999999999998</v>
      </c>
      <c r="I218" s="221">
        <f t="shared" si="355"/>
        <v>0.11599999999999999</v>
      </c>
      <c r="J218" s="551">
        <f t="shared" si="356"/>
        <v>16</v>
      </c>
      <c r="K218" s="451">
        <f t="shared" si="357"/>
        <v>16.399999999999999</v>
      </c>
      <c r="L218" s="451">
        <f t="shared" si="358"/>
        <v>32.4</v>
      </c>
      <c r="M218" s="451"/>
      <c r="N218" s="221">
        <f t="shared" si="359"/>
        <v>0.50617283950617287</v>
      </c>
      <c r="O218" s="176">
        <f t="shared" si="360"/>
        <v>7.9020200379095593</v>
      </c>
      <c r="P218" s="176">
        <f t="shared" si="361"/>
        <v>13.312578938385389</v>
      </c>
      <c r="Q218" s="221">
        <f t="shared" si="362"/>
        <v>0.50980774438126186</v>
      </c>
      <c r="R218" s="221">
        <f t="shared" si="363"/>
        <v>0.98775250473869491</v>
      </c>
      <c r="S218" s="221">
        <f t="shared" si="364"/>
        <v>15.5</v>
      </c>
      <c r="T218" s="221">
        <f t="shared" si="365"/>
        <v>6.7554878048780478E-2</v>
      </c>
      <c r="U218" s="221">
        <f t="shared" si="366"/>
        <v>3.7999618902439018E-2</v>
      </c>
      <c r="V218" s="221">
        <f t="shared" si="367"/>
        <v>3.7072798929208797E-2</v>
      </c>
      <c r="W218" s="201">
        <f t="shared" si="368"/>
        <v>350</v>
      </c>
      <c r="X218" s="451">
        <f t="shared" si="369"/>
        <v>350</v>
      </c>
      <c r="Z218" s="221">
        <f t="shared" si="370"/>
        <v>2.5710366451107194</v>
      </c>
      <c r="AA218" s="177">
        <f t="shared" si="371"/>
        <v>1.4109347442680777</v>
      </c>
      <c r="AB218" s="177">
        <f t="shared" si="372"/>
        <v>0.33571919968049235</v>
      </c>
      <c r="AC218" s="177"/>
      <c r="AD218" s="177">
        <f t="shared" si="373"/>
        <v>0.45</v>
      </c>
      <c r="AE218" s="555">
        <f t="shared" si="374"/>
        <v>45.528455284552848</v>
      </c>
      <c r="AF218" s="538">
        <f t="shared" si="375"/>
        <v>6.4574999999999994E-2</v>
      </c>
      <c r="AH218" s="177">
        <f t="shared" si="376"/>
        <v>0.39537002961461343</v>
      </c>
      <c r="AI218" s="177">
        <f t="shared" si="377"/>
        <v>0.82</v>
      </c>
      <c r="AJ218" s="177">
        <f t="shared" si="378"/>
        <v>1.0260162601626017</v>
      </c>
      <c r="AL218" s="555">
        <f t="shared" si="379"/>
        <v>8.4</v>
      </c>
      <c r="AM218" s="469">
        <f t="shared" si="380"/>
        <v>45.528455284552848</v>
      </c>
      <c r="AO218">
        <f t="shared" si="381"/>
        <v>8.4</v>
      </c>
      <c r="AP218">
        <f t="shared" si="382"/>
        <v>45.528455284552848</v>
      </c>
      <c r="AR218" s="5">
        <f t="shared" si="343"/>
        <v>21.964285714285715</v>
      </c>
      <c r="AS218" s="5">
        <f t="shared" si="335"/>
        <v>0.46124999999999999</v>
      </c>
      <c r="AT218" s="5">
        <f t="shared" si="336"/>
        <v>21.503035714285716</v>
      </c>
      <c r="AU218" s="177">
        <f t="shared" si="337"/>
        <v>2.0999999999999998E-2</v>
      </c>
      <c r="CI218" s="571">
        <f t="shared" si="383"/>
        <v>-50</v>
      </c>
    </row>
    <row r="219" spans="5:88" x14ac:dyDescent="0.2">
      <c r="E219" s="174">
        <v>3</v>
      </c>
      <c r="F219" s="221">
        <f t="shared" si="384"/>
        <v>1.2599999999999998E-2</v>
      </c>
      <c r="G219" s="221">
        <f t="shared" si="353"/>
        <v>2.1749999999999999E-2</v>
      </c>
      <c r="H219" s="221">
        <f t="shared" si="354"/>
        <v>0.19529999999999997</v>
      </c>
      <c r="I219" s="221">
        <f t="shared" si="355"/>
        <v>0.17399999999999999</v>
      </c>
      <c r="J219" s="551">
        <f t="shared" si="356"/>
        <v>16</v>
      </c>
      <c r="K219" s="451">
        <f t="shared" si="357"/>
        <v>16.399999999999999</v>
      </c>
      <c r="L219" s="451">
        <f t="shared" si="358"/>
        <v>32.4</v>
      </c>
      <c r="M219" s="451"/>
      <c r="N219" s="221">
        <f t="shared" si="359"/>
        <v>0.50617283950617287</v>
      </c>
      <c r="O219" s="176">
        <f t="shared" si="360"/>
        <v>7.9020200379095593</v>
      </c>
      <c r="P219" s="176">
        <f t="shared" si="361"/>
        <v>13.312578938385389</v>
      </c>
      <c r="Q219" s="221">
        <f t="shared" si="362"/>
        <v>0.50980774438126186</v>
      </c>
      <c r="R219" s="221">
        <f t="shared" si="363"/>
        <v>0.98775250473869491</v>
      </c>
      <c r="S219" s="221">
        <f t="shared" si="364"/>
        <v>15.5</v>
      </c>
      <c r="T219" s="221">
        <f t="shared" si="365"/>
        <v>0.10133231707317071</v>
      </c>
      <c r="U219" s="221">
        <f t="shared" si="366"/>
        <v>5.6999428353658524E-2</v>
      </c>
      <c r="V219" s="221">
        <f t="shared" si="367"/>
        <v>5.5609198393813203E-2</v>
      </c>
      <c r="W219" s="201">
        <f t="shared" si="368"/>
        <v>350</v>
      </c>
      <c r="X219" s="451">
        <f t="shared" si="369"/>
        <v>350</v>
      </c>
      <c r="Z219" s="221">
        <f t="shared" si="370"/>
        <v>2.5710366451107194</v>
      </c>
      <c r="AA219" s="177">
        <f t="shared" si="371"/>
        <v>1.4109347442680777</v>
      </c>
      <c r="AB219" s="177">
        <f t="shared" si="372"/>
        <v>0.33571919968049235</v>
      </c>
      <c r="AC219" s="177"/>
      <c r="AD219" s="177">
        <f t="shared" si="373"/>
        <v>0.45</v>
      </c>
      <c r="AE219" s="555">
        <f t="shared" si="374"/>
        <v>68.292682926829258</v>
      </c>
      <c r="AF219" s="538">
        <f t="shared" si="375"/>
        <v>6.4574999999999994E-2</v>
      </c>
      <c r="AH219" s="177">
        <f t="shared" si="376"/>
        <v>0.48422741607243847</v>
      </c>
      <c r="AI219" s="177">
        <f t="shared" si="377"/>
        <v>0.82</v>
      </c>
      <c r="AJ219" s="177">
        <f t="shared" si="378"/>
        <v>1.0390243902439025</v>
      </c>
      <c r="AL219" s="555">
        <f t="shared" si="379"/>
        <v>12.599999999999998</v>
      </c>
      <c r="AM219" s="469">
        <f t="shared" si="380"/>
        <v>68.292682926829258</v>
      </c>
      <c r="AO219">
        <f t="shared" si="381"/>
        <v>12.599999999999998</v>
      </c>
      <c r="AP219">
        <f t="shared" si="382"/>
        <v>68.292682926829258</v>
      </c>
      <c r="AR219" s="5">
        <f t="shared" si="343"/>
        <v>14.642857142857144</v>
      </c>
      <c r="AS219" s="5">
        <f t="shared" si="335"/>
        <v>0.46124999999999999</v>
      </c>
      <c r="AT219" s="5">
        <f t="shared" si="336"/>
        <v>14.181607142857144</v>
      </c>
      <c r="AU219" s="177">
        <f t="shared" si="337"/>
        <v>3.15E-2</v>
      </c>
      <c r="CI219" s="571">
        <f t="shared" si="383"/>
        <v>-50</v>
      </c>
    </row>
    <row r="220" spans="5:88" x14ac:dyDescent="0.2">
      <c r="E220" s="174">
        <v>4</v>
      </c>
      <c r="F220" s="221">
        <f t="shared" si="384"/>
        <v>1.6799999999999999E-2</v>
      </c>
      <c r="G220" s="221">
        <f t="shared" si="353"/>
        <v>2.8999999999999998E-2</v>
      </c>
      <c r="H220" s="221">
        <f t="shared" si="354"/>
        <v>0.26039999999999996</v>
      </c>
      <c r="I220" s="221">
        <f t="shared" si="355"/>
        <v>0.23199999999999998</v>
      </c>
      <c r="J220" s="551">
        <f t="shared" si="356"/>
        <v>16</v>
      </c>
      <c r="K220" s="451">
        <f t="shared" si="357"/>
        <v>16.399999999999999</v>
      </c>
      <c r="L220" s="451">
        <f t="shared" si="358"/>
        <v>32.4</v>
      </c>
      <c r="M220" s="451"/>
      <c r="N220" s="221">
        <f t="shared" si="359"/>
        <v>0.50617283950617287</v>
      </c>
      <c r="O220" s="176">
        <f t="shared" si="360"/>
        <v>7.9020200379095593</v>
      </c>
      <c r="P220" s="176">
        <f t="shared" si="361"/>
        <v>13.312578938385389</v>
      </c>
      <c r="Q220" s="221">
        <f t="shared" si="362"/>
        <v>0.50980774438126186</v>
      </c>
      <c r="R220" s="221">
        <f t="shared" si="363"/>
        <v>0.98775250473869491</v>
      </c>
      <c r="S220" s="221">
        <f t="shared" si="364"/>
        <v>15.5</v>
      </c>
      <c r="T220" s="221">
        <f t="shared" si="365"/>
        <v>0.13510975609756096</v>
      </c>
      <c r="U220" s="221">
        <f t="shared" si="366"/>
        <v>7.5999237804878036E-2</v>
      </c>
      <c r="V220" s="221">
        <f t="shared" si="367"/>
        <v>7.4145597858417595E-2</v>
      </c>
      <c r="W220" s="201">
        <f t="shared" si="368"/>
        <v>350</v>
      </c>
      <c r="X220" s="451">
        <f t="shared" si="369"/>
        <v>350</v>
      </c>
      <c r="Z220" s="221">
        <f t="shared" si="370"/>
        <v>2.5710366451107194</v>
      </c>
      <c r="AA220" s="177">
        <f t="shared" si="371"/>
        <v>1.4109347442680777</v>
      </c>
      <c r="AB220" s="177">
        <f t="shared" si="372"/>
        <v>0.33571919968049235</v>
      </c>
      <c r="AC220" s="177"/>
      <c r="AD220" s="177">
        <f t="shared" si="373"/>
        <v>0.45</v>
      </c>
      <c r="AE220" s="555">
        <f t="shared" si="374"/>
        <v>91.056910569105696</v>
      </c>
      <c r="AF220" s="538">
        <f t="shared" si="375"/>
        <v>6.4574999999999994E-2</v>
      </c>
      <c r="AH220" s="177">
        <f t="shared" si="376"/>
        <v>0.55913765803683857</v>
      </c>
      <c r="AI220" s="177">
        <f t="shared" si="377"/>
        <v>0.82</v>
      </c>
      <c r="AJ220" s="177">
        <f t="shared" si="378"/>
        <v>1.0520325203252032</v>
      </c>
      <c r="AL220" s="555">
        <f t="shared" si="379"/>
        <v>16.8</v>
      </c>
      <c r="AM220" s="469">
        <f t="shared" si="380"/>
        <v>91.056910569105696</v>
      </c>
      <c r="AO220">
        <f t="shared" si="381"/>
        <v>16.8</v>
      </c>
      <c r="AP220">
        <f t="shared" si="382"/>
        <v>91.056910569105696</v>
      </c>
      <c r="AR220" s="5">
        <f t="shared" si="343"/>
        <v>10.982142857142858</v>
      </c>
      <c r="AS220" s="5">
        <f t="shared" si="335"/>
        <v>0.46124999999999999</v>
      </c>
      <c r="AT220" s="5">
        <f t="shared" si="336"/>
        <v>10.520892857142858</v>
      </c>
      <c r="AU220" s="177">
        <f t="shared" si="337"/>
        <v>4.1999999999999996E-2</v>
      </c>
      <c r="CI220" s="571">
        <f t="shared" si="383"/>
        <v>-50</v>
      </c>
    </row>
    <row r="221" spans="5:88" x14ac:dyDescent="0.2">
      <c r="E221" s="174">
        <v>5</v>
      </c>
      <c r="F221" s="221">
        <f t="shared" si="384"/>
        <v>2.1000000000000001E-2</v>
      </c>
      <c r="G221" s="221">
        <f t="shared" si="353"/>
        <v>3.6249999999999998E-2</v>
      </c>
      <c r="H221" s="221">
        <f t="shared" si="354"/>
        <v>0.32550000000000001</v>
      </c>
      <c r="I221" s="221">
        <f t="shared" si="355"/>
        <v>0.28999999999999998</v>
      </c>
      <c r="J221" s="551">
        <f t="shared" si="356"/>
        <v>16</v>
      </c>
      <c r="K221" s="451">
        <f t="shared" si="357"/>
        <v>16.399999999999999</v>
      </c>
      <c r="L221" s="451">
        <f t="shared" si="358"/>
        <v>32.4</v>
      </c>
      <c r="M221" s="451"/>
      <c r="N221" s="221">
        <f t="shared" si="359"/>
        <v>0.50617283950617287</v>
      </c>
      <c r="O221" s="176">
        <f t="shared" si="360"/>
        <v>7.9020200379095593</v>
      </c>
      <c r="P221" s="176">
        <f t="shared" si="361"/>
        <v>13.312578938385389</v>
      </c>
      <c r="Q221" s="221">
        <f t="shared" si="362"/>
        <v>0.50980774438126186</v>
      </c>
      <c r="R221" s="221">
        <f t="shared" si="363"/>
        <v>0.98775250473869491</v>
      </c>
      <c r="S221" s="221">
        <f t="shared" si="364"/>
        <v>15.5</v>
      </c>
      <c r="T221" s="221">
        <f t="shared" si="365"/>
        <v>0.16888719512195119</v>
      </c>
      <c r="U221" s="221">
        <f t="shared" si="366"/>
        <v>9.4999047256097535E-2</v>
      </c>
      <c r="V221" s="221">
        <f t="shared" si="367"/>
        <v>9.2681997323022E-2</v>
      </c>
      <c r="W221" s="201">
        <f t="shared" si="368"/>
        <v>350</v>
      </c>
      <c r="X221" s="451">
        <f t="shared" si="369"/>
        <v>350</v>
      </c>
      <c r="Z221" s="221">
        <f t="shared" si="370"/>
        <v>2.5710366451107194</v>
      </c>
      <c r="AA221" s="177">
        <f t="shared" si="371"/>
        <v>1.4109347442680777</v>
      </c>
      <c r="AB221" s="177">
        <f t="shared" si="372"/>
        <v>0.33571919968049235</v>
      </c>
      <c r="AC221" s="177"/>
      <c r="AD221" s="177">
        <f t="shared" si="373"/>
        <v>0.45</v>
      </c>
      <c r="AE221" s="555">
        <f t="shared" si="374"/>
        <v>113.82113821138213</v>
      </c>
      <c r="AF221" s="538">
        <f t="shared" si="375"/>
        <v>6.4574999999999994E-2</v>
      </c>
      <c r="AH221" s="177">
        <f t="shared" si="376"/>
        <v>0.62513490607520128</v>
      </c>
      <c r="AI221" s="177">
        <f t="shared" si="377"/>
        <v>0.82</v>
      </c>
      <c r="AJ221" s="177">
        <f t="shared" si="378"/>
        <v>1.065040650406504</v>
      </c>
      <c r="AL221" s="555">
        <f t="shared" si="379"/>
        <v>21</v>
      </c>
      <c r="AM221" s="469">
        <f t="shared" si="380"/>
        <v>113.82113821138213</v>
      </c>
      <c r="AO221">
        <f t="shared" si="381"/>
        <v>21</v>
      </c>
      <c r="AP221">
        <f t="shared" si="382"/>
        <v>113.82113821138213</v>
      </c>
      <c r="AR221" s="5">
        <f t="shared" si="343"/>
        <v>8.7857142857142847</v>
      </c>
      <c r="AS221" s="5">
        <f t="shared" si="335"/>
        <v>0.46124999999999999</v>
      </c>
      <c r="AT221" s="5">
        <f t="shared" si="336"/>
        <v>8.324464285714285</v>
      </c>
      <c r="AU221" s="177">
        <f t="shared" si="337"/>
        <v>5.2500000000000005E-2</v>
      </c>
      <c r="CI221" s="571">
        <f t="shared" si="383"/>
        <v>-50</v>
      </c>
    </row>
    <row r="222" spans="5:88" x14ac:dyDescent="0.2">
      <c r="E222" s="174">
        <v>6</v>
      </c>
      <c r="F222" s="221">
        <f t="shared" si="384"/>
        <v>2.5199999999999997E-2</v>
      </c>
      <c r="G222" s="221">
        <f t="shared" si="353"/>
        <v>4.3499999999999997E-2</v>
      </c>
      <c r="H222" s="221">
        <f t="shared" si="354"/>
        <v>0.39059999999999995</v>
      </c>
      <c r="I222" s="221">
        <f t="shared" si="355"/>
        <v>0.34799999999999998</v>
      </c>
      <c r="J222" s="551">
        <f t="shared" si="356"/>
        <v>16</v>
      </c>
      <c r="K222" s="451">
        <f t="shared" si="357"/>
        <v>16.399999999999999</v>
      </c>
      <c r="L222" s="451">
        <f t="shared" si="358"/>
        <v>32.4</v>
      </c>
      <c r="M222" s="451"/>
      <c r="N222" s="221">
        <f t="shared" si="359"/>
        <v>0.50617283950617287</v>
      </c>
      <c r="O222" s="176">
        <f t="shared" si="360"/>
        <v>7.9020200379095593</v>
      </c>
      <c r="P222" s="176">
        <f t="shared" si="361"/>
        <v>13.312578938385389</v>
      </c>
      <c r="Q222" s="221">
        <f t="shared" si="362"/>
        <v>0.50980774438126186</v>
      </c>
      <c r="R222" s="221">
        <f t="shared" si="363"/>
        <v>0.98775250473869491</v>
      </c>
      <c r="S222" s="221">
        <f t="shared" si="364"/>
        <v>15.5</v>
      </c>
      <c r="T222" s="221">
        <f t="shared" si="365"/>
        <v>0.20266463414634142</v>
      </c>
      <c r="U222" s="221">
        <f t="shared" si="366"/>
        <v>0.11399885670731705</v>
      </c>
      <c r="V222" s="221">
        <f t="shared" si="367"/>
        <v>0.11121839678762641</v>
      </c>
      <c r="W222" s="201">
        <f t="shared" si="368"/>
        <v>350</v>
      </c>
      <c r="X222" s="451">
        <f t="shared" si="369"/>
        <v>350</v>
      </c>
      <c r="Z222" s="221">
        <f t="shared" si="370"/>
        <v>2.5710366451107194</v>
      </c>
      <c r="AA222" s="177">
        <f t="shared" si="371"/>
        <v>1.4109347442680777</v>
      </c>
      <c r="AB222" s="177">
        <f t="shared" si="372"/>
        <v>0.33571919968049235</v>
      </c>
      <c r="AC222" s="177"/>
      <c r="AD222" s="177">
        <f t="shared" si="373"/>
        <v>0.45</v>
      </c>
      <c r="AE222" s="555">
        <f t="shared" si="374"/>
        <v>136.58536585365852</v>
      </c>
      <c r="AF222" s="538">
        <f t="shared" si="375"/>
        <v>6.4574999999999994E-2</v>
      </c>
      <c r="AH222" s="177">
        <f t="shared" si="376"/>
        <v>0.68480097908252213</v>
      </c>
      <c r="AI222" s="177">
        <f t="shared" si="377"/>
        <v>0.82</v>
      </c>
      <c r="AJ222" s="177">
        <f t="shared" si="378"/>
        <v>1.0780487804878049</v>
      </c>
      <c r="AL222" s="555">
        <f t="shared" si="379"/>
        <v>25.199999999999996</v>
      </c>
      <c r="AM222" s="469">
        <f t="shared" si="380"/>
        <v>136.58536585365852</v>
      </c>
      <c r="AO222">
        <f t="shared" si="381"/>
        <v>25.199999999999996</v>
      </c>
      <c r="AP222">
        <f t="shared" si="382"/>
        <v>136.58536585365852</v>
      </c>
      <c r="AR222" s="5">
        <f t="shared" si="343"/>
        <v>7.3214285714285721</v>
      </c>
      <c r="AS222" s="5">
        <f t="shared" si="335"/>
        <v>0.46124999999999999</v>
      </c>
      <c r="AT222" s="5">
        <f t="shared" si="336"/>
        <v>6.8601785714285723</v>
      </c>
      <c r="AU222" s="177">
        <f t="shared" si="337"/>
        <v>6.3E-2</v>
      </c>
      <c r="CI222" s="571">
        <f t="shared" si="383"/>
        <v>-50</v>
      </c>
    </row>
    <row r="223" spans="5:88" x14ac:dyDescent="0.2">
      <c r="E223" s="174">
        <v>7</v>
      </c>
      <c r="F223" s="221">
        <f t="shared" si="384"/>
        <v>2.9400000000000003E-2</v>
      </c>
      <c r="G223" s="221">
        <f t="shared" si="353"/>
        <v>5.0750000000000003E-2</v>
      </c>
      <c r="H223" s="221">
        <f t="shared" si="354"/>
        <v>0.45570000000000005</v>
      </c>
      <c r="I223" s="221">
        <f t="shared" si="355"/>
        <v>0.40600000000000003</v>
      </c>
      <c r="J223" s="551">
        <f t="shared" si="356"/>
        <v>16</v>
      </c>
      <c r="K223" s="451">
        <f t="shared" si="357"/>
        <v>16.399999999999999</v>
      </c>
      <c r="L223" s="451">
        <f t="shared" si="358"/>
        <v>32.4</v>
      </c>
      <c r="M223" s="451"/>
      <c r="N223" s="221">
        <f t="shared" si="359"/>
        <v>0.50617283950617287</v>
      </c>
      <c r="O223" s="176">
        <f t="shared" si="360"/>
        <v>7.9020200379095593</v>
      </c>
      <c r="P223" s="176">
        <f t="shared" si="361"/>
        <v>13.312578938385389</v>
      </c>
      <c r="Q223" s="221">
        <f t="shared" si="362"/>
        <v>0.50980774438126186</v>
      </c>
      <c r="R223" s="221">
        <f t="shared" si="363"/>
        <v>0.98775250473869491</v>
      </c>
      <c r="S223" s="221">
        <f t="shared" si="364"/>
        <v>15.5</v>
      </c>
      <c r="T223" s="221">
        <f t="shared" si="365"/>
        <v>0.23644207317073171</v>
      </c>
      <c r="U223" s="221">
        <f t="shared" si="366"/>
        <v>0.13299866615853659</v>
      </c>
      <c r="V223" s="221">
        <f t="shared" si="367"/>
        <v>0.1297547962522308</v>
      </c>
      <c r="W223" s="201">
        <f t="shared" si="368"/>
        <v>350</v>
      </c>
      <c r="X223" s="451">
        <f t="shared" si="369"/>
        <v>350</v>
      </c>
      <c r="Z223" s="221">
        <f t="shared" si="370"/>
        <v>2.5710366451107194</v>
      </c>
      <c r="AA223" s="177">
        <f t="shared" si="371"/>
        <v>1.4109347442680777</v>
      </c>
      <c r="AB223" s="177">
        <f t="shared" si="372"/>
        <v>0.33571919968049235</v>
      </c>
      <c r="AC223" s="177"/>
      <c r="AD223" s="177">
        <f t="shared" si="373"/>
        <v>0.45</v>
      </c>
      <c r="AE223" s="555">
        <f t="shared" si="374"/>
        <v>159.34959349593498</v>
      </c>
      <c r="AF223" s="538">
        <f t="shared" si="375"/>
        <v>6.4574999999999994E-2</v>
      </c>
      <c r="AH223" s="177">
        <f t="shared" si="376"/>
        <v>0.7396695959082753</v>
      </c>
      <c r="AI223" s="177">
        <f t="shared" si="377"/>
        <v>0.82</v>
      </c>
      <c r="AJ223" s="177">
        <f t="shared" si="378"/>
        <v>1.0910569105691057</v>
      </c>
      <c r="AL223" s="555">
        <f t="shared" si="379"/>
        <v>29.400000000000002</v>
      </c>
      <c r="AM223" s="469">
        <f t="shared" si="380"/>
        <v>159.34959349593498</v>
      </c>
      <c r="AO223">
        <f t="shared" si="381"/>
        <v>29.400000000000002</v>
      </c>
      <c r="AP223">
        <f t="shared" si="382"/>
        <v>159.34959349593498</v>
      </c>
      <c r="AR223" s="5">
        <f t="shared" si="343"/>
        <v>6.2755102040816313</v>
      </c>
      <c r="AS223" s="5">
        <f t="shared" si="335"/>
        <v>0.46124999999999999</v>
      </c>
      <c r="AT223" s="5">
        <f t="shared" si="336"/>
        <v>5.8142602040816316</v>
      </c>
      <c r="AU223" s="177">
        <f t="shared" si="337"/>
        <v>7.350000000000001E-2</v>
      </c>
      <c r="CI223" s="571">
        <f t="shared" si="383"/>
        <v>-50</v>
      </c>
    </row>
    <row r="224" spans="5:88" x14ac:dyDescent="0.2">
      <c r="E224" s="174">
        <v>8</v>
      </c>
      <c r="F224" s="221">
        <f t="shared" si="384"/>
        <v>3.3599999999999998E-2</v>
      </c>
      <c r="G224" s="221">
        <f t="shared" si="353"/>
        <v>5.7999999999999996E-2</v>
      </c>
      <c r="H224" s="221">
        <f t="shared" si="354"/>
        <v>0.52079999999999993</v>
      </c>
      <c r="I224" s="221">
        <f t="shared" si="355"/>
        <v>0.46399999999999997</v>
      </c>
      <c r="J224" s="551">
        <f t="shared" si="356"/>
        <v>16</v>
      </c>
      <c r="K224" s="451">
        <f t="shared" si="357"/>
        <v>16.399999999999999</v>
      </c>
      <c r="L224" s="451">
        <f t="shared" si="358"/>
        <v>32.4</v>
      </c>
      <c r="M224" s="451"/>
      <c r="N224" s="221">
        <f t="shared" si="359"/>
        <v>0.50617283950617287</v>
      </c>
      <c r="O224" s="176">
        <f t="shared" si="360"/>
        <v>7.9020200379095593</v>
      </c>
      <c r="P224" s="176">
        <f t="shared" si="361"/>
        <v>13.312578938385389</v>
      </c>
      <c r="Q224" s="221">
        <f t="shared" si="362"/>
        <v>0.50980774438126186</v>
      </c>
      <c r="R224" s="221">
        <f t="shared" si="363"/>
        <v>0.98775250473869491</v>
      </c>
      <c r="S224" s="221">
        <f t="shared" si="364"/>
        <v>15.5</v>
      </c>
      <c r="T224" s="221">
        <f t="shared" si="365"/>
        <v>0.27021951219512191</v>
      </c>
      <c r="U224" s="221">
        <f t="shared" si="366"/>
        <v>0.15199847560975607</v>
      </c>
      <c r="V224" s="221">
        <f t="shared" si="367"/>
        <v>0.14829119571683519</v>
      </c>
      <c r="W224" s="201">
        <f t="shared" si="368"/>
        <v>350</v>
      </c>
      <c r="X224" s="451">
        <f t="shared" si="369"/>
        <v>350</v>
      </c>
      <c r="Z224" s="221">
        <f t="shared" si="370"/>
        <v>2.5710366451107194</v>
      </c>
      <c r="AA224" s="177">
        <f t="shared" si="371"/>
        <v>1.4109347442680777</v>
      </c>
      <c r="AB224" s="177">
        <f t="shared" si="372"/>
        <v>0.33571919968049235</v>
      </c>
      <c r="AC224" s="177"/>
      <c r="AD224" s="177">
        <f t="shared" si="373"/>
        <v>0.45</v>
      </c>
      <c r="AE224" s="555">
        <f t="shared" si="374"/>
        <v>182.11382113821139</v>
      </c>
      <c r="AF224" s="538">
        <f t="shared" si="375"/>
        <v>6.4574999999999994E-2</v>
      </c>
      <c r="AH224" s="177">
        <f t="shared" si="376"/>
        <v>0.79074005922922685</v>
      </c>
      <c r="AI224" s="177">
        <f t="shared" si="377"/>
        <v>0.82</v>
      </c>
      <c r="AJ224" s="177">
        <f t="shared" si="378"/>
        <v>1.1040650406504064</v>
      </c>
      <c r="AL224" s="555">
        <f t="shared" si="379"/>
        <v>33.6</v>
      </c>
      <c r="AM224" s="469">
        <f t="shared" si="380"/>
        <v>182.11382113821139</v>
      </c>
      <c r="AO224">
        <f t="shared" si="381"/>
        <v>33.6</v>
      </c>
      <c r="AP224">
        <f t="shared" si="382"/>
        <v>182.11382113821139</v>
      </c>
      <c r="AR224" s="5">
        <f t="shared" si="343"/>
        <v>5.4910714285714288</v>
      </c>
      <c r="AS224" s="5">
        <f t="shared" si="335"/>
        <v>0.46124999999999999</v>
      </c>
      <c r="AT224" s="5">
        <f t="shared" si="336"/>
        <v>5.0298214285714291</v>
      </c>
      <c r="AU224" s="177">
        <f t="shared" si="337"/>
        <v>8.3999999999999991E-2</v>
      </c>
      <c r="CI224" s="571">
        <f t="shared" si="383"/>
        <v>-50</v>
      </c>
    </row>
    <row r="225" spans="5:87" x14ac:dyDescent="0.2">
      <c r="E225" s="174">
        <v>9</v>
      </c>
      <c r="F225" s="221">
        <f t="shared" si="384"/>
        <v>3.78E-2</v>
      </c>
      <c r="G225" s="221">
        <f t="shared" si="353"/>
        <v>6.5250000000000002E-2</v>
      </c>
      <c r="H225" s="221">
        <f t="shared" si="354"/>
        <v>0.58589999999999998</v>
      </c>
      <c r="I225" s="221">
        <f t="shared" si="355"/>
        <v>0.52200000000000002</v>
      </c>
      <c r="J225" s="551">
        <f t="shared" si="356"/>
        <v>16</v>
      </c>
      <c r="K225" s="451">
        <f t="shared" si="357"/>
        <v>16.399999999999999</v>
      </c>
      <c r="L225" s="451">
        <f t="shared" si="358"/>
        <v>32.4</v>
      </c>
      <c r="M225" s="451"/>
      <c r="N225" s="221">
        <f t="shared" si="359"/>
        <v>0.50617283950617287</v>
      </c>
      <c r="O225" s="176">
        <f t="shared" si="360"/>
        <v>7.9020200379095593</v>
      </c>
      <c r="P225" s="176">
        <f t="shared" si="361"/>
        <v>13.312578938385389</v>
      </c>
      <c r="Q225" s="221">
        <f t="shared" si="362"/>
        <v>0.50980774438126186</v>
      </c>
      <c r="R225" s="221">
        <f t="shared" si="363"/>
        <v>0.98775250473869491</v>
      </c>
      <c r="S225" s="221">
        <f t="shared" si="364"/>
        <v>15.5</v>
      </c>
      <c r="T225" s="221">
        <f t="shared" si="365"/>
        <v>0.30399695121951215</v>
      </c>
      <c r="U225" s="221">
        <f t="shared" si="366"/>
        <v>0.17099828506097559</v>
      </c>
      <c r="V225" s="221">
        <f t="shared" si="367"/>
        <v>0.16682759518143961</v>
      </c>
      <c r="W225" s="201">
        <f t="shared" si="368"/>
        <v>350</v>
      </c>
      <c r="X225" s="451">
        <f t="shared" si="369"/>
        <v>350</v>
      </c>
      <c r="Z225" s="221">
        <f t="shared" si="370"/>
        <v>2.5710366451107194</v>
      </c>
      <c r="AA225" s="177">
        <f t="shared" si="371"/>
        <v>1.4109347442680777</v>
      </c>
      <c r="AB225" s="177">
        <f t="shared" si="372"/>
        <v>0.33571919968049235</v>
      </c>
      <c r="AC225" s="177"/>
      <c r="AD225" s="177">
        <f t="shared" si="373"/>
        <v>0.45</v>
      </c>
      <c r="AE225" s="555">
        <f t="shared" si="374"/>
        <v>204.87804878048786</v>
      </c>
      <c r="AF225" s="538">
        <f t="shared" si="375"/>
        <v>6.4574999999999994E-2</v>
      </c>
      <c r="AH225" s="177">
        <f t="shared" si="376"/>
        <v>0.83870648705525785</v>
      </c>
      <c r="AI225" s="177">
        <f t="shared" si="377"/>
        <v>0.83870648705525785</v>
      </c>
      <c r="AJ225" s="177">
        <f t="shared" si="378"/>
        <v>1.1170731707317074</v>
      </c>
      <c r="AL225" s="555">
        <f t="shared" si="379"/>
        <v>37.799999999999997</v>
      </c>
      <c r="AM225" s="469">
        <f t="shared" si="380"/>
        <v>204.87804878048786</v>
      </c>
      <c r="AO225">
        <f t="shared" si="381"/>
        <v>37.799999999999997</v>
      </c>
      <c r="AP225">
        <f t="shared" si="382"/>
        <v>204.87804878048786</v>
      </c>
      <c r="AR225" s="5">
        <f t="shared" si="343"/>
        <v>4.8809523809523796</v>
      </c>
      <c r="AS225" s="5">
        <f t="shared" si="335"/>
        <v>0.47177239896858258</v>
      </c>
      <c r="AT225" s="5">
        <f t="shared" si="336"/>
        <v>4.4091799819837973</v>
      </c>
      <c r="AU225" s="177">
        <f t="shared" si="337"/>
        <v>9.6655808569173038E-2</v>
      </c>
      <c r="CI225" s="571">
        <f t="shared" si="383"/>
        <v>-50</v>
      </c>
    </row>
    <row r="226" spans="5:87" x14ac:dyDescent="0.2">
      <c r="E226" s="174">
        <v>10</v>
      </c>
      <c r="F226" s="221">
        <f t="shared" si="384"/>
        <v>4.2000000000000003E-2</v>
      </c>
      <c r="G226" s="221">
        <f t="shared" si="353"/>
        <v>7.2499999999999995E-2</v>
      </c>
      <c r="H226" s="221">
        <f t="shared" si="354"/>
        <v>0.65100000000000002</v>
      </c>
      <c r="I226" s="221">
        <f t="shared" si="355"/>
        <v>0.57999999999999996</v>
      </c>
      <c r="J226" s="551">
        <f t="shared" si="356"/>
        <v>16</v>
      </c>
      <c r="K226" s="451">
        <f t="shared" si="357"/>
        <v>16.399999999999999</v>
      </c>
      <c r="L226" s="451">
        <f t="shared" si="358"/>
        <v>32.4</v>
      </c>
      <c r="M226" s="451"/>
      <c r="N226" s="221">
        <f t="shared" si="359"/>
        <v>0.50617283950617287</v>
      </c>
      <c r="O226" s="176">
        <f t="shared" si="360"/>
        <v>7.9020200379095593</v>
      </c>
      <c r="P226" s="176">
        <f t="shared" si="361"/>
        <v>13.312578938385389</v>
      </c>
      <c r="Q226" s="221">
        <f t="shared" si="362"/>
        <v>0.50980774438126186</v>
      </c>
      <c r="R226" s="221">
        <f t="shared" si="363"/>
        <v>0.98775250473869491</v>
      </c>
      <c r="S226" s="221">
        <f t="shared" si="364"/>
        <v>15.5</v>
      </c>
      <c r="T226" s="221">
        <f t="shared" si="365"/>
        <v>0.33777439024390238</v>
      </c>
      <c r="U226" s="221">
        <f t="shared" si="366"/>
        <v>0.18999809451219507</v>
      </c>
      <c r="V226" s="221">
        <f t="shared" si="367"/>
        <v>0.185363994646044</v>
      </c>
      <c r="W226" s="201">
        <f t="shared" si="368"/>
        <v>350</v>
      </c>
      <c r="X226" s="451">
        <f t="shared" si="369"/>
        <v>350</v>
      </c>
      <c r="Z226" s="221">
        <f t="shared" si="370"/>
        <v>2.5710366451107194</v>
      </c>
      <c r="AA226" s="177">
        <f t="shared" si="371"/>
        <v>1.4109347442680777</v>
      </c>
      <c r="AB226" s="177">
        <f t="shared" si="372"/>
        <v>0.33571919968049235</v>
      </c>
      <c r="AC226" s="177"/>
      <c r="AD226" s="177">
        <f t="shared" si="373"/>
        <v>0.45</v>
      </c>
      <c r="AE226" s="555">
        <f t="shared" si="374"/>
        <v>227.64227642276427</v>
      </c>
      <c r="AF226" s="538">
        <f t="shared" si="375"/>
        <v>6.4574999999999994E-2</v>
      </c>
      <c r="AH226" s="177">
        <f t="shared" si="376"/>
        <v>0.88407426248438059</v>
      </c>
      <c r="AI226" s="177">
        <f t="shared" si="377"/>
        <v>0.88407426248438059</v>
      </c>
      <c r="AJ226" s="177">
        <f t="shared" si="378"/>
        <v>1.1300813008130082</v>
      </c>
      <c r="AL226" s="555">
        <f t="shared" si="379"/>
        <v>42</v>
      </c>
      <c r="AM226" s="469">
        <f t="shared" si="380"/>
        <v>227.64227642276427</v>
      </c>
      <c r="AO226">
        <f t="shared" si="381"/>
        <v>42</v>
      </c>
      <c r="AP226">
        <f t="shared" si="382"/>
        <v>227.64227642276427</v>
      </c>
      <c r="AR226" s="5">
        <f t="shared" si="343"/>
        <v>4.3928571428571423</v>
      </c>
      <c r="AS226" s="5">
        <f t="shared" si="335"/>
        <v>0.49729177264746416</v>
      </c>
      <c r="AT226" s="5">
        <f t="shared" si="336"/>
        <v>3.8955653702096784</v>
      </c>
      <c r="AU226" s="177">
        <f t="shared" si="337"/>
        <v>0.11320463117178048</v>
      </c>
      <c r="CI226" s="571">
        <f t="shared" si="383"/>
        <v>-50</v>
      </c>
    </row>
    <row r="227" spans="5:87" x14ac:dyDescent="0.2">
      <c r="E227" s="174">
        <v>11</v>
      </c>
      <c r="F227" s="221">
        <f t="shared" si="384"/>
        <v>4.6199999999999998E-2</v>
      </c>
      <c r="G227" s="221">
        <f t="shared" si="353"/>
        <v>7.9750000000000001E-2</v>
      </c>
      <c r="H227" s="221">
        <f t="shared" si="354"/>
        <v>0.71609999999999996</v>
      </c>
      <c r="I227" s="221">
        <f t="shared" si="355"/>
        <v>0.63800000000000001</v>
      </c>
      <c r="J227" s="551">
        <f t="shared" si="356"/>
        <v>16</v>
      </c>
      <c r="K227" s="451">
        <f t="shared" si="357"/>
        <v>16.399999999999999</v>
      </c>
      <c r="L227" s="451">
        <f t="shared" si="358"/>
        <v>32.4</v>
      </c>
      <c r="M227" s="451"/>
      <c r="N227" s="221">
        <f t="shared" si="359"/>
        <v>0.50617283950617287</v>
      </c>
      <c r="O227" s="176">
        <f t="shared" si="360"/>
        <v>7.9020200379095593</v>
      </c>
      <c r="P227" s="176">
        <f t="shared" si="361"/>
        <v>13.312578938385389</v>
      </c>
      <c r="Q227" s="221">
        <f t="shared" si="362"/>
        <v>0.50980774438126186</v>
      </c>
      <c r="R227" s="221">
        <f t="shared" si="363"/>
        <v>0.98775250473869491</v>
      </c>
      <c r="S227" s="221">
        <f t="shared" si="364"/>
        <v>15.5</v>
      </c>
      <c r="T227" s="221">
        <f t="shared" si="365"/>
        <v>0.37155182926829261</v>
      </c>
      <c r="U227" s="221">
        <f t="shared" si="366"/>
        <v>0.20899790396341461</v>
      </c>
      <c r="V227" s="221">
        <f t="shared" si="367"/>
        <v>0.20390039411064842</v>
      </c>
      <c r="W227" s="201">
        <f t="shared" si="368"/>
        <v>350</v>
      </c>
      <c r="X227" s="451">
        <f t="shared" si="369"/>
        <v>350</v>
      </c>
      <c r="Z227" s="221">
        <f t="shared" si="370"/>
        <v>2.5710366451107194</v>
      </c>
      <c r="AA227" s="177">
        <f t="shared" si="371"/>
        <v>1.4109347442680777</v>
      </c>
      <c r="AB227" s="177">
        <f t="shared" si="372"/>
        <v>0.33571919968049235</v>
      </c>
      <c r="AC227" s="177"/>
      <c r="AD227" s="177">
        <f t="shared" si="373"/>
        <v>0.45</v>
      </c>
      <c r="AE227" s="555">
        <f t="shared" si="374"/>
        <v>250.40650406504065</v>
      </c>
      <c r="AF227" s="538">
        <f t="shared" si="375"/>
        <v>6.4574999999999994E-2</v>
      </c>
      <c r="AH227" s="177">
        <f t="shared" si="376"/>
        <v>0.92722490893311948</v>
      </c>
      <c r="AI227" s="177">
        <f t="shared" si="377"/>
        <v>0.92722490893311948</v>
      </c>
      <c r="AJ227" s="177">
        <f t="shared" si="378"/>
        <v>1.1430894308943089</v>
      </c>
      <c r="AL227" s="555">
        <f t="shared" si="379"/>
        <v>46.199999999999996</v>
      </c>
      <c r="AM227" s="469">
        <f t="shared" si="380"/>
        <v>250.40650406504065</v>
      </c>
      <c r="AO227">
        <f t="shared" si="381"/>
        <v>46.199999999999996</v>
      </c>
      <c r="AP227">
        <f t="shared" si="382"/>
        <v>250.40650406504065</v>
      </c>
      <c r="AR227" s="5">
        <f t="shared" si="343"/>
        <v>3.9935064935064934</v>
      </c>
      <c r="AS227" s="5">
        <f t="shared" si="335"/>
        <v>0.52156401127487972</v>
      </c>
      <c r="AT227" s="5">
        <f t="shared" si="336"/>
        <v>3.4719424822316136</v>
      </c>
      <c r="AU227" s="177">
        <f t="shared" si="337"/>
        <v>0.13060302070948207</v>
      </c>
      <c r="CI227" s="571">
        <f t="shared" si="383"/>
        <v>-50</v>
      </c>
    </row>
    <row r="228" spans="5:87" x14ac:dyDescent="0.2">
      <c r="E228" s="174">
        <v>12</v>
      </c>
      <c r="F228" s="221">
        <f t="shared" si="384"/>
        <v>5.0399999999999993E-2</v>
      </c>
      <c r="G228" s="221">
        <f t="shared" si="353"/>
        <v>8.6999999999999994E-2</v>
      </c>
      <c r="H228" s="221">
        <f t="shared" si="354"/>
        <v>0.78119999999999989</v>
      </c>
      <c r="I228" s="221">
        <f t="shared" si="355"/>
        <v>0.69599999999999995</v>
      </c>
      <c r="J228" s="551">
        <f t="shared" si="356"/>
        <v>16</v>
      </c>
      <c r="K228" s="451">
        <f t="shared" si="357"/>
        <v>16.399999999999999</v>
      </c>
      <c r="L228" s="451">
        <f t="shared" si="358"/>
        <v>32.4</v>
      </c>
      <c r="M228" s="451"/>
      <c r="N228" s="221">
        <f t="shared" si="359"/>
        <v>0.50617283950617287</v>
      </c>
      <c r="O228" s="176">
        <f t="shared" si="360"/>
        <v>7.9020200379095593</v>
      </c>
      <c r="P228" s="176">
        <f t="shared" si="361"/>
        <v>13.312578938385389</v>
      </c>
      <c r="Q228" s="221">
        <f t="shared" si="362"/>
        <v>0.50980774438126186</v>
      </c>
      <c r="R228" s="221">
        <f t="shared" si="363"/>
        <v>0.98775250473869491</v>
      </c>
      <c r="S228" s="221">
        <f t="shared" si="364"/>
        <v>15.5</v>
      </c>
      <c r="T228" s="221">
        <f t="shared" si="365"/>
        <v>0.40532926829268284</v>
      </c>
      <c r="U228" s="221">
        <f t="shared" si="366"/>
        <v>0.2279977134146341</v>
      </c>
      <c r="V228" s="221">
        <f t="shared" si="367"/>
        <v>0.22243679357525281</v>
      </c>
      <c r="W228" s="201">
        <f t="shared" si="368"/>
        <v>350</v>
      </c>
      <c r="X228" s="451">
        <f t="shared" si="369"/>
        <v>350</v>
      </c>
      <c r="Z228" s="221">
        <f t="shared" si="370"/>
        <v>2.5710366451107194</v>
      </c>
      <c r="AA228" s="177">
        <f t="shared" si="371"/>
        <v>1.4109347442680777</v>
      </c>
      <c r="AB228" s="177">
        <f t="shared" si="372"/>
        <v>0.33571919968049235</v>
      </c>
      <c r="AC228" s="177"/>
      <c r="AD228" s="177">
        <f t="shared" si="373"/>
        <v>0.45</v>
      </c>
      <c r="AE228" s="555">
        <f t="shared" si="374"/>
        <v>273.17073170731703</v>
      </c>
      <c r="AF228" s="538">
        <f t="shared" si="375"/>
        <v>6.4574999999999994E-2</v>
      </c>
      <c r="AH228" s="177">
        <f t="shared" si="376"/>
        <v>0.96845483214487693</v>
      </c>
      <c r="AI228" s="177">
        <f t="shared" si="377"/>
        <v>0.96845483214487693</v>
      </c>
      <c r="AJ228" s="177">
        <f t="shared" si="378"/>
        <v>1.1560975609756097</v>
      </c>
      <c r="AL228" s="555">
        <f t="shared" si="379"/>
        <v>50.399999999999991</v>
      </c>
      <c r="AM228" s="469">
        <f t="shared" si="380"/>
        <v>273.17073170731703</v>
      </c>
      <c r="AO228">
        <f t="shared" si="381"/>
        <v>50.399999999999991</v>
      </c>
      <c r="AP228">
        <f t="shared" si="382"/>
        <v>273.17073170731703</v>
      </c>
      <c r="AR228" s="5">
        <f t="shared" si="343"/>
        <v>3.660714285714286</v>
      </c>
      <c r="AS228" s="5">
        <f t="shared" si="335"/>
        <v>0.54475584308149327</v>
      </c>
      <c r="AT228" s="5">
        <f t="shared" si="336"/>
        <v>3.1159584426327926</v>
      </c>
      <c r="AU228" s="177">
        <f t="shared" si="337"/>
        <v>0.1488113522564079</v>
      </c>
      <c r="CI228" s="571">
        <f t="shared" si="383"/>
        <v>-50</v>
      </c>
    </row>
    <row r="229" spans="5:87" x14ac:dyDescent="0.2">
      <c r="E229" s="174">
        <v>13</v>
      </c>
      <c r="F229" s="221">
        <f t="shared" si="384"/>
        <v>5.4600000000000003E-2</v>
      </c>
      <c r="G229" s="221">
        <f t="shared" si="353"/>
        <v>9.425E-2</v>
      </c>
      <c r="H229" s="221">
        <f t="shared" si="354"/>
        <v>0.84630000000000005</v>
      </c>
      <c r="I229" s="221">
        <f t="shared" si="355"/>
        <v>0.754</v>
      </c>
      <c r="J229" s="551">
        <f t="shared" si="356"/>
        <v>16</v>
      </c>
      <c r="K229" s="451">
        <f t="shared" si="357"/>
        <v>16.399999999999999</v>
      </c>
      <c r="L229" s="451">
        <f t="shared" si="358"/>
        <v>32.4</v>
      </c>
      <c r="M229" s="451"/>
      <c r="N229" s="221">
        <f t="shared" si="359"/>
        <v>0.50617283950617287</v>
      </c>
      <c r="O229" s="176">
        <f t="shared" si="360"/>
        <v>7.9020200379095593</v>
      </c>
      <c r="P229" s="176">
        <f t="shared" si="361"/>
        <v>13.312578938385389</v>
      </c>
      <c r="Q229" s="221">
        <f t="shared" si="362"/>
        <v>0.50980774438126186</v>
      </c>
      <c r="R229" s="221">
        <f t="shared" si="363"/>
        <v>0.98775250473869491</v>
      </c>
      <c r="S229" s="221">
        <f t="shared" si="364"/>
        <v>15.5</v>
      </c>
      <c r="T229" s="221">
        <f t="shared" si="365"/>
        <v>0.43910670731707313</v>
      </c>
      <c r="U229" s="221">
        <f t="shared" si="366"/>
        <v>0.24699752286585364</v>
      </c>
      <c r="V229" s="221">
        <f t="shared" si="367"/>
        <v>0.24097319303985726</v>
      </c>
      <c r="W229" s="201">
        <f t="shared" si="368"/>
        <v>350</v>
      </c>
      <c r="X229" s="451">
        <f t="shared" si="369"/>
        <v>350</v>
      </c>
      <c r="Z229" s="221">
        <f t="shared" si="370"/>
        <v>2.5710366451107194</v>
      </c>
      <c r="AA229" s="177">
        <f t="shared" si="371"/>
        <v>1.4109347442680777</v>
      </c>
      <c r="AB229" s="177">
        <f t="shared" si="372"/>
        <v>0.33571919968049235</v>
      </c>
      <c r="AC229" s="177"/>
      <c r="AD229" s="177">
        <f t="shared" si="373"/>
        <v>0.45</v>
      </c>
      <c r="AE229" s="555">
        <f t="shared" si="374"/>
        <v>295.9349593495935</v>
      </c>
      <c r="AF229" s="538">
        <f t="shared" si="375"/>
        <v>6.4574999999999994E-2</v>
      </c>
      <c r="AH229" s="177">
        <f t="shared" si="376"/>
        <v>1.0079997480473357</v>
      </c>
      <c r="AI229" s="177">
        <f t="shared" si="377"/>
        <v>1.0079997480473357</v>
      </c>
      <c r="AJ229" s="177">
        <f t="shared" si="378"/>
        <v>1.1691056910569106</v>
      </c>
      <c r="AL229" s="555">
        <f t="shared" si="379"/>
        <v>54.6</v>
      </c>
      <c r="AM229" s="469">
        <f t="shared" si="380"/>
        <v>295.9349593495935</v>
      </c>
      <c r="AO229">
        <f t="shared" si="381"/>
        <v>54.6</v>
      </c>
      <c r="AP229">
        <f t="shared" si="382"/>
        <v>295.9349593495935</v>
      </c>
      <c r="AR229" s="5">
        <f t="shared" si="343"/>
        <v>3.3791208791208791</v>
      </c>
      <c r="AS229" s="5">
        <f t="shared" si="335"/>
        <v>0.56699985827662636</v>
      </c>
      <c r="AT229" s="5">
        <f t="shared" si="336"/>
        <v>2.8121210208442529</v>
      </c>
      <c r="AU229" s="177">
        <f t="shared" si="337"/>
        <v>0.1677950800103187</v>
      </c>
      <c r="CI229" s="571">
        <f t="shared" si="383"/>
        <v>-50</v>
      </c>
    </row>
    <row r="230" spans="5:87" x14ac:dyDescent="0.2">
      <c r="E230" s="174">
        <v>14</v>
      </c>
      <c r="F230" s="221">
        <f t="shared" si="384"/>
        <v>5.8800000000000005E-2</v>
      </c>
      <c r="G230" s="221">
        <f t="shared" si="353"/>
        <v>0.10150000000000001</v>
      </c>
      <c r="H230" s="221">
        <f t="shared" si="354"/>
        <v>0.9114000000000001</v>
      </c>
      <c r="I230" s="221">
        <f t="shared" si="355"/>
        <v>0.81200000000000006</v>
      </c>
      <c r="J230" s="551">
        <f t="shared" si="356"/>
        <v>16</v>
      </c>
      <c r="K230" s="451">
        <f t="shared" si="357"/>
        <v>16.399999999999999</v>
      </c>
      <c r="L230" s="451">
        <f t="shared" si="358"/>
        <v>32.4</v>
      </c>
      <c r="M230" s="451"/>
      <c r="N230" s="221">
        <f t="shared" si="359"/>
        <v>0.50617283950617287</v>
      </c>
      <c r="O230" s="176">
        <f t="shared" si="360"/>
        <v>7.9020200379095593</v>
      </c>
      <c r="P230" s="176">
        <f t="shared" si="361"/>
        <v>13.312578938385389</v>
      </c>
      <c r="Q230" s="221">
        <f t="shared" si="362"/>
        <v>0.50980774438126186</v>
      </c>
      <c r="R230" s="221">
        <f t="shared" si="363"/>
        <v>0.98775250473869491</v>
      </c>
      <c r="S230" s="221">
        <f t="shared" si="364"/>
        <v>15.5</v>
      </c>
      <c r="T230" s="221">
        <f t="shared" si="365"/>
        <v>0.47288414634146342</v>
      </c>
      <c r="U230" s="221">
        <f t="shared" si="366"/>
        <v>0.26599733231707318</v>
      </c>
      <c r="V230" s="221">
        <f t="shared" si="367"/>
        <v>0.25950959250446159</v>
      </c>
      <c r="W230" s="201">
        <f t="shared" si="368"/>
        <v>350</v>
      </c>
      <c r="X230" s="451">
        <f t="shared" si="369"/>
        <v>350</v>
      </c>
      <c r="Z230" s="221">
        <f t="shared" si="370"/>
        <v>2.5710366451107194</v>
      </c>
      <c r="AA230" s="177">
        <f t="shared" si="371"/>
        <v>1.4109347442680777</v>
      </c>
      <c r="AB230" s="177">
        <f t="shared" si="372"/>
        <v>0.33571919968049235</v>
      </c>
      <c r="AC230" s="177"/>
      <c r="AD230" s="177">
        <f t="shared" si="373"/>
        <v>0.45</v>
      </c>
      <c r="AE230" s="555">
        <f t="shared" si="374"/>
        <v>318.69918699186996</v>
      </c>
      <c r="AF230" s="538">
        <f t="shared" si="375"/>
        <v>6.4574999999999994E-2</v>
      </c>
      <c r="AH230" s="177">
        <f t="shared" si="376"/>
        <v>1.0460507742085097</v>
      </c>
      <c r="AI230" s="177">
        <f t="shared" si="377"/>
        <v>1.0460507742085097</v>
      </c>
      <c r="AJ230" s="177">
        <f t="shared" si="378"/>
        <v>1.1821138211382114</v>
      </c>
      <c r="AL230" s="555">
        <f t="shared" si="379"/>
        <v>58.800000000000004</v>
      </c>
      <c r="AM230" s="469">
        <f t="shared" si="380"/>
        <v>318.69918699186996</v>
      </c>
      <c r="AO230">
        <f t="shared" si="381"/>
        <v>58.800000000000004</v>
      </c>
      <c r="AP230">
        <f t="shared" si="382"/>
        <v>318.69918699186996</v>
      </c>
      <c r="AR230" s="5">
        <f t="shared" si="343"/>
        <v>3.1377551020408156</v>
      </c>
      <c r="AS230" s="5">
        <f t="shared" si="335"/>
        <v>0.5884035604922867</v>
      </c>
      <c r="AT230" s="5">
        <f t="shared" si="336"/>
        <v>2.5493515415485288</v>
      </c>
      <c r="AU230" s="177">
        <f t="shared" si="337"/>
        <v>0.18752373635201336</v>
      </c>
      <c r="CI230" s="571">
        <f t="shared" si="383"/>
        <v>-50</v>
      </c>
    </row>
    <row r="231" spans="5:87" x14ac:dyDescent="0.2">
      <c r="E231" s="174">
        <v>15</v>
      </c>
      <c r="F231" s="221">
        <f t="shared" si="384"/>
        <v>6.3E-2</v>
      </c>
      <c r="G231" s="221">
        <f t="shared" si="353"/>
        <v>0.10875</v>
      </c>
      <c r="H231" s="221">
        <f t="shared" si="354"/>
        <v>0.97650000000000003</v>
      </c>
      <c r="I231" s="221">
        <f t="shared" si="355"/>
        <v>0.87</v>
      </c>
      <c r="J231" s="551">
        <f t="shared" si="356"/>
        <v>16</v>
      </c>
      <c r="K231" s="451">
        <f t="shared" si="357"/>
        <v>16.399999999999999</v>
      </c>
      <c r="L231" s="451">
        <f t="shared" si="358"/>
        <v>32.4</v>
      </c>
      <c r="M231" s="451"/>
      <c r="N231" s="221">
        <f t="shared" si="359"/>
        <v>0.50617283950617287</v>
      </c>
      <c r="O231" s="176">
        <f t="shared" si="360"/>
        <v>7.9020200379095593</v>
      </c>
      <c r="P231" s="176">
        <f t="shared" si="361"/>
        <v>13.312578938385389</v>
      </c>
      <c r="Q231" s="221">
        <f t="shared" si="362"/>
        <v>0.50980774438126186</v>
      </c>
      <c r="R231" s="221">
        <f t="shared" si="363"/>
        <v>0.98775250473869491</v>
      </c>
      <c r="S231" s="221">
        <f t="shared" si="364"/>
        <v>15.5</v>
      </c>
      <c r="T231" s="221">
        <f t="shared" si="365"/>
        <v>0.5066615853658536</v>
      </c>
      <c r="U231" s="221">
        <f t="shared" si="366"/>
        <v>0.28499714176829266</v>
      </c>
      <c r="V231" s="221">
        <f t="shared" si="367"/>
        <v>0.27804599196906599</v>
      </c>
      <c r="W231" s="201">
        <f t="shared" si="368"/>
        <v>350</v>
      </c>
      <c r="X231" s="451">
        <f t="shared" si="369"/>
        <v>350</v>
      </c>
      <c r="Z231" s="221">
        <f t="shared" si="370"/>
        <v>2.5710366451107194</v>
      </c>
      <c r="AA231" s="177">
        <f t="shared" si="371"/>
        <v>1.4109347442680777</v>
      </c>
      <c r="AB231" s="177">
        <f t="shared" si="372"/>
        <v>0.33571919968049235</v>
      </c>
      <c r="AC231" s="177"/>
      <c r="AD231" s="177">
        <f t="shared" si="373"/>
        <v>0.45</v>
      </c>
      <c r="AE231" s="555">
        <f t="shared" si="374"/>
        <v>341.46341463414637</v>
      </c>
      <c r="AF231" s="538">
        <f t="shared" si="375"/>
        <v>6.4574999999999994E-2</v>
      </c>
      <c r="AH231" s="177">
        <f t="shared" si="376"/>
        <v>1.0827654189070468</v>
      </c>
      <c r="AI231" s="177">
        <f t="shared" si="377"/>
        <v>1.0827654189070468</v>
      </c>
      <c r="AJ231" s="177">
        <f t="shared" si="378"/>
        <v>1.1951219512195121</v>
      </c>
      <c r="AL231" s="555">
        <f t="shared" si="379"/>
        <v>63</v>
      </c>
      <c r="AM231" s="469">
        <f t="shared" si="380"/>
        <v>341.46341463414637</v>
      </c>
      <c r="AO231">
        <f t="shared" si="381"/>
        <v>63</v>
      </c>
      <c r="AP231">
        <f t="shared" si="382"/>
        <v>341.46341463414637</v>
      </c>
      <c r="AR231" s="5">
        <f t="shared" si="343"/>
        <v>2.9285714285714284</v>
      </c>
      <c r="AS231" s="5">
        <f t="shared" si="335"/>
        <v>0.60905554813521379</v>
      </c>
      <c r="AT231" s="5">
        <f t="shared" si="336"/>
        <v>2.3195158804362146</v>
      </c>
      <c r="AU231" s="177">
        <f t="shared" si="337"/>
        <v>0.2079701871681218</v>
      </c>
      <c r="CI231" s="571">
        <f t="shared" si="383"/>
        <v>-50</v>
      </c>
    </row>
    <row r="232" spans="5:87" x14ac:dyDescent="0.2">
      <c r="E232" s="174">
        <v>16</v>
      </c>
      <c r="F232" s="221">
        <f t="shared" si="384"/>
        <v>6.7199999999999996E-2</v>
      </c>
      <c r="G232" s="221">
        <f t="shared" si="353"/>
        <v>0.11599999999999999</v>
      </c>
      <c r="H232" s="221">
        <f t="shared" si="354"/>
        <v>1.0415999999999999</v>
      </c>
      <c r="I232" s="221">
        <f t="shared" si="355"/>
        <v>0.92799999999999994</v>
      </c>
      <c r="J232" s="551">
        <f t="shared" si="356"/>
        <v>16</v>
      </c>
      <c r="K232" s="451">
        <f t="shared" si="357"/>
        <v>16.399999999999999</v>
      </c>
      <c r="L232" s="451">
        <f t="shared" si="358"/>
        <v>32.4</v>
      </c>
      <c r="M232" s="451"/>
      <c r="N232" s="221">
        <f t="shared" si="359"/>
        <v>0.50617283950617287</v>
      </c>
      <c r="O232" s="176">
        <f t="shared" si="360"/>
        <v>7.9020200379095593</v>
      </c>
      <c r="P232" s="176">
        <f t="shared" si="361"/>
        <v>13.312578938385389</v>
      </c>
      <c r="Q232" s="221">
        <f t="shared" si="362"/>
        <v>0.50980774438126186</v>
      </c>
      <c r="R232" s="221">
        <f t="shared" si="363"/>
        <v>0.98775250473869491</v>
      </c>
      <c r="S232" s="221">
        <f t="shared" si="364"/>
        <v>15.5</v>
      </c>
      <c r="T232" s="221">
        <f t="shared" si="365"/>
        <v>0.54043902439024383</v>
      </c>
      <c r="U232" s="221">
        <f t="shared" si="366"/>
        <v>0.30399695121951215</v>
      </c>
      <c r="V232" s="221">
        <f t="shared" si="367"/>
        <v>0.29658239143367038</v>
      </c>
      <c r="W232" s="201">
        <f t="shared" si="368"/>
        <v>350</v>
      </c>
      <c r="X232" s="451">
        <f t="shared" si="369"/>
        <v>350</v>
      </c>
      <c r="Z232" s="221">
        <f t="shared" si="370"/>
        <v>2.5710366451107194</v>
      </c>
      <c r="AA232" s="177">
        <f t="shared" si="371"/>
        <v>1.4109347442680777</v>
      </c>
      <c r="AB232" s="177">
        <f t="shared" si="372"/>
        <v>0.33571919968049235</v>
      </c>
      <c r="AC232" s="177"/>
      <c r="AD232" s="177">
        <f t="shared" si="373"/>
        <v>0.45</v>
      </c>
      <c r="AE232" s="555">
        <f t="shared" si="374"/>
        <v>364.22764227642278</v>
      </c>
      <c r="AF232" s="538">
        <f t="shared" si="375"/>
        <v>6.4574999999999994E-2</v>
      </c>
      <c r="AH232" s="177">
        <f t="shared" si="376"/>
        <v>1.1182753160736771</v>
      </c>
      <c r="AI232" s="177">
        <f t="shared" si="377"/>
        <v>1.1182753160736771</v>
      </c>
      <c r="AJ232" s="177">
        <f t="shared" si="378"/>
        <v>1.4209446785730941</v>
      </c>
      <c r="AL232" s="555">
        <f t="shared" si="379"/>
        <v>67.2</v>
      </c>
      <c r="AM232" s="469">
        <f t="shared" si="380"/>
        <v>350</v>
      </c>
      <c r="AO232">
        <f t="shared" si="381"/>
        <v>67.2</v>
      </c>
      <c r="AP232">
        <f t="shared" si="382"/>
        <v>350</v>
      </c>
      <c r="AR232" s="5">
        <f t="shared" si="343"/>
        <v>2.8571428571428572</v>
      </c>
      <c r="AS232" s="5">
        <f t="shared" si="335"/>
        <v>0.62902986529144345</v>
      </c>
      <c r="AT232" s="5">
        <f t="shared" si="336"/>
        <v>2.2281129918514138</v>
      </c>
      <c r="AU232" s="177">
        <f t="shared" si="337"/>
        <v>0.2201604528520052</v>
      </c>
      <c r="CI232" s="571">
        <f t="shared" si="383"/>
        <v>-50</v>
      </c>
    </row>
    <row r="233" spans="5:87" x14ac:dyDescent="0.2">
      <c r="E233" s="174">
        <v>17</v>
      </c>
      <c r="F233" s="221">
        <f t="shared" si="384"/>
        <v>7.1400000000000005E-2</v>
      </c>
      <c r="G233" s="221">
        <f t="shared" si="353"/>
        <v>0.12325</v>
      </c>
      <c r="H233" s="221">
        <f t="shared" si="354"/>
        <v>1.1067</v>
      </c>
      <c r="I233" s="221">
        <f t="shared" si="355"/>
        <v>0.98599999999999999</v>
      </c>
      <c r="J233" s="551">
        <f t="shared" si="356"/>
        <v>16</v>
      </c>
      <c r="K233" s="451">
        <f t="shared" si="357"/>
        <v>16.399999999999999</v>
      </c>
      <c r="L233" s="451">
        <f t="shared" si="358"/>
        <v>32.4</v>
      </c>
      <c r="M233" s="451"/>
      <c r="N233" s="221">
        <f t="shared" si="359"/>
        <v>0.50617283950617287</v>
      </c>
      <c r="O233" s="176">
        <f t="shared" si="360"/>
        <v>7.9020200379095593</v>
      </c>
      <c r="P233" s="176">
        <f t="shared" si="361"/>
        <v>13.312578938385389</v>
      </c>
      <c r="Q233" s="221">
        <f t="shared" si="362"/>
        <v>0.50980774438126186</v>
      </c>
      <c r="R233" s="221">
        <f t="shared" si="363"/>
        <v>0.98775250473869491</v>
      </c>
      <c r="S233" s="221">
        <f t="shared" si="364"/>
        <v>15.5</v>
      </c>
      <c r="T233" s="221">
        <f t="shared" si="365"/>
        <v>0.57421646341463406</v>
      </c>
      <c r="U233" s="221">
        <f t="shared" si="366"/>
        <v>0.32299676067073169</v>
      </c>
      <c r="V233" s="221">
        <f t="shared" si="367"/>
        <v>0.31511879089827483</v>
      </c>
      <c r="W233" s="201">
        <f t="shared" si="368"/>
        <v>350</v>
      </c>
      <c r="X233" s="451">
        <f t="shared" si="369"/>
        <v>350</v>
      </c>
      <c r="Z233" s="221">
        <f t="shared" si="370"/>
        <v>2.5710366451107194</v>
      </c>
      <c r="AA233" s="177">
        <f t="shared" si="371"/>
        <v>1.4109347442680777</v>
      </c>
      <c r="AB233" s="177">
        <f t="shared" si="372"/>
        <v>0.33571919968049235</v>
      </c>
      <c r="AC233" s="177"/>
      <c r="AD233" s="177">
        <f t="shared" si="373"/>
        <v>0.45</v>
      </c>
      <c r="AE233" s="555">
        <f t="shared" si="374"/>
        <v>386.99186991869925</v>
      </c>
      <c r="AF233" s="538">
        <f t="shared" si="375"/>
        <v>6.4574999999999994E-2</v>
      </c>
      <c r="AH233" s="177">
        <f t="shared" si="376"/>
        <v>1.1526918116731864</v>
      </c>
      <c r="AI233" s="177">
        <f t="shared" si="377"/>
        <v>1.1526918116731864</v>
      </c>
      <c r="AJ233" s="177">
        <f t="shared" si="378"/>
        <v>1.4464383790171751</v>
      </c>
      <c r="AL233" s="555">
        <f t="shared" si="379"/>
        <v>71.400000000000006</v>
      </c>
      <c r="AM233" s="469">
        <f t="shared" si="380"/>
        <v>350</v>
      </c>
      <c r="AO233">
        <f t="shared" si="381"/>
        <v>71.400000000000006</v>
      </c>
      <c r="AP233">
        <f t="shared" si="382"/>
        <v>350</v>
      </c>
      <c r="AR233" s="5">
        <f t="shared" si="343"/>
        <v>2.8571428571428572</v>
      </c>
      <c r="AS233" s="5">
        <f t="shared" si="335"/>
        <v>0.64838914406616732</v>
      </c>
      <c r="AT233" s="5">
        <f t="shared" si="336"/>
        <v>2.2087537130766899</v>
      </c>
      <c r="AU233" s="177">
        <f t="shared" si="337"/>
        <v>0.22693620042315857</v>
      </c>
      <c r="CI233" s="571">
        <f t="shared" si="383"/>
        <v>-50</v>
      </c>
    </row>
    <row r="234" spans="5:87" x14ac:dyDescent="0.2">
      <c r="E234" s="174">
        <v>18</v>
      </c>
      <c r="F234" s="221">
        <f t="shared" si="384"/>
        <v>7.5600000000000001E-2</v>
      </c>
      <c r="G234" s="221">
        <f t="shared" si="353"/>
        <v>0.1305</v>
      </c>
      <c r="H234" s="221">
        <f t="shared" si="354"/>
        <v>1.1718</v>
      </c>
      <c r="I234" s="221">
        <f t="shared" si="355"/>
        <v>1.044</v>
      </c>
      <c r="J234" s="551">
        <f t="shared" si="356"/>
        <v>16</v>
      </c>
      <c r="K234" s="451">
        <f t="shared" si="357"/>
        <v>16.399999999999999</v>
      </c>
      <c r="L234" s="451">
        <f t="shared" si="358"/>
        <v>32.4</v>
      </c>
      <c r="M234" s="451"/>
      <c r="N234" s="221">
        <f t="shared" si="359"/>
        <v>0.50617283950617287</v>
      </c>
      <c r="O234" s="176">
        <f t="shared" si="360"/>
        <v>7.9020200379095593</v>
      </c>
      <c r="P234" s="176">
        <f t="shared" si="361"/>
        <v>13.312578938385389</v>
      </c>
      <c r="Q234" s="221">
        <f t="shared" si="362"/>
        <v>0.50980774438126186</v>
      </c>
      <c r="R234" s="221">
        <f t="shared" si="363"/>
        <v>0.98775250473869491</v>
      </c>
      <c r="S234" s="221">
        <f t="shared" si="364"/>
        <v>15.5</v>
      </c>
      <c r="T234" s="221">
        <f t="shared" si="365"/>
        <v>0.60799390243902429</v>
      </c>
      <c r="U234" s="221">
        <f t="shared" si="366"/>
        <v>0.34199657012195117</v>
      </c>
      <c r="V234" s="221">
        <f t="shared" si="367"/>
        <v>0.33365519036287922</v>
      </c>
      <c r="W234" s="201">
        <f t="shared" si="368"/>
        <v>350</v>
      </c>
      <c r="X234" s="451">
        <f t="shared" si="369"/>
        <v>350</v>
      </c>
      <c r="Z234" s="221">
        <f t="shared" si="370"/>
        <v>2.5710366451107194</v>
      </c>
      <c r="AA234" s="177">
        <f t="shared" si="371"/>
        <v>1.4109347442680777</v>
      </c>
      <c r="AB234" s="177">
        <f t="shared" si="372"/>
        <v>0.33571919968049235</v>
      </c>
      <c r="AC234" s="177"/>
      <c r="AD234" s="177">
        <f t="shared" si="373"/>
        <v>0.45</v>
      </c>
      <c r="AE234" s="555">
        <f t="shared" si="374"/>
        <v>409.75609756097572</v>
      </c>
      <c r="AF234" s="538">
        <f t="shared" si="375"/>
        <v>6.4574999999999994E-2</v>
      </c>
      <c r="AH234" s="177">
        <f t="shared" si="376"/>
        <v>1.1861100888438403</v>
      </c>
      <c r="AI234" s="177">
        <f t="shared" si="377"/>
        <v>1.1861100888438403</v>
      </c>
      <c r="AJ234" s="177">
        <f t="shared" si="378"/>
        <v>1.4711926584028445</v>
      </c>
      <c r="AL234" s="555">
        <f t="shared" si="379"/>
        <v>75.599999999999994</v>
      </c>
      <c r="AM234" s="469">
        <f t="shared" si="380"/>
        <v>350</v>
      </c>
      <c r="AO234">
        <f t="shared" si="381"/>
        <v>75.599999999999994</v>
      </c>
      <c r="AP234">
        <f t="shared" si="382"/>
        <v>350</v>
      </c>
      <c r="AR234" s="5">
        <f t="shared" si="343"/>
        <v>2.8571428571428572</v>
      </c>
      <c r="AS234" s="5">
        <f t="shared" si="335"/>
        <v>0.66718692497466026</v>
      </c>
      <c r="AT234" s="5">
        <f t="shared" si="336"/>
        <v>2.1899559321681972</v>
      </c>
      <c r="AU234" s="177">
        <f t="shared" si="337"/>
        <v>0.23351542374113107</v>
      </c>
      <c r="CI234" s="571">
        <f t="shared" si="383"/>
        <v>-50</v>
      </c>
    </row>
    <row r="235" spans="5:87" x14ac:dyDescent="0.2">
      <c r="E235" s="174">
        <v>19</v>
      </c>
      <c r="F235" s="221">
        <f t="shared" si="384"/>
        <v>7.9799999999999996E-2</v>
      </c>
      <c r="G235" s="221">
        <f t="shared" si="353"/>
        <v>0.13774999999999998</v>
      </c>
      <c r="H235" s="221">
        <f t="shared" si="354"/>
        <v>1.2368999999999999</v>
      </c>
      <c r="I235" s="221">
        <f t="shared" si="355"/>
        <v>1.1019999999999999</v>
      </c>
      <c r="J235" s="551">
        <f t="shared" si="356"/>
        <v>16</v>
      </c>
      <c r="K235" s="451">
        <f t="shared" si="357"/>
        <v>16.399999999999999</v>
      </c>
      <c r="L235" s="451">
        <f t="shared" si="358"/>
        <v>32.4</v>
      </c>
      <c r="M235" s="451"/>
      <c r="N235" s="221">
        <f t="shared" si="359"/>
        <v>0.50617283950617287</v>
      </c>
      <c r="O235" s="176">
        <f t="shared" si="360"/>
        <v>7.9020200379095593</v>
      </c>
      <c r="P235" s="176">
        <f t="shared" si="361"/>
        <v>13.312578938385389</v>
      </c>
      <c r="Q235" s="221">
        <f t="shared" si="362"/>
        <v>0.50980774438126186</v>
      </c>
      <c r="R235" s="221">
        <f t="shared" si="363"/>
        <v>0.98775250473869491</v>
      </c>
      <c r="S235" s="221">
        <f t="shared" si="364"/>
        <v>15.5</v>
      </c>
      <c r="T235" s="221">
        <f t="shared" si="365"/>
        <v>0.64177134146341452</v>
      </c>
      <c r="U235" s="221">
        <f t="shared" si="366"/>
        <v>0.36099637957317071</v>
      </c>
      <c r="V235" s="221">
        <f t="shared" si="367"/>
        <v>0.35219158982748361</v>
      </c>
      <c r="W235" s="201">
        <f t="shared" si="368"/>
        <v>350</v>
      </c>
      <c r="X235" s="451">
        <f t="shared" si="369"/>
        <v>350</v>
      </c>
      <c r="Z235" s="221">
        <f t="shared" si="370"/>
        <v>2.5710366451107194</v>
      </c>
      <c r="AA235" s="177">
        <f t="shared" si="371"/>
        <v>1.4109347442680777</v>
      </c>
      <c r="AB235" s="177">
        <f t="shared" si="372"/>
        <v>0.33571919968049235</v>
      </c>
      <c r="AC235" s="177"/>
      <c r="AD235" s="177">
        <f t="shared" si="373"/>
        <v>0.45</v>
      </c>
      <c r="AE235" s="555">
        <f t="shared" si="374"/>
        <v>432.52032520325201</v>
      </c>
      <c r="AF235" s="538">
        <f t="shared" si="375"/>
        <v>6.4574999999999994E-2</v>
      </c>
      <c r="AH235" s="177">
        <f t="shared" si="376"/>
        <v>1.2186122734552909</v>
      </c>
      <c r="AI235" s="177">
        <f t="shared" si="377"/>
        <v>1.2186122734552909</v>
      </c>
      <c r="AJ235" s="177">
        <f t="shared" si="378"/>
        <v>1.4952683507076228</v>
      </c>
      <c r="AL235" s="555">
        <f t="shared" si="379"/>
        <v>79.8</v>
      </c>
      <c r="AM235" s="469">
        <f t="shared" si="380"/>
        <v>350</v>
      </c>
      <c r="AO235">
        <f t="shared" si="381"/>
        <v>79.8</v>
      </c>
      <c r="AP235">
        <f t="shared" si="382"/>
        <v>350</v>
      </c>
      <c r="AR235" s="5">
        <f t="shared" si="343"/>
        <v>2.8571428571428572</v>
      </c>
      <c r="AS235" s="5">
        <f t="shared" si="335"/>
        <v>0.68546940381860111</v>
      </c>
      <c r="AT235" s="5">
        <f t="shared" si="336"/>
        <v>2.1716734533242561</v>
      </c>
      <c r="AU235" s="177">
        <f t="shared" si="337"/>
        <v>0.23991429133651038</v>
      </c>
      <c r="CI235" s="571">
        <f t="shared" si="383"/>
        <v>-50</v>
      </c>
    </row>
    <row r="236" spans="5:87" x14ac:dyDescent="0.2">
      <c r="E236" s="174">
        <v>20</v>
      </c>
      <c r="F236" s="221">
        <f t="shared" si="384"/>
        <v>8.4000000000000005E-2</v>
      </c>
      <c r="G236" s="221">
        <f t="shared" si="353"/>
        <v>0.14499999999999999</v>
      </c>
      <c r="H236" s="221">
        <f t="shared" si="354"/>
        <v>1.302</v>
      </c>
      <c r="I236" s="221">
        <f t="shared" si="355"/>
        <v>1.1599999999999999</v>
      </c>
      <c r="J236" s="551">
        <f t="shared" si="356"/>
        <v>16</v>
      </c>
      <c r="K236" s="451">
        <f t="shared" si="357"/>
        <v>16.399999999999999</v>
      </c>
      <c r="L236" s="451">
        <f t="shared" si="358"/>
        <v>32.4</v>
      </c>
      <c r="M236" s="451"/>
      <c r="N236" s="221">
        <f t="shared" si="359"/>
        <v>0.50617283950617287</v>
      </c>
      <c r="O236" s="176">
        <f t="shared" si="360"/>
        <v>7.9020200379095593</v>
      </c>
      <c r="P236" s="176">
        <f t="shared" si="361"/>
        <v>13.312578938385389</v>
      </c>
      <c r="Q236" s="221">
        <f t="shared" si="362"/>
        <v>0.50980774438126186</v>
      </c>
      <c r="R236" s="221">
        <f t="shared" si="363"/>
        <v>0.98775250473869491</v>
      </c>
      <c r="S236" s="221">
        <f t="shared" si="364"/>
        <v>15.5</v>
      </c>
      <c r="T236" s="221">
        <f t="shared" si="365"/>
        <v>0.67554878048780476</v>
      </c>
      <c r="U236" s="221">
        <f t="shared" si="366"/>
        <v>0.37999618902439014</v>
      </c>
      <c r="V236" s="221">
        <f t="shared" si="367"/>
        <v>0.370727989292088</v>
      </c>
      <c r="W236" s="201">
        <f t="shared" si="368"/>
        <v>350</v>
      </c>
      <c r="X236" s="451">
        <f t="shared" si="369"/>
        <v>350</v>
      </c>
      <c r="Z236" s="221">
        <f t="shared" si="370"/>
        <v>2.5710366451107194</v>
      </c>
      <c r="AA236" s="177">
        <f t="shared" si="371"/>
        <v>1.4109347442680777</v>
      </c>
      <c r="AB236" s="177">
        <f t="shared" si="372"/>
        <v>0.33571919968049235</v>
      </c>
      <c r="AC236" s="177"/>
      <c r="AD236" s="177">
        <f t="shared" si="373"/>
        <v>0.45</v>
      </c>
      <c r="AE236" s="555">
        <f t="shared" si="374"/>
        <v>455.28455284552854</v>
      </c>
      <c r="AF236" s="538">
        <f t="shared" si="375"/>
        <v>6.4574999999999994E-2</v>
      </c>
      <c r="AH236" s="177">
        <f t="shared" si="376"/>
        <v>1.2502698121504026</v>
      </c>
      <c r="AI236" s="177">
        <f t="shared" si="377"/>
        <v>1.2502698121504026</v>
      </c>
      <c r="AJ236" s="177">
        <f t="shared" si="378"/>
        <v>1.5187183793706684</v>
      </c>
      <c r="AL236" s="555">
        <f t="shared" si="379"/>
        <v>84</v>
      </c>
      <c r="AM236" s="469">
        <f t="shared" si="380"/>
        <v>350</v>
      </c>
      <c r="AO236">
        <f t="shared" si="381"/>
        <v>84</v>
      </c>
      <c r="AP236">
        <f t="shared" si="382"/>
        <v>350</v>
      </c>
      <c r="AR236" s="5">
        <f t="shared" si="343"/>
        <v>2.8571428571428572</v>
      </c>
      <c r="AS236" s="5">
        <f t="shared" si="335"/>
        <v>0.70327676933460148</v>
      </c>
      <c r="AT236" s="5">
        <f t="shared" si="336"/>
        <v>2.1538660878082556</v>
      </c>
      <c r="AU236" s="177">
        <f t="shared" si="337"/>
        <v>0.24614686926711052</v>
      </c>
      <c r="CI236" s="571">
        <f t="shared" si="383"/>
        <v>-50</v>
      </c>
    </row>
    <row r="237" spans="5:87" x14ac:dyDescent="0.2">
      <c r="E237" s="174">
        <v>21</v>
      </c>
      <c r="F237" s="221">
        <f t="shared" si="384"/>
        <v>8.8199999999999987E-2</v>
      </c>
      <c r="G237" s="221">
        <f t="shared" si="353"/>
        <v>0.15225</v>
      </c>
      <c r="H237" s="221">
        <f t="shared" si="354"/>
        <v>1.3670999999999998</v>
      </c>
      <c r="I237" s="221">
        <f t="shared" si="355"/>
        <v>1.218</v>
      </c>
      <c r="J237" s="551">
        <f t="shared" si="356"/>
        <v>16</v>
      </c>
      <c r="K237" s="451">
        <f t="shared" si="357"/>
        <v>16.399999999999999</v>
      </c>
      <c r="L237" s="451">
        <f t="shared" si="358"/>
        <v>32.4</v>
      </c>
      <c r="M237" s="451"/>
      <c r="N237" s="221">
        <f t="shared" si="359"/>
        <v>0.50617283950617287</v>
      </c>
      <c r="O237" s="176">
        <f t="shared" si="360"/>
        <v>7.9020200379095593</v>
      </c>
      <c r="P237" s="176">
        <f t="shared" si="361"/>
        <v>13.312578938385389</v>
      </c>
      <c r="Q237" s="221">
        <f t="shared" si="362"/>
        <v>0.50980774438126186</v>
      </c>
      <c r="R237" s="221">
        <f t="shared" si="363"/>
        <v>0.98775250473869491</v>
      </c>
      <c r="S237" s="221">
        <f t="shared" si="364"/>
        <v>15.5</v>
      </c>
      <c r="T237" s="221">
        <f t="shared" si="365"/>
        <v>0.70932621951219499</v>
      </c>
      <c r="U237" s="221">
        <f t="shared" si="366"/>
        <v>0.39899599847560968</v>
      </c>
      <c r="V237" s="221">
        <f t="shared" si="367"/>
        <v>0.38926438875669239</v>
      </c>
      <c r="W237" s="201">
        <f t="shared" si="368"/>
        <v>350</v>
      </c>
      <c r="X237" s="451">
        <f t="shared" si="369"/>
        <v>350</v>
      </c>
      <c r="Z237" s="221">
        <f t="shared" si="370"/>
        <v>2.5710366451107194</v>
      </c>
      <c r="AA237" s="177">
        <f t="shared" si="371"/>
        <v>1.4109347442680777</v>
      </c>
      <c r="AB237" s="177">
        <f t="shared" si="372"/>
        <v>0.33571919968049235</v>
      </c>
      <c r="AC237" s="177"/>
      <c r="AD237" s="177">
        <f t="shared" si="373"/>
        <v>0.45</v>
      </c>
      <c r="AE237" s="555">
        <f t="shared" si="374"/>
        <v>478.04878048780483</v>
      </c>
      <c r="AF237" s="538">
        <f t="shared" si="375"/>
        <v>6.4574999999999994E-2</v>
      </c>
      <c r="AH237" s="177">
        <f t="shared" si="376"/>
        <v>1.2811453209270731</v>
      </c>
      <c r="AI237" s="177">
        <f t="shared" si="377"/>
        <v>1.2811453209270731</v>
      </c>
      <c r="AJ237" s="177">
        <f t="shared" si="378"/>
        <v>1.5415891266126467</v>
      </c>
      <c r="AL237" s="555">
        <f t="shared" si="379"/>
        <v>88.199999999999989</v>
      </c>
      <c r="AM237" s="469">
        <f t="shared" si="380"/>
        <v>350</v>
      </c>
      <c r="AO237">
        <f t="shared" si="381"/>
        <v>88.199999999999989</v>
      </c>
      <c r="AP237">
        <f t="shared" si="382"/>
        <v>350</v>
      </c>
      <c r="AR237" s="5">
        <f t="shared" si="343"/>
        <v>2.8571428571428572</v>
      </c>
      <c r="AS237" s="5">
        <f t="shared" si="335"/>
        <v>0.72064424302147867</v>
      </c>
      <c r="AT237" s="5">
        <f t="shared" si="336"/>
        <v>2.1364986141213786</v>
      </c>
      <c r="AU237" s="177">
        <f t="shared" si="337"/>
        <v>0.25222548505751752</v>
      </c>
      <c r="CI237" s="571">
        <f t="shared" si="383"/>
        <v>-50</v>
      </c>
    </row>
    <row r="238" spans="5:87" x14ac:dyDescent="0.2">
      <c r="E238" s="174">
        <v>22</v>
      </c>
      <c r="F238" s="221">
        <f t="shared" si="384"/>
        <v>9.2399999999999996E-2</v>
      </c>
      <c r="G238" s="221">
        <f t="shared" si="353"/>
        <v>0.1595</v>
      </c>
      <c r="H238" s="221">
        <f t="shared" si="354"/>
        <v>1.4321999999999999</v>
      </c>
      <c r="I238" s="221">
        <f t="shared" si="355"/>
        <v>1.276</v>
      </c>
      <c r="J238" s="551">
        <f t="shared" si="356"/>
        <v>16</v>
      </c>
      <c r="K238" s="451">
        <f t="shared" si="357"/>
        <v>16.399999999999999</v>
      </c>
      <c r="L238" s="451">
        <f t="shared" si="358"/>
        <v>32.4</v>
      </c>
      <c r="M238" s="451"/>
      <c r="N238" s="221">
        <f t="shared" si="359"/>
        <v>0.50617283950617287</v>
      </c>
      <c r="O238" s="176">
        <f t="shared" si="360"/>
        <v>7.9020200379095593</v>
      </c>
      <c r="P238" s="176">
        <f t="shared" si="361"/>
        <v>13.312578938385389</v>
      </c>
      <c r="Q238" s="221">
        <f t="shared" si="362"/>
        <v>0.50980774438126186</v>
      </c>
      <c r="R238" s="221">
        <f t="shared" si="363"/>
        <v>0.98775250473869491</v>
      </c>
      <c r="S238" s="221">
        <f t="shared" si="364"/>
        <v>15.5</v>
      </c>
      <c r="T238" s="221">
        <f t="shared" si="365"/>
        <v>0.74310365853658522</v>
      </c>
      <c r="U238" s="221">
        <f t="shared" si="366"/>
        <v>0.41799580792682922</v>
      </c>
      <c r="V238" s="221">
        <f t="shared" si="367"/>
        <v>0.40780078822129684</v>
      </c>
      <c r="W238" s="201">
        <f t="shared" si="368"/>
        <v>350</v>
      </c>
      <c r="X238" s="451">
        <f t="shared" si="369"/>
        <v>350</v>
      </c>
      <c r="Z238" s="221">
        <f t="shared" si="370"/>
        <v>2.5710366451107194</v>
      </c>
      <c r="AA238" s="177">
        <f t="shared" si="371"/>
        <v>1.4109347442680777</v>
      </c>
      <c r="AB238" s="177">
        <f t="shared" si="372"/>
        <v>0.33571919968049235</v>
      </c>
      <c r="AC238" s="177"/>
      <c r="AD238" s="177">
        <f t="shared" si="373"/>
        <v>0.45</v>
      </c>
      <c r="AE238" s="555">
        <f t="shared" si="374"/>
        <v>500.8130081300813</v>
      </c>
      <c r="AF238" s="538">
        <f t="shared" si="375"/>
        <v>6.4574999999999994E-2</v>
      </c>
      <c r="AH238" s="177">
        <f t="shared" si="376"/>
        <v>1.3112940415833756</v>
      </c>
      <c r="AI238" s="177">
        <f t="shared" si="377"/>
        <v>1.3112940415833756</v>
      </c>
      <c r="AJ238" s="177">
        <f t="shared" si="378"/>
        <v>1.563921512283982</v>
      </c>
      <c r="AL238" s="555">
        <f t="shared" si="379"/>
        <v>92.399999999999991</v>
      </c>
      <c r="AM238" s="469">
        <f t="shared" si="380"/>
        <v>350</v>
      </c>
      <c r="AO238">
        <f t="shared" si="381"/>
        <v>92.399999999999991</v>
      </c>
      <c r="AP238">
        <f t="shared" si="382"/>
        <v>350</v>
      </c>
      <c r="AR238" s="5">
        <f t="shared" si="343"/>
        <v>2.8571428571428572</v>
      </c>
      <c r="AS238" s="5">
        <f t="shared" si="335"/>
        <v>0.73760289839064885</v>
      </c>
      <c r="AT238" s="5">
        <f t="shared" si="336"/>
        <v>2.1195399587522084</v>
      </c>
      <c r="AU238" s="177">
        <f t="shared" si="337"/>
        <v>0.25816101443672707</v>
      </c>
      <c r="CI238" s="571">
        <f t="shared" si="383"/>
        <v>-50</v>
      </c>
    </row>
    <row r="239" spans="5:87" x14ac:dyDescent="0.2">
      <c r="E239" s="174">
        <v>23</v>
      </c>
      <c r="F239" s="221">
        <f t="shared" si="384"/>
        <v>9.6600000000000005E-2</v>
      </c>
      <c r="G239" s="221">
        <f t="shared" si="353"/>
        <v>0.16675000000000001</v>
      </c>
      <c r="H239" s="221">
        <f t="shared" si="354"/>
        <v>1.4973000000000001</v>
      </c>
      <c r="I239" s="221">
        <f t="shared" si="355"/>
        <v>1.3340000000000001</v>
      </c>
      <c r="J239" s="551">
        <f t="shared" si="356"/>
        <v>16</v>
      </c>
      <c r="K239" s="451">
        <f t="shared" si="357"/>
        <v>16.399999999999999</v>
      </c>
      <c r="L239" s="451">
        <f t="shared" si="358"/>
        <v>32.4</v>
      </c>
      <c r="M239" s="451"/>
      <c r="N239" s="221">
        <f t="shared" si="359"/>
        <v>0.50617283950617287</v>
      </c>
      <c r="O239" s="176">
        <f t="shared" si="360"/>
        <v>7.9020200379095593</v>
      </c>
      <c r="P239" s="176">
        <f t="shared" si="361"/>
        <v>13.312578938385389</v>
      </c>
      <c r="Q239" s="221">
        <f t="shared" si="362"/>
        <v>0.50980774438126186</v>
      </c>
      <c r="R239" s="221">
        <f t="shared" si="363"/>
        <v>0.98775250473869491</v>
      </c>
      <c r="S239" s="221">
        <f t="shared" si="364"/>
        <v>15.5</v>
      </c>
      <c r="T239" s="221">
        <f t="shared" si="365"/>
        <v>0.77688109756097556</v>
      </c>
      <c r="U239" s="221">
        <f t="shared" si="366"/>
        <v>0.43699561737804876</v>
      </c>
      <c r="V239" s="221">
        <f t="shared" si="367"/>
        <v>0.42633718768590123</v>
      </c>
      <c r="W239" s="201">
        <f t="shared" si="368"/>
        <v>350</v>
      </c>
      <c r="X239" s="451">
        <f t="shared" si="369"/>
        <v>350</v>
      </c>
      <c r="Z239" s="221">
        <f t="shared" si="370"/>
        <v>2.5710366451107194</v>
      </c>
      <c r="AA239" s="177">
        <f t="shared" si="371"/>
        <v>1.4109347442680777</v>
      </c>
      <c r="AB239" s="177">
        <f t="shared" si="372"/>
        <v>0.33571919968049235</v>
      </c>
      <c r="AC239" s="177"/>
      <c r="AD239" s="177">
        <f t="shared" si="373"/>
        <v>0.45</v>
      </c>
      <c r="AE239" s="555">
        <f t="shared" si="374"/>
        <v>523.57723577235777</v>
      </c>
      <c r="AF239" s="538">
        <f t="shared" si="375"/>
        <v>6.4574999999999994E-2</v>
      </c>
      <c r="AH239" s="177">
        <f t="shared" si="376"/>
        <v>1.340765003142159</v>
      </c>
      <c r="AI239" s="177">
        <f t="shared" si="377"/>
        <v>1.340765003142159</v>
      </c>
      <c r="AJ239" s="177">
        <f t="shared" si="378"/>
        <v>1.5857518541793769</v>
      </c>
      <c r="AL239" s="555">
        <f t="shared" si="379"/>
        <v>96.600000000000009</v>
      </c>
      <c r="AM239" s="469">
        <f t="shared" si="380"/>
        <v>350</v>
      </c>
      <c r="AO239">
        <f t="shared" si="381"/>
        <v>96.600000000000009</v>
      </c>
      <c r="AP239">
        <f t="shared" si="382"/>
        <v>350</v>
      </c>
      <c r="AR239" s="5">
        <f t="shared" si="343"/>
        <v>2.8571428571428572</v>
      </c>
      <c r="AS239" s="5">
        <f t="shared" si="335"/>
        <v>0.75418031426746435</v>
      </c>
      <c r="AT239" s="5">
        <f t="shared" si="336"/>
        <v>2.1029625428753929</v>
      </c>
      <c r="AU239" s="177">
        <f t="shared" si="337"/>
        <v>0.2639631099936125</v>
      </c>
      <c r="CI239" s="571">
        <f t="shared" si="383"/>
        <v>-50</v>
      </c>
    </row>
    <row r="240" spans="5:87" x14ac:dyDescent="0.2">
      <c r="E240" s="174">
        <v>24</v>
      </c>
      <c r="F240" s="221">
        <f t="shared" si="384"/>
        <v>0.10079999999999999</v>
      </c>
      <c r="G240" s="221">
        <f t="shared" si="353"/>
        <v>0.17399999999999999</v>
      </c>
      <c r="H240" s="221">
        <f t="shared" si="354"/>
        <v>1.5623999999999998</v>
      </c>
      <c r="I240" s="221">
        <f t="shared" si="355"/>
        <v>1.3919999999999999</v>
      </c>
      <c r="J240" s="551">
        <f t="shared" si="356"/>
        <v>16</v>
      </c>
      <c r="K240" s="451">
        <f t="shared" si="357"/>
        <v>16.399999999999999</v>
      </c>
      <c r="L240" s="451">
        <f t="shared" si="358"/>
        <v>32.4</v>
      </c>
      <c r="M240" s="451"/>
      <c r="N240" s="221">
        <f t="shared" si="359"/>
        <v>0.50617283950617287</v>
      </c>
      <c r="O240" s="176">
        <f t="shared" si="360"/>
        <v>7.9020200379095593</v>
      </c>
      <c r="P240" s="176">
        <f t="shared" si="361"/>
        <v>13.312578938385389</v>
      </c>
      <c r="Q240" s="221">
        <f t="shared" si="362"/>
        <v>0.50980774438126186</v>
      </c>
      <c r="R240" s="221">
        <f t="shared" si="363"/>
        <v>0.98775250473869491</v>
      </c>
      <c r="S240" s="221">
        <f t="shared" si="364"/>
        <v>15.5</v>
      </c>
      <c r="T240" s="221">
        <f t="shared" si="365"/>
        <v>0.81065853658536569</v>
      </c>
      <c r="U240" s="221">
        <f t="shared" si="366"/>
        <v>0.45599542682926819</v>
      </c>
      <c r="V240" s="221">
        <f t="shared" si="367"/>
        <v>0.44487358715050562</v>
      </c>
      <c r="W240" s="201">
        <f t="shared" si="368"/>
        <v>350</v>
      </c>
      <c r="X240" s="451">
        <f t="shared" si="369"/>
        <v>350</v>
      </c>
      <c r="Z240" s="221">
        <f t="shared" si="370"/>
        <v>2.5710366451107194</v>
      </c>
      <c r="AA240" s="177">
        <f t="shared" si="371"/>
        <v>1.4109347442680777</v>
      </c>
      <c r="AB240" s="177">
        <f t="shared" si="372"/>
        <v>0.33571919968049235</v>
      </c>
      <c r="AC240" s="177"/>
      <c r="AD240" s="177">
        <f t="shared" si="373"/>
        <v>0.45</v>
      </c>
      <c r="AE240" s="555">
        <f t="shared" si="374"/>
        <v>546.34146341463406</v>
      </c>
      <c r="AF240" s="538">
        <f t="shared" si="375"/>
        <v>6.4574999999999994E-2</v>
      </c>
      <c r="AH240" s="177">
        <f t="shared" si="376"/>
        <v>1.3696019581650443</v>
      </c>
      <c r="AI240" s="177">
        <f t="shared" si="377"/>
        <v>1.3696019581650443</v>
      </c>
      <c r="AJ240" s="177">
        <f t="shared" si="378"/>
        <v>1.6071125616037365</v>
      </c>
      <c r="AL240" s="555">
        <f t="shared" si="379"/>
        <v>100.79999999999998</v>
      </c>
      <c r="AM240" s="469">
        <f t="shared" si="380"/>
        <v>350</v>
      </c>
      <c r="AO240">
        <f t="shared" si="381"/>
        <v>100.79999999999998</v>
      </c>
      <c r="AP240">
        <f t="shared" si="382"/>
        <v>350</v>
      </c>
      <c r="AR240" s="5">
        <f t="shared" si="343"/>
        <v>2.8571428571428572</v>
      </c>
      <c r="AS240" s="5">
        <f t="shared" si="335"/>
        <v>0.77040110146783736</v>
      </c>
      <c r="AT240" s="5">
        <f t="shared" si="336"/>
        <v>2.0867417556750198</v>
      </c>
      <c r="AU240" s="177">
        <f t="shared" si="337"/>
        <v>0.26964038551374309</v>
      </c>
      <c r="CI240" s="571">
        <f t="shared" si="383"/>
        <v>-50</v>
      </c>
    </row>
    <row r="241" spans="5:87" x14ac:dyDescent="0.2">
      <c r="E241" s="174">
        <v>25</v>
      </c>
      <c r="F241" s="221">
        <f t="shared" si="384"/>
        <v>0.105</v>
      </c>
      <c r="G241" s="221">
        <f t="shared" si="353"/>
        <v>0.18124999999999999</v>
      </c>
      <c r="H241" s="221">
        <f t="shared" si="354"/>
        <v>1.6274999999999999</v>
      </c>
      <c r="I241" s="221">
        <f t="shared" si="355"/>
        <v>1.45</v>
      </c>
      <c r="J241" s="551">
        <f t="shared" si="356"/>
        <v>16</v>
      </c>
      <c r="K241" s="451">
        <f t="shared" si="357"/>
        <v>16.399999999999999</v>
      </c>
      <c r="L241" s="451">
        <f t="shared" si="358"/>
        <v>32.4</v>
      </c>
      <c r="M241" s="451"/>
      <c r="N241" s="221">
        <f t="shared" si="359"/>
        <v>0.50617283950617287</v>
      </c>
      <c r="O241" s="176">
        <f t="shared" si="360"/>
        <v>7.9020200379095593</v>
      </c>
      <c r="P241" s="176">
        <f t="shared" si="361"/>
        <v>13.312578938385389</v>
      </c>
      <c r="Q241" s="221">
        <f t="shared" si="362"/>
        <v>0.50980774438126186</v>
      </c>
      <c r="R241" s="221">
        <f t="shared" si="363"/>
        <v>0.98775250473869491</v>
      </c>
      <c r="S241" s="221">
        <f t="shared" si="364"/>
        <v>15.5</v>
      </c>
      <c r="T241" s="221">
        <f t="shared" si="365"/>
        <v>0.84443597560975592</v>
      </c>
      <c r="U241" s="221">
        <f t="shared" si="366"/>
        <v>0.47499523628048768</v>
      </c>
      <c r="V241" s="221">
        <f t="shared" si="367"/>
        <v>0.46340998661510996</v>
      </c>
      <c r="W241" s="201">
        <f t="shared" si="368"/>
        <v>350</v>
      </c>
      <c r="X241" s="451">
        <f t="shared" si="369"/>
        <v>350</v>
      </c>
      <c r="Z241" s="221">
        <f t="shared" si="370"/>
        <v>2.5710366451107194</v>
      </c>
      <c r="AA241" s="177">
        <f t="shared" si="371"/>
        <v>1.4109347442680777</v>
      </c>
      <c r="AB241" s="177">
        <f t="shared" si="372"/>
        <v>0.33571919968049235</v>
      </c>
      <c r="AC241" s="177"/>
      <c r="AD241" s="177">
        <f t="shared" si="373"/>
        <v>0.45</v>
      </c>
      <c r="AE241" s="555">
        <f t="shared" si="374"/>
        <v>569.10569105691059</v>
      </c>
      <c r="AF241" s="538">
        <f t="shared" si="375"/>
        <v>6.4574999999999994E-2</v>
      </c>
      <c r="AH241" s="177">
        <f t="shared" si="376"/>
        <v>1.3978441450920964</v>
      </c>
      <c r="AI241" s="177">
        <f t="shared" si="377"/>
        <v>1.3978441450920964</v>
      </c>
      <c r="AJ241" s="177">
        <f t="shared" si="378"/>
        <v>1.6280327000682195</v>
      </c>
      <c r="AL241" s="555">
        <f t="shared" si="379"/>
        <v>105</v>
      </c>
      <c r="AM241" s="469">
        <f t="shared" si="380"/>
        <v>350</v>
      </c>
      <c r="AO241">
        <f t="shared" si="381"/>
        <v>105</v>
      </c>
      <c r="AP241">
        <f t="shared" si="382"/>
        <v>350</v>
      </c>
      <c r="AR241" s="5">
        <f t="shared" si="343"/>
        <v>2.8571428571428572</v>
      </c>
      <c r="AS241" s="5">
        <f t="shared" si="335"/>
        <v>0.78628733161430431</v>
      </c>
      <c r="AT241" s="5">
        <f t="shared" si="336"/>
        <v>2.070855525528553</v>
      </c>
      <c r="AU241" s="177">
        <f t="shared" si="337"/>
        <v>0.27520056606500648</v>
      </c>
      <c r="CI241" s="571">
        <f t="shared" si="383"/>
        <v>-50</v>
      </c>
    </row>
    <row r="242" spans="5:87" x14ac:dyDescent="0.2">
      <c r="E242" s="174">
        <v>26</v>
      </c>
      <c r="F242" s="221">
        <f t="shared" si="384"/>
        <v>0.10920000000000001</v>
      </c>
      <c r="G242" s="221">
        <f t="shared" si="353"/>
        <v>0.1885</v>
      </c>
      <c r="H242" s="221">
        <f t="shared" si="354"/>
        <v>1.6926000000000001</v>
      </c>
      <c r="I242" s="221">
        <f t="shared" si="355"/>
        <v>1.508</v>
      </c>
      <c r="J242" s="551">
        <f t="shared" si="356"/>
        <v>16</v>
      </c>
      <c r="K242" s="451">
        <f t="shared" si="357"/>
        <v>16.399999999999999</v>
      </c>
      <c r="L242" s="451">
        <f t="shared" si="358"/>
        <v>32.4</v>
      </c>
      <c r="M242" s="451"/>
      <c r="N242" s="221">
        <f t="shared" si="359"/>
        <v>0.50617283950617287</v>
      </c>
      <c r="O242" s="176">
        <f t="shared" si="360"/>
        <v>7.9020200379095593</v>
      </c>
      <c r="P242" s="176">
        <f t="shared" si="361"/>
        <v>13.312578938385389</v>
      </c>
      <c r="Q242" s="221">
        <f t="shared" si="362"/>
        <v>0.50980774438126186</v>
      </c>
      <c r="R242" s="221">
        <f t="shared" si="363"/>
        <v>0.98775250473869491</v>
      </c>
      <c r="S242" s="221">
        <f t="shared" si="364"/>
        <v>15.5</v>
      </c>
      <c r="T242" s="221">
        <f t="shared" si="365"/>
        <v>0.87821341463414626</v>
      </c>
      <c r="U242" s="221">
        <f t="shared" si="366"/>
        <v>0.49399504573170727</v>
      </c>
      <c r="V242" s="221">
        <f t="shared" si="367"/>
        <v>0.48194638607971452</v>
      </c>
      <c r="W242" s="201">
        <f t="shared" si="368"/>
        <v>350</v>
      </c>
      <c r="X242" s="451">
        <f t="shared" si="369"/>
        <v>350</v>
      </c>
      <c r="Z242" s="221">
        <f t="shared" si="370"/>
        <v>2.5710366451107194</v>
      </c>
      <c r="AA242" s="177">
        <f t="shared" si="371"/>
        <v>1.4109347442680777</v>
      </c>
      <c r="AB242" s="177">
        <f t="shared" si="372"/>
        <v>0.33571919968049235</v>
      </c>
      <c r="AC242" s="177"/>
      <c r="AD242" s="177">
        <f t="shared" si="373"/>
        <v>0.45</v>
      </c>
      <c r="AE242" s="555">
        <f t="shared" si="374"/>
        <v>591.869918699187</v>
      </c>
      <c r="AF242" s="538">
        <f t="shared" si="375"/>
        <v>6.4574999999999994E-2</v>
      </c>
      <c r="AH242" s="177">
        <f t="shared" si="376"/>
        <v>1.4255269145572047</v>
      </c>
      <c r="AI242" s="177">
        <f t="shared" si="377"/>
        <v>1.4255269145572047</v>
      </c>
      <c r="AJ242" s="177">
        <f t="shared" si="378"/>
        <v>1.648538455227559</v>
      </c>
      <c r="AL242" s="555">
        <f t="shared" si="379"/>
        <v>109.2</v>
      </c>
      <c r="AM242" s="469">
        <f t="shared" si="380"/>
        <v>350</v>
      </c>
      <c r="AO242">
        <f t="shared" si="381"/>
        <v>109.2</v>
      </c>
      <c r="AP242">
        <f t="shared" si="382"/>
        <v>350</v>
      </c>
      <c r="AR242" s="5">
        <f t="shared" si="343"/>
        <v>2.8571428571428572</v>
      </c>
      <c r="AS242" s="5">
        <f t="shared" si="335"/>
        <v>0.80185888943842765</v>
      </c>
      <c r="AT242" s="5">
        <f t="shared" si="336"/>
        <v>2.0552839677044297</v>
      </c>
      <c r="AU242" s="177">
        <f t="shared" si="337"/>
        <v>0.28065061130344965</v>
      </c>
      <c r="CI242" s="571">
        <f t="shared" si="383"/>
        <v>-50</v>
      </c>
    </row>
    <row r="243" spans="5:87" x14ac:dyDescent="0.2">
      <c r="E243" s="174">
        <v>27</v>
      </c>
      <c r="F243" s="221">
        <f t="shared" si="384"/>
        <v>0.1134</v>
      </c>
      <c r="G243" s="221">
        <f t="shared" si="353"/>
        <v>0.19575000000000001</v>
      </c>
      <c r="H243" s="221">
        <f t="shared" si="354"/>
        <v>1.7577</v>
      </c>
      <c r="I243" s="221">
        <f t="shared" si="355"/>
        <v>1.5660000000000001</v>
      </c>
      <c r="J243" s="551">
        <f t="shared" si="356"/>
        <v>16</v>
      </c>
      <c r="K243" s="451">
        <f t="shared" si="357"/>
        <v>16.399999999999999</v>
      </c>
      <c r="L243" s="451">
        <f t="shared" si="358"/>
        <v>32.4</v>
      </c>
      <c r="M243" s="451"/>
      <c r="N243" s="221">
        <f t="shared" si="359"/>
        <v>0.50617283950617287</v>
      </c>
      <c r="O243" s="176">
        <f t="shared" si="360"/>
        <v>7.9020200379095593</v>
      </c>
      <c r="P243" s="176">
        <f t="shared" si="361"/>
        <v>13.312578938385389</v>
      </c>
      <c r="Q243" s="221">
        <f t="shared" si="362"/>
        <v>0.50980774438126186</v>
      </c>
      <c r="R243" s="221">
        <f t="shared" si="363"/>
        <v>0.98775250473869491</v>
      </c>
      <c r="S243" s="221">
        <f t="shared" si="364"/>
        <v>15.5</v>
      </c>
      <c r="T243" s="221">
        <f t="shared" si="365"/>
        <v>0.91199085365853649</v>
      </c>
      <c r="U243" s="221">
        <f t="shared" si="366"/>
        <v>0.51299485518292676</v>
      </c>
      <c r="V243" s="221">
        <f t="shared" si="367"/>
        <v>0.50048278554431891</v>
      </c>
      <c r="W243" s="201">
        <f t="shared" si="368"/>
        <v>350</v>
      </c>
      <c r="X243" s="451">
        <f t="shared" si="369"/>
        <v>350</v>
      </c>
      <c r="Z243" s="221">
        <f t="shared" si="370"/>
        <v>2.5710366451107194</v>
      </c>
      <c r="AA243" s="177">
        <f t="shared" si="371"/>
        <v>1.4109347442680777</v>
      </c>
      <c r="AB243" s="177">
        <f t="shared" si="372"/>
        <v>0.33571919968049235</v>
      </c>
      <c r="AC243" s="177"/>
      <c r="AD243" s="177">
        <f t="shared" si="373"/>
        <v>0.45</v>
      </c>
      <c r="AE243" s="555">
        <f t="shared" si="374"/>
        <v>614.63414634146341</v>
      </c>
      <c r="AF243" s="538">
        <f t="shared" si="375"/>
        <v>6.4574999999999994E-2</v>
      </c>
      <c r="AH243" s="177">
        <f t="shared" si="376"/>
        <v>1.4526822482173156</v>
      </c>
      <c r="AI243" s="177">
        <f t="shared" si="377"/>
        <v>1.4526822482173156</v>
      </c>
      <c r="AJ243" s="177">
        <f t="shared" si="378"/>
        <v>1.6686535171980115</v>
      </c>
      <c r="AL243" s="555">
        <f t="shared" si="379"/>
        <v>113.4</v>
      </c>
      <c r="AM243" s="469">
        <f t="shared" si="380"/>
        <v>350</v>
      </c>
      <c r="AO243">
        <f t="shared" si="381"/>
        <v>113.4</v>
      </c>
      <c r="AP243">
        <f t="shared" si="382"/>
        <v>350</v>
      </c>
      <c r="AR243" s="5">
        <f t="shared" si="343"/>
        <v>2.8571428571428572</v>
      </c>
      <c r="AS243" s="5">
        <f t="shared" ref="AS243:AS306" si="385">L*AI243/J243*1000000</f>
        <v>0.81713376462224008</v>
      </c>
      <c r="AT243" s="5">
        <f t="shared" ref="AT243:AT306" si="386">AR243-AS243</f>
        <v>2.0400090925206174</v>
      </c>
      <c r="AU243" s="177">
        <f t="shared" ref="AU243:AU306" si="387">AS243/AR243</f>
        <v>0.285996817617784</v>
      </c>
      <c r="CI243" s="571">
        <f t="shared" si="383"/>
        <v>-50</v>
      </c>
    </row>
    <row r="244" spans="5:87" x14ac:dyDescent="0.2">
      <c r="E244" s="174">
        <v>28</v>
      </c>
      <c r="F244" s="221">
        <f t="shared" si="384"/>
        <v>0.11760000000000001</v>
      </c>
      <c r="G244" s="221">
        <f t="shared" si="353"/>
        <v>0.20300000000000001</v>
      </c>
      <c r="H244" s="221">
        <f t="shared" si="354"/>
        <v>1.8228000000000002</v>
      </c>
      <c r="I244" s="221">
        <f t="shared" si="355"/>
        <v>1.6240000000000001</v>
      </c>
      <c r="J244" s="551">
        <f t="shared" si="356"/>
        <v>16</v>
      </c>
      <c r="K244" s="451">
        <f t="shared" si="357"/>
        <v>16.399999999999999</v>
      </c>
      <c r="L244" s="451">
        <f t="shared" si="358"/>
        <v>32.4</v>
      </c>
      <c r="M244" s="451"/>
      <c r="N244" s="221">
        <f t="shared" si="359"/>
        <v>0.50617283950617287</v>
      </c>
      <c r="O244" s="176">
        <f t="shared" si="360"/>
        <v>7.9020200379095593</v>
      </c>
      <c r="P244" s="176">
        <f t="shared" si="361"/>
        <v>13.312578938385389</v>
      </c>
      <c r="Q244" s="221">
        <f t="shared" si="362"/>
        <v>0.50980774438126186</v>
      </c>
      <c r="R244" s="221">
        <f t="shared" si="363"/>
        <v>0.98775250473869491</v>
      </c>
      <c r="S244" s="221">
        <f t="shared" si="364"/>
        <v>15.5</v>
      </c>
      <c r="T244" s="221">
        <f t="shared" si="365"/>
        <v>0.94576829268292684</v>
      </c>
      <c r="U244" s="221">
        <f t="shared" si="366"/>
        <v>0.53199466463414635</v>
      </c>
      <c r="V244" s="221">
        <f t="shared" si="367"/>
        <v>0.51901918500892319</v>
      </c>
      <c r="W244" s="201">
        <f t="shared" si="368"/>
        <v>350</v>
      </c>
      <c r="X244" s="451">
        <f t="shared" si="369"/>
        <v>350</v>
      </c>
      <c r="Z244" s="221">
        <f t="shared" si="370"/>
        <v>2.5710366451107194</v>
      </c>
      <c r="AA244" s="177">
        <f t="shared" si="371"/>
        <v>1.4109347442680777</v>
      </c>
      <c r="AB244" s="177">
        <f t="shared" si="372"/>
        <v>0.33571919968049235</v>
      </c>
      <c r="AC244" s="177"/>
      <c r="AD244" s="177">
        <f t="shared" si="373"/>
        <v>0.45</v>
      </c>
      <c r="AE244" s="555">
        <f t="shared" si="374"/>
        <v>637.39837398373993</v>
      </c>
      <c r="AF244" s="538">
        <f t="shared" si="375"/>
        <v>6.4574999999999994E-2</v>
      </c>
      <c r="AH244" s="177">
        <f t="shared" si="376"/>
        <v>1.4793391918165506</v>
      </c>
      <c r="AI244" s="177">
        <f t="shared" si="377"/>
        <v>1.4793391918165506</v>
      </c>
      <c r="AJ244" s="177">
        <f t="shared" si="378"/>
        <v>1.688399401345593</v>
      </c>
      <c r="AL244" s="555">
        <f t="shared" si="379"/>
        <v>117.60000000000001</v>
      </c>
      <c r="AM244" s="469">
        <f t="shared" si="380"/>
        <v>350</v>
      </c>
      <c r="AO244">
        <f t="shared" si="381"/>
        <v>117.60000000000001</v>
      </c>
      <c r="AP244">
        <f t="shared" si="382"/>
        <v>350</v>
      </c>
      <c r="AR244" s="5">
        <f t="shared" si="343"/>
        <v>2.8571428571428572</v>
      </c>
      <c r="AS244" s="5">
        <f t="shared" si="385"/>
        <v>0.83212829539680977</v>
      </c>
      <c r="AT244" s="5">
        <f t="shared" si="386"/>
        <v>2.0250145617460475</v>
      </c>
      <c r="AU244" s="177">
        <f t="shared" si="387"/>
        <v>0.29124490338888342</v>
      </c>
      <c r="CI244" s="571">
        <f t="shared" si="383"/>
        <v>-50</v>
      </c>
    </row>
    <row r="245" spans="5:87" x14ac:dyDescent="0.2">
      <c r="E245" s="174">
        <v>29</v>
      </c>
      <c r="F245" s="221">
        <f t="shared" si="384"/>
        <v>0.12179999999999999</v>
      </c>
      <c r="G245" s="221">
        <f t="shared" si="353"/>
        <v>0.21024999999999999</v>
      </c>
      <c r="H245" s="221">
        <f t="shared" si="354"/>
        <v>1.8878999999999999</v>
      </c>
      <c r="I245" s="221">
        <f t="shared" si="355"/>
        <v>1.6819999999999999</v>
      </c>
      <c r="J245" s="551">
        <f t="shared" si="356"/>
        <v>16</v>
      </c>
      <c r="K245" s="451">
        <f t="shared" si="357"/>
        <v>16.399999999999999</v>
      </c>
      <c r="L245" s="451">
        <f t="shared" si="358"/>
        <v>32.4</v>
      </c>
      <c r="M245" s="451"/>
      <c r="N245" s="221">
        <f t="shared" si="359"/>
        <v>0.50617283950617287</v>
      </c>
      <c r="O245" s="176">
        <f t="shared" si="360"/>
        <v>7.9020200379095593</v>
      </c>
      <c r="P245" s="176">
        <f t="shared" si="361"/>
        <v>13.312578938385389</v>
      </c>
      <c r="Q245" s="221">
        <f t="shared" si="362"/>
        <v>0.50980774438126186</v>
      </c>
      <c r="R245" s="221">
        <f t="shared" si="363"/>
        <v>0.98775250473869491</v>
      </c>
      <c r="S245" s="221">
        <f t="shared" si="364"/>
        <v>15.5</v>
      </c>
      <c r="T245" s="221">
        <f t="shared" si="365"/>
        <v>0.97954573170731685</v>
      </c>
      <c r="U245" s="221">
        <f t="shared" si="366"/>
        <v>0.55099447408536573</v>
      </c>
      <c r="V245" s="221">
        <f t="shared" si="367"/>
        <v>0.53755558447352758</v>
      </c>
      <c r="W245" s="201">
        <f t="shared" si="368"/>
        <v>350</v>
      </c>
      <c r="X245" s="451">
        <f t="shared" si="369"/>
        <v>350</v>
      </c>
      <c r="Z245" s="221">
        <f t="shared" si="370"/>
        <v>2.5710366451107194</v>
      </c>
      <c r="AA245" s="177">
        <f t="shared" si="371"/>
        <v>1.4109347442680777</v>
      </c>
      <c r="AB245" s="177">
        <f t="shared" si="372"/>
        <v>0.33571919968049235</v>
      </c>
      <c r="AC245" s="177"/>
      <c r="AD245" s="177">
        <f t="shared" si="373"/>
        <v>0.45</v>
      </c>
      <c r="AE245" s="555">
        <f t="shared" si="374"/>
        <v>660.16260162601623</v>
      </c>
      <c r="AF245" s="538">
        <f t="shared" si="375"/>
        <v>6.4574999999999994E-2</v>
      </c>
      <c r="AH245" s="177">
        <f t="shared" si="376"/>
        <v>1.505524219201795</v>
      </c>
      <c r="AI245" s="177">
        <f t="shared" si="377"/>
        <v>1.505524219201795</v>
      </c>
      <c r="AJ245" s="177">
        <f t="shared" si="378"/>
        <v>1.7077957179272554</v>
      </c>
      <c r="AL245" s="555">
        <f t="shared" si="379"/>
        <v>121.8</v>
      </c>
      <c r="AM245" s="469">
        <f t="shared" si="380"/>
        <v>350</v>
      </c>
      <c r="AO245">
        <f t="shared" si="381"/>
        <v>121.8</v>
      </c>
      <c r="AP245">
        <f t="shared" si="382"/>
        <v>350</v>
      </c>
      <c r="AR245" s="5">
        <f t="shared" si="343"/>
        <v>2.8571428571428572</v>
      </c>
      <c r="AS245" s="5">
        <f t="shared" si="385"/>
        <v>0.84685737330100974</v>
      </c>
      <c r="AT245" s="5">
        <f t="shared" si="386"/>
        <v>2.0102854838418476</v>
      </c>
      <c r="AU245" s="177">
        <f t="shared" si="387"/>
        <v>0.29640008065535339</v>
      </c>
      <c r="CI245" s="571">
        <f t="shared" si="383"/>
        <v>-50</v>
      </c>
    </row>
    <row r="246" spans="5:87" x14ac:dyDescent="0.2">
      <c r="E246" s="174">
        <v>30</v>
      </c>
      <c r="F246" s="221">
        <f t="shared" si="384"/>
        <v>0.126</v>
      </c>
      <c r="G246" s="221">
        <f t="shared" si="353"/>
        <v>0.2175</v>
      </c>
      <c r="H246" s="221">
        <f t="shared" si="354"/>
        <v>1.9530000000000001</v>
      </c>
      <c r="I246" s="221">
        <f t="shared" si="355"/>
        <v>1.74</v>
      </c>
      <c r="J246" s="551">
        <f t="shared" si="356"/>
        <v>16</v>
      </c>
      <c r="K246" s="451">
        <f t="shared" si="357"/>
        <v>16.399999999999999</v>
      </c>
      <c r="L246" s="451">
        <f t="shared" si="358"/>
        <v>32.4</v>
      </c>
      <c r="M246" s="451"/>
      <c r="N246" s="221">
        <f t="shared" si="359"/>
        <v>0.50617283950617287</v>
      </c>
      <c r="O246" s="176">
        <f t="shared" si="360"/>
        <v>7.9020200379095593</v>
      </c>
      <c r="P246" s="176">
        <f t="shared" si="361"/>
        <v>13.312578938385389</v>
      </c>
      <c r="Q246" s="221">
        <f t="shared" si="362"/>
        <v>0.50980774438126186</v>
      </c>
      <c r="R246" s="221">
        <f t="shared" si="363"/>
        <v>0.98775250473869491</v>
      </c>
      <c r="S246" s="221">
        <f t="shared" si="364"/>
        <v>15.5</v>
      </c>
      <c r="T246" s="221">
        <f t="shared" si="365"/>
        <v>1.0133231707317072</v>
      </c>
      <c r="U246" s="221">
        <f t="shared" si="366"/>
        <v>0.56999428353658532</v>
      </c>
      <c r="V246" s="221">
        <f t="shared" si="367"/>
        <v>0.55609198393813197</v>
      </c>
      <c r="W246" s="201">
        <f t="shared" si="368"/>
        <v>350</v>
      </c>
      <c r="X246" s="451">
        <f t="shared" si="369"/>
        <v>350</v>
      </c>
      <c r="Z246" s="221">
        <f t="shared" si="370"/>
        <v>2.5710366451107194</v>
      </c>
      <c r="AA246" s="177">
        <f t="shared" si="371"/>
        <v>1.4109347442680777</v>
      </c>
      <c r="AB246" s="177">
        <f t="shared" si="372"/>
        <v>0.33571919968049235</v>
      </c>
      <c r="AC246" s="177"/>
      <c r="AD246" s="177">
        <f t="shared" si="373"/>
        <v>0.45</v>
      </c>
      <c r="AE246" s="555">
        <f t="shared" si="374"/>
        <v>682.92682926829275</v>
      </c>
      <c r="AF246" s="538">
        <f t="shared" si="375"/>
        <v>6.4574999999999994E-2</v>
      </c>
      <c r="AH246" s="177">
        <f t="shared" si="376"/>
        <v>1.5312615402869312</v>
      </c>
      <c r="AI246" s="177">
        <f t="shared" si="377"/>
        <v>1.5312615402869312</v>
      </c>
      <c r="AJ246" s="177">
        <f t="shared" si="378"/>
        <v>1.7268604002125416</v>
      </c>
      <c r="AL246" s="555">
        <f t="shared" si="379"/>
        <v>126</v>
      </c>
      <c r="AM246" s="469">
        <f t="shared" si="380"/>
        <v>350</v>
      </c>
      <c r="AO246">
        <f t="shared" si="381"/>
        <v>126</v>
      </c>
      <c r="AP246">
        <f t="shared" si="382"/>
        <v>350</v>
      </c>
      <c r="AR246" s="5">
        <f t="shared" si="343"/>
        <v>2.8571428571428572</v>
      </c>
      <c r="AS246" s="5">
        <f t="shared" si="385"/>
        <v>0.86133461641139886</v>
      </c>
      <c r="AT246" s="5">
        <f t="shared" si="386"/>
        <v>1.9958082407314583</v>
      </c>
      <c r="AU246" s="177">
        <f t="shared" si="387"/>
        <v>0.3014671157439896</v>
      </c>
      <c r="CI246" s="571">
        <f t="shared" si="383"/>
        <v>-50</v>
      </c>
    </row>
    <row r="247" spans="5:87" x14ac:dyDescent="0.2">
      <c r="E247" s="174">
        <v>31</v>
      </c>
      <c r="F247" s="221">
        <f t="shared" si="384"/>
        <v>0.13019999999999998</v>
      </c>
      <c r="G247" s="221">
        <f t="shared" si="353"/>
        <v>0.22475000000000001</v>
      </c>
      <c r="H247" s="221">
        <f t="shared" si="354"/>
        <v>2.0180999999999996</v>
      </c>
      <c r="I247" s="221">
        <f t="shared" si="355"/>
        <v>1.798</v>
      </c>
      <c r="J247" s="551">
        <f t="shared" si="356"/>
        <v>16</v>
      </c>
      <c r="K247" s="451">
        <f t="shared" si="357"/>
        <v>16.399999999999999</v>
      </c>
      <c r="L247" s="451">
        <f t="shared" si="358"/>
        <v>32.4</v>
      </c>
      <c r="M247" s="451"/>
      <c r="N247" s="221">
        <f t="shared" si="359"/>
        <v>0.50617283950617287</v>
      </c>
      <c r="O247" s="176">
        <f t="shared" si="360"/>
        <v>7.9020200379095593</v>
      </c>
      <c r="P247" s="176">
        <f t="shared" si="361"/>
        <v>13.312578938385389</v>
      </c>
      <c r="Q247" s="221">
        <f t="shared" si="362"/>
        <v>0.50980774438126186</v>
      </c>
      <c r="R247" s="221">
        <f t="shared" si="363"/>
        <v>0.98775250473869491</v>
      </c>
      <c r="S247" s="221">
        <f t="shared" si="364"/>
        <v>15.5</v>
      </c>
      <c r="T247" s="221">
        <f t="shared" si="365"/>
        <v>1.0471006097560973</v>
      </c>
      <c r="U247" s="221">
        <f t="shared" si="366"/>
        <v>0.58899409298780481</v>
      </c>
      <c r="V247" s="221">
        <f t="shared" si="367"/>
        <v>0.57462838340273648</v>
      </c>
      <c r="W247" s="201">
        <f t="shared" si="368"/>
        <v>350</v>
      </c>
      <c r="X247" s="451">
        <f t="shared" si="369"/>
        <v>350</v>
      </c>
      <c r="Z247" s="221">
        <f t="shared" si="370"/>
        <v>2.5710366451107194</v>
      </c>
      <c r="AA247" s="177">
        <f t="shared" si="371"/>
        <v>1.4109347442680777</v>
      </c>
      <c r="AB247" s="177">
        <f t="shared" si="372"/>
        <v>0.33571919968049235</v>
      </c>
      <c r="AC247" s="177"/>
      <c r="AD247" s="177">
        <f t="shared" si="373"/>
        <v>0.45</v>
      </c>
      <c r="AE247" s="555">
        <f t="shared" si="374"/>
        <v>705.69105691056893</v>
      </c>
      <c r="AF247" s="538">
        <f t="shared" si="375"/>
        <v>6.4574999999999994E-2</v>
      </c>
      <c r="AH247" s="177">
        <f t="shared" si="376"/>
        <v>1.5565733631668746</v>
      </c>
      <c r="AI247" s="177">
        <f t="shared" si="377"/>
        <v>1.5565733631668746</v>
      </c>
      <c r="AJ247" s="177">
        <f t="shared" si="378"/>
        <v>1.7456098986421291</v>
      </c>
      <c r="AL247" s="555">
        <f t="shared" si="379"/>
        <v>130.19999999999999</v>
      </c>
      <c r="AM247" s="469">
        <f t="shared" si="380"/>
        <v>350</v>
      </c>
      <c r="AO247">
        <f t="shared" si="381"/>
        <v>130.19999999999999</v>
      </c>
      <c r="AP247">
        <f t="shared" si="382"/>
        <v>350</v>
      </c>
      <c r="AR247" s="5">
        <f t="shared" si="343"/>
        <v>2.8571428571428572</v>
      </c>
      <c r="AS247" s="5">
        <f t="shared" si="385"/>
        <v>0.87557251678136705</v>
      </c>
      <c r="AT247" s="5">
        <f t="shared" si="386"/>
        <v>1.9815703403614902</v>
      </c>
      <c r="AU247" s="177">
        <f t="shared" si="387"/>
        <v>0.30645038087347848</v>
      </c>
      <c r="CI247" s="571">
        <f t="shared" si="383"/>
        <v>-50</v>
      </c>
    </row>
    <row r="248" spans="5:87" x14ac:dyDescent="0.2">
      <c r="E248" s="174">
        <v>32</v>
      </c>
      <c r="F248" s="221">
        <f t="shared" si="384"/>
        <v>0.13439999999999999</v>
      </c>
      <c r="G248" s="221">
        <f t="shared" ref="G248:G279" si="388">IF(PLOT_TYPE=1, E248/100*Iout2, min_I*EXP(Q248*rr/100))</f>
        <v>0.23199999999999998</v>
      </c>
      <c r="H248" s="221">
        <f t="shared" ref="H248:H279" si="389">F248*Vout</f>
        <v>2.0831999999999997</v>
      </c>
      <c r="I248" s="221">
        <f t="shared" ref="I248:I279" si="390">Vout2*G248</f>
        <v>1.8559999999999999</v>
      </c>
      <c r="J248" s="551">
        <f t="shared" si="356"/>
        <v>16</v>
      </c>
      <c r="K248" s="451">
        <f t="shared" si="357"/>
        <v>16.399999999999999</v>
      </c>
      <c r="L248" s="451">
        <f t="shared" si="358"/>
        <v>32.4</v>
      </c>
      <c r="M248" s="451"/>
      <c r="N248" s="221">
        <f t="shared" si="359"/>
        <v>0.50617283950617287</v>
      </c>
      <c r="O248" s="176">
        <f t="shared" ref="O248:O279" si="391">N248*J248*Isw_max*0.5*Efficiency*Pout/(Pout+Pout2)</f>
        <v>7.9020200379095593</v>
      </c>
      <c r="P248" s="176">
        <f t="shared" ref="P248:P279" si="392">N248*J248*Isw_max*0.5*Efficiency*(Pout2/Pout_total)</f>
        <v>13.312578938385389</v>
      </c>
      <c r="Q248" s="221">
        <f t="shared" si="362"/>
        <v>0.50980774438126186</v>
      </c>
      <c r="R248" s="221">
        <f t="shared" ref="R248:R279" si="393">O248/Vout2</f>
        <v>0.98775250473869491</v>
      </c>
      <c r="S248" s="221">
        <f t="shared" ref="S248:S279" si="394">MIN(Vout,O248/F248)</f>
        <v>15.5</v>
      </c>
      <c r="T248" s="221">
        <f t="shared" ref="T248:T279" si="395">MIN(2*(Vout*F248+Vout2*G248)/(Efficiency*J248*N248), Isw_max)</f>
        <v>1.0808780487804877</v>
      </c>
      <c r="U248" s="221">
        <f t="shared" si="366"/>
        <v>0.60799390243902429</v>
      </c>
      <c r="V248" s="221">
        <f t="shared" si="367"/>
        <v>0.59316478286734076</v>
      </c>
      <c r="W248" s="201">
        <f t="shared" si="368"/>
        <v>350</v>
      </c>
      <c r="X248" s="451">
        <f t="shared" si="369"/>
        <v>350</v>
      </c>
      <c r="Z248" s="221">
        <f t="shared" si="370"/>
        <v>2.5710366451107194</v>
      </c>
      <c r="AA248" s="177">
        <f t="shared" si="371"/>
        <v>1.4109347442680777</v>
      </c>
      <c r="AB248" s="177">
        <f t="shared" ref="AB248:AB279" si="396">0.5*AA248*Z248*Nps*W248/1000*(Pout/(Pout+Pout2))</f>
        <v>0.33571919968049235</v>
      </c>
      <c r="AC248" s="177"/>
      <c r="AD248" s="177">
        <f t="shared" si="373"/>
        <v>0.45</v>
      </c>
      <c r="AE248" s="555">
        <f t="shared" ref="AE248:AE279" si="397">MAX(10, F248/(0.5*AD248/1000000*Isw_min*Nps)/1000*Pout_total/Pout)</f>
        <v>728.45528455284557</v>
      </c>
      <c r="AF248" s="538">
        <f t="shared" ref="AF248:AF279" si="398">0.5*AD248/1000000*Isw_min*Nps*W248*1000*(Pout/Pout_total)</f>
        <v>6.4574999999999994E-2</v>
      </c>
      <c r="AH248" s="177">
        <f t="shared" ref="AH248:AH279" si="399">SQRT((H248+I248)/(0.5*L*Fsw_DCM))</f>
        <v>1.5814801184584537</v>
      </c>
      <c r="AI248" s="177">
        <f t="shared" ref="AI248:AI279" si="400">MAX(IF(F248&gt;AB248,T248,AH248),Isw_min)</f>
        <v>1.5814801184584537</v>
      </c>
      <c r="AJ248" s="177">
        <f t="shared" ref="AJ248:AJ279" si="401">IF(F248&gt;AF248, (AI248-Isw_min)/1.08*0.8+1.2, AE248*0.2/350+1)</f>
        <v>1.764059347006262</v>
      </c>
      <c r="AL248" s="555">
        <f t="shared" ref="AL248:AL279" si="402">F248*1000</f>
        <v>134.4</v>
      </c>
      <c r="AM248" s="469">
        <f t="shared" ref="AM248:AM279" si="403">IF(F248&gt;AF248, X248, AE248)</f>
        <v>350</v>
      </c>
      <c r="AO248">
        <f t="shared" si="381"/>
        <v>134.4</v>
      </c>
      <c r="AP248">
        <f t="shared" si="382"/>
        <v>350</v>
      </c>
      <c r="AR248" s="5">
        <f t="shared" si="343"/>
        <v>2.8571428571428572</v>
      </c>
      <c r="AS248" s="5">
        <f t="shared" si="385"/>
        <v>0.88958256663288027</v>
      </c>
      <c r="AT248" s="5">
        <f t="shared" si="386"/>
        <v>1.9675602905099769</v>
      </c>
      <c r="AU248" s="177">
        <f t="shared" si="387"/>
        <v>0.31135389832150806</v>
      </c>
      <c r="CI248" s="571">
        <f t="shared" ref="CI248:CI279" si="404">IF(ABS(F248-Ioutmax_Vinmax)&lt;Iout/200, AM248, -50)</f>
        <v>-50</v>
      </c>
    </row>
    <row r="249" spans="5:87" x14ac:dyDescent="0.2">
      <c r="E249" s="174">
        <v>33</v>
      </c>
      <c r="F249" s="221">
        <f t="shared" ref="F249:F280" si="405">IF(PLOT_TYPE=1, E249/100*Iout_max, min_I*EXP(O249*rr/100))</f>
        <v>0.1386</v>
      </c>
      <c r="G249" s="221">
        <f t="shared" si="388"/>
        <v>0.23924999999999999</v>
      </c>
      <c r="H249" s="221">
        <f t="shared" si="389"/>
        <v>2.1482999999999999</v>
      </c>
      <c r="I249" s="221">
        <f t="shared" si="390"/>
        <v>1.9139999999999999</v>
      </c>
      <c r="J249" s="551">
        <f t="shared" si="356"/>
        <v>16</v>
      </c>
      <c r="K249" s="451">
        <f t="shared" si="357"/>
        <v>16.399999999999999</v>
      </c>
      <c r="L249" s="451">
        <f t="shared" si="358"/>
        <v>32.4</v>
      </c>
      <c r="M249" s="451"/>
      <c r="N249" s="221">
        <f t="shared" si="359"/>
        <v>0.50617283950617287</v>
      </c>
      <c r="O249" s="176">
        <f t="shared" si="391"/>
        <v>7.9020200379095593</v>
      </c>
      <c r="P249" s="176">
        <f t="shared" si="392"/>
        <v>13.312578938385389</v>
      </c>
      <c r="Q249" s="221">
        <f t="shared" si="362"/>
        <v>0.50980774438126186</v>
      </c>
      <c r="R249" s="221">
        <f t="shared" si="393"/>
        <v>0.98775250473869491</v>
      </c>
      <c r="S249" s="221">
        <f t="shared" si="394"/>
        <v>15.5</v>
      </c>
      <c r="T249" s="221">
        <f t="shared" si="395"/>
        <v>1.1146554878048778</v>
      </c>
      <c r="U249" s="221">
        <f t="shared" si="366"/>
        <v>0.62699371189024378</v>
      </c>
      <c r="V249" s="221">
        <f t="shared" si="367"/>
        <v>0.61170118233194515</v>
      </c>
      <c r="W249" s="201">
        <f t="shared" si="368"/>
        <v>350</v>
      </c>
      <c r="X249" s="451">
        <f t="shared" si="369"/>
        <v>350</v>
      </c>
      <c r="Z249" s="221">
        <f t="shared" si="370"/>
        <v>2.5710366451107194</v>
      </c>
      <c r="AA249" s="177">
        <f t="shared" si="371"/>
        <v>1.4109347442680777</v>
      </c>
      <c r="AB249" s="177">
        <f t="shared" si="396"/>
        <v>0.33571919968049235</v>
      </c>
      <c r="AC249" s="177"/>
      <c r="AD249" s="177">
        <f t="shared" si="373"/>
        <v>0.45</v>
      </c>
      <c r="AE249" s="555">
        <f t="shared" si="397"/>
        <v>751.21951219512187</v>
      </c>
      <c r="AF249" s="538">
        <f t="shared" si="398"/>
        <v>6.4574999999999994E-2</v>
      </c>
      <c r="AH249" s="177">
        <f t="shared" si="399"/>
        <v>1.6060006523155883</v>
      </c>
      <c r="AI249" s="177">
        <f t="shared" si="400"/>
        <v>1.6060006523155883</v>
      </c>
      <c r="AJ249" s="177">
        <f t="shared" si="401"/>
        <v>1.7822227054189543</v>
      </c>
      <c r="AL249" s="555">
        <f t="shared" si="402"/>
        <v>138.6</v>
      </c>
      <c r="AM249" s="469">
        <f t="shared" si="403"/>
        <v>350</v>
      </c>
      <c r="AO249">
        <f t="shared" si="381"/>
        <v>138.6</v>
      </c>
      <c r="AP249">
        <f t="shared" si="382"/>
        <v>350</v>
      </c>
      <c r="AR249" s="5">
        <f t="shared" si="343"/>
        <v>2.8571428571428572</v>
      </c>
      <c r="AS249" s="5">
        <f t="shared" si="385"/>
        <v>0.90337536692751841</v>
      </c>
      <c r="AT249" s="5">
        <f t="shared" si="386"/>
        <v>1.9537674902153388</v>
      </c>
      <c r="AU249" s="177">
        <f t="shared" si="387"/>
        <v>0.31618137842463145</v>
      </c>
      <c r="CI249" s="571">
        <f t="shared" si="404"/>
        <v>-50</v>
      </c>
    </row>
    <row r="250" spans="5:87" x14ac:dyDescent="0.2">
      <c r="E250" s="174">
        <v>34</v>
      </c>
      <c r="F250" s="221">
        <f t="shared" si="405"/>
        <v>0.14280000000000001</v>
      </c>
      <c r="G250" s="221">
        <f t="shared" si="388"/>
        <v>0.2465</v>
      </c>
      <c r="H250" s="221">
        <f t="shared" si="389"/>
        <v>2.2134</v>
      </c>
      <c r="I250" s="221">
        <f t="shared" si="390"/>
        <v>1.972</v>
      </c>
      <c r="J250" s="551">
        <f t="shared" si="356"/>
        <v>16</v>
      </c>
      <c r="K250" s="451">
        <f t="shared" si="357"/>
        <v>16.399999999999999</v>
      </c>
      <c r="L250" s="451">
        <f t="shared" si="358"/>
        <v>32.4</v>
      </c>
      <c r="M250" s="451"/>
      <c r="N250" s="221">
        <f t="shared" si="359"/>
        <v>0.50617283950617287</v>
      </c>
      <c r="O250" s="176">
        <f t="shared" si="391"/>
        <v>7.9020200379095593</v>
      </c>
      <c r="P250" s="176">
        <f t="shared" si="392"/>
        <v>13.312578938385389</v>
      </c>
      <c r="Q250" s="221">
        <f t="shared" si="362"/>
        <v>0.50980774438126186</v>
      </c>
      <c r="R250" s="221">
        <f t="shared" si="393"/>
        <v>0.98775250473869491</v>
      </c>
      <c r="S250" s="221">
        <f t="shared" si="394"/>
        <v>15.5</v>
      </c>
      <c r="T250" s="221">
        <f t="shared" si="395"/>
        <v>1.1484329268292681</v>
      </c>
      <c r="U250" s="221">
        <f t="shared" si="366"/>
        <v>0.64599352134146337</v>
      </c>
      <c r="V250" s="221">
        <f t="shared" si="367"/>
        <v>0.63023758179654965</v>
      </c>
      <c r="W250" s="201">
        <f t="shared" si="368"/>
        <v>350</v>
      </c>
      <c r="X250" s="451">
        <f t="shared" si="369"/>
        <v>350</v>
      </c>
      <c r="Z250" s="221">
        <f t="shared" si="370"/>
        <v>2.5710366451107194</v>
      </c>
      <c r="AA250" s="177">
        <f t="shared" si="371"/>
        <v>1.4109347442680777</v>
      </c>
      <c r="AB250" s="177">
        <f t="shared" si="396"/>
        <v>0.33571919968049235</v>
      </c>
      <c r="AC250" s="177"/>
      <c r="AD250" s="177">
        <f t="shared" si="373"/>
        <v>0.45</v>
      </c>
      <c r="AE250" s="555">
        <f t="shared" si="397"/>
        <v>773.9837398373985</v>
      </c>
      <c r="AF250" s="538">
        <f t="shared" si="398"/>
        <v>6.4574999999999994E-2</v>
      </c>
      <c r="AH250" s="177">
        <f t="shared" si="399"/>
        <v>1.6301523933046336</v>
      </c>
      <c r="AI250" s="177">
        <f t="shared" si="400"/>
        <v>1.6301523933046336</v>
      </c>
      <c r="AJ250" s="177">
        <f t="shared" si="401"/>
        <v>1.8001128839293581</v>
      </c>
      <c r="AL250" s="555">
        <f t="shared" si="402"/>
        <v>142.80000000000001</v>
      </c>
      <c r="AM250" s="469">
        <f t="shared" si="403"/>
        <v>350</v>
      </c>
      <c r="AO250">
        <f t="shared" si="381"/>
        <v>142.80000000000001</v>
      </c>
      <c r="AP250">
        <f t="shared" si="382"/>
        <v>350</v>
      </c>
      <c r="AR250" s="5">
        <f t="shared" si="343"/>
        <v>2.8571428571428572</v>
      </c>
      <c r="AS250" s="5">
        <f t="shared" si="385"/>
        <v>0.91696072123385641</v>
      </c>
      <c r="AT250" s="5">
        <f t="shared" si="386"/>
        <v>1.9401821359090008</v>
      </c>
      <c r="AU250" s="177">
        <f t="shared" si="387"/>
        <v>0.32093625243184976</v>
      </c>
      <c r="CI250" s="571">
        <f t="shared" si="404"/>
        <v>-50</v>
      </c>
    </row>
    <row r="251" spans="5:87" x14ac:dyDescent="0.2">
      <c r="E251" s="174">
        <v>35</v>
      </c>
      <c r="F251" s="221">
        <f t="shared" si="405"/>
        <v>0.14699999999999999</v>
      </c>
      <c r="G251" s="221">
        <f t="shared" si="388"/>
        <v>0.25374999999999998</v>
      </c>
      <c r="H251" s="221">
        <f t="shared" si="389"/>
        <v>2.2784999999999997</v>
      </c>
      <c r="I251" s="221">
        <f t="shared" si="390"/>
        <v>2.0299999999999998</v>
      </c>
      <c r="J251" s="551">
        <f t="shared" si="356"/>
        <v>16</v>
      </c>
      <c r="K251" s="451">
        <f t="shared" si="357"/>
        <v>16.399999999999999</v>
      </c>
      <c r="L251" s="451">
        <f t="shared" si="358"/>
        <v>32.4</v>
      </c>
      <c r="M251" s="451"/>
      <c r="N251" s="221">
        <f t="shared" si="359"/>
        <v>0.50617283950617287</v>
      </c>
      <c r="O251" s="176">
        <f t="shared" si="391"/>
        <v>7.9020200379095593</v>
      </c>
      <c r="P251" s="176">
        <f t="shared" si="392"/>
        <v>13.312578938385389</v>
      </c>
      <c r="Q251" s="221">
        <f t="shared" si="362"/>
        <v>0.50980774438126186</v>
      </c>
      <c r="R251" s="221">
        <f t="shared" si="393"/>
        <v>0.98775250473869491</v>
      </c>
      <c r="S251" s="221">
        <f t="shared" si="394"/>
        <v>15.5</v>
      </c>
      <c r="T251" s="221">
        <f t="shared" si="395"/>
        <v>1.1822103658536582</v>
      </c>
      <c r="U251" s="221">
        <f t="shared" si="366"/>
        <v>0.66499333079268275</v>
      </c>
      <c r="V251" s="221">
        <f t="shared" si="367"/>
        <v>0.64877398126115404</v>
      </c>
      <c r="W251" s="201">
        <f t="shared" si="368"/>
        <v>350</v>
      </c>
      <c r="X251" s="451">
        <f t="shared" si="369"/>
        <v>350</v>
      </c>
      <c r="Z251" s="221">
        <f t="shared" si="370"/>
        <v>2.5710366451107194</v>
      </c>
      <c r="AA251" s="177">
        <f t="shared" si="371"/>
        <v>1.4109347442680777</v>
      </c>
      <c r="AB251" s="177">
        <f t="shared" si="396"/>
        <v>0.33571919968049235</v>
      </c>
      <c r="AC251" s="177"/>
      <c r="AD251" s="177">
        <f t="shared" si="373"/>
        <v>0.45</v>
      </c>
      <c r="AE251" s="555">
        <f t="shared" si="397"/>
        <v>796.7479674796748</v>
      </c>
      <c r="AF251" s="538">
        <f t="shared" si="398"/>
        <v>6.4574999999999994E-2</v>
      </c>
      <c r="AH251" s="177">
        <f t="shared" si="399"/>
        <v>1.6539514973407037</v>
      </c>
      <c r="AI251" s="177">
        <f t="shared" si="400"/>
        <v>1.6539514973407037</v>
      </c>
      <c r="AJ251" s="177">
        <f t="shared" si="401"/>
        <v>1.8177418498820028</v>
      </c>
      <c r="AL251" s="555">
        <f t="shared" si="402"/>
        <v>147</v>
      </c>
      <c r="AM251" s="469">
        <f t="shared" si="403"/>
        <v>350</v>
      </c>
      <c r="AO251">
        <f t="shared" si="381"/>
        <v>147</v>
      </c>
      <c r="AP251">
        <f t="shared" si="382"/>
        <v>350</v>
      </c>
      <c r="AR251" s="5">
        <f t="shared" si="343"/>
        <v>2.8571428571428572</v>
      </c>
      <c r="AS251" s="5">
        <f t="shared" si="385"/>
        <v>0.93034771725414589</v>
      </c>
      <c r="AT251" s="5">
        <f t="shared" si="386"/>
        <v>1.9267951398887113</v>
      </c>
      <c r="AU251" s="177">
        <f t="shared" si="387"/>
        <v>0.32562170103895105</v>
      </c>
      <c r="CI251" s="571">
        <f t="shared" si="404"/>
        <v>-50</v>
      </c>
    </row>
    <row r="252" spans="5:87" x14ac:dyDescent="0.2">
      <c r="E252" s="174">
        <v>36</v>
      </c>
      <c r="F252" s="221">
        <f t="shared" si="405"/>
        <v>0.1512</v>
      </c>
      <c r="G252" s="221">
        <f t="shared" si="388"/>
        <v>0.26100000000000001</v>
      </c>
      <c r="H252" s="221">
        <f t="shared" si="389"/>
        <v>2.3435999999999999</v>
      </c>
      <c r="I252" s="221">
        <f t="shared" si="390"/>
        <v>2.0880000000000001</v>
      </c>
      <c r="J252" s="551">
        <f t="shared" si="356"/>
        <v>16</v>
      </c>
      <c r="K252" s="451">
        <f t="shared" si="357"/>
        <v>16.399999999999999</v>
      </c>
      <c r="L252" s="451">
        <f t="shared" si="358"/>
        <v>32.4</v>
      </c>
      <c r="M252" s="451"/>
      <c r="N252" s="221">
        <f t="shared" si="359"/>
        <v>0.50617283950617287</v>
      </c>
      <c r="O252" s="176">
        <f t="shared" si="391"/>
        <v>7.9020200379095593</v>
      </c>
      <c r="P252" s="176">
        <f t="shared" si="392"/>
        <v>13.312578938385389</v>
      </c>
      <c r="Q252" s="221">
        <f t="shared" si="362"/>
        <v>0.50980774438126186</v>
      </c>
      <c r="R252" s="221">
        <f t="shared" si="393"/>
        <v>0.98775250473869491</v>
      </c>
      <c r="S252" s="221">
        <f t="shared" si="394"/>
        <v>15.5</v>
      </c>
      <c r="T252" s="221">
        <f t="shared" si="395"/>
        <v>1.2159878048780486</v>
      </c>
      <c r="U252" s="221">
        <f t="shared" si="366"/>
        <v>0.68399314024390234</v>
      </c>
      <c r="V252" s="221">
        <f t="shared" si="367"/>
        <v>0.66731038072575843</v>
      </c>
      <c r="W252" s="201">
        <f t="shared" si="368"/>
        <v>350</v>
      </c>
      <c r="X252" s="451">
        <f t="shared" si="369"/>
        <v>350</v>
      </c>
      <c r="Z252" s="221">
        <f t="shared" si="370"/>
        <v>2.5710366451107194</v>
      </c>
      <c r="AA252" s="177">
        <f t="shared" si="371"/>
        <v>1.4109347442680777</v>
      </c>
      <c r="AB252" s="177">
        <f t="shared" si="396"/>
        <v>0.33571919968049235</v>
      </c>
      <c r="AC252" s="177"/>
      <c r="AD252" s="177">
        <f t="shared" si="373"/>
        <v>0.45</v>
      </c>
      <c r="AE252" s="555">
        <f t="shared" si="397"/>
        <v>819.51219512195144</v>
      </c>
      <c r="AF252" s="538">
        <f t="shared" si="398"/>
        <v>6.4574999999999994E-2</v>
      </c>
      <c r="AH252" s="177">
        <f t="shared" si="399"/>
        <v>1.6774129741105157</v>
      </c>
      <c r="AI252" s="177">
        <f t="shared" si="400"/>
        <v>1.6774129741105157</v>
      </c>
      <c r="AJ252" s="177">
        <f t="shared" si="401"/>
        <v>1.8351207215633449</v>
      </c>
      <c r="AL252" s="555">
        <f t="shared" si="402"/>
        <v>151.19999999999999</v>
      </c>
      <c r="AM252" s="469">
        <f t="shared" si="403"/>
        <v>350</v>
      </c>
      <c r="AO252">
        <f t="shared" si="381"/>
        <v>151.19999999999999</v>
      </c>
      <c r="AP252">
        <f t="shared" si="382"/>
        <v>350</v>
      </c>
      <c r="AR252" s="5">
        <f t="shared" si="343"/>
        <v>2.8571428571428572</v>
      </c>
      <c r="AS252" s="5">
        <f t="shared" si="385"/>
        <v>0.94354479793716517</v>
      </c>
      <c r="AT252" s="5">
        <f t="shared" si="386"/>
        <v>1.913598059205692</v>
      </c>
      <c r="AU252" s="177">
        <f t="shared" si="387"/>
        <v>0.33024067927800782</v>
      </c>
      <c r="CI252" s="571">
        <f t="shared" si="404"/>
        <v>-50</v>
      </c>
    </row>
    <row r="253" spans="5:87" x14ac:dyDescent="0.2">
      <c r="E253" s="174">
        <v>37</v>
      </c>
      <c r="F253" s="221">
        <f t="shared" si="405"/>
        <v>0.15539999999999998</v>
      </c>
      <c r="G253" s="221">
        <f t="shared" si="388"/>
        <v>0.26824999999999999</v>
      </c>
      <c r="H253" s="221">
        <f t="shared" si="389"/>
        <v>2.4086999999999996</v>
      </c>
      <c r="I253" s="221">
        <f t="shared" si="390"/>
        <v>2.1459999999999999</v>
      </c>
      <c r="J253" s="551">
        <f t="shared" si="356"/>
        <v>16</v>
      </c>
      <c r="K253" s="451">
        <f t="shared" si="357"/>
        <v>16.399999999999999</v>
      </c>
      <c r="L253" s="451">
        <f t="shared" si="358"/>
        <v>32.4</v>
      </c>
      <c r="M253" s="451"/>
      <c r="N253" s="221">
        <f t="shared" si="359"/>
        <v>0.50617283950617287</v>
      </c>
      <c r="O253" s="176">
        <f t="shared" si="391"/>
        <v>7.9020200379095593</v>
      </c>
      <c r="P253" s="176">
        <f t="shared" si="392"/>
        <v>13.312578938385389</v>
      </c>
      <c r="Q253" s="221">
        <f t="shared" si="362"/>
        <v>0.50980774438126186</v>
      </c>
      <c r="R253" s="221">
        <f t="shared" si="393"/>
        <v>0.98775250473869491</v>
      </c>
      <c r="S253" s="221">
        <f t="shared" si="394"/>
        <v>15.5</v>
      </c>
      <c r="T253" s="221">
        <f t="shared" si="395"/>
        <v>1.2497652439024387</v>
      </c>
      <c r="U253" s="221">
        <f t="shared" si="366"/>
        <v>0.70299294969512172</v>
      </c>
      <c r="V253" s="221">
        <f t="shared" si="367"/>
        <v>0.68584678019036271</v>
      </c>
      <c r="W253" s="201">
        <f t="shared" si="368"/>
        <v>350</v>
      </c>
      <c r="X253" s="451">
        <f t="shared" si="369"/>
        <v>350</v>
      </c>
      <c r="Z253" s="221">
        <f t="shared" si="370"/>
        <v>2.5710366451107194</v>
      </c>
      <c r="AA253" s="177">
        <f t="shared" si="371"/>
        <v>1.4109347442680777</v>
      </c>
      <c r="AB253" s="177">
        <f t="shared" si="396"/>
        <v>0.33571919968049235</v>
      </c>
      <c r="AC253" s="177"/>
      <c r="AD253" s="177">
        <f t="shared" si="373"/>
        <v>0.45</v>
      </c>
      <c r="AE253" s="555">
        <f t="shared" si="397"/>
        <v>842.27642276422762</v>
      </c>
      <c r="AF253" s="538">
        <f t="shared" si="398"/>
        <v>6.4574999999999994E-2</v>
      </c>
      <c r="AH253" s="177">
        <f t="shared" si="399"/>
        <v>1.7005507977925904</v>
      </c>
      <c r="AI253" s="177">
        <f t="shared" si="400"/>
        <v>1.7005507977925904</v>
      </c>
      <c r="AJ253" s="177">
        <f t="shared" si="401"/>
        <v>1.8522598502167336</v>
      </c>
      <c r="AL253" s="555">
        <f t="shared" si="402"/>
        <v>155.39999999999998</v>
      </c>
      <c r="AM253" s="469">
        <f t="shared" si="403"/>
        <v>350</v>
      </c>
      <c r="AO253">
        <f t="shared" si="381"/>
        <v>155.39999999999998</v>
      </c>
      <c r="AP253">
        <f t="shared" si="382"/>
        <v>350</v>
      </c>
      <c r="AR253" s="5">
        <f t="shared" si="343"/>
        <v>2.8571428571428572</v>
      </c>
      <c r="AS253" s="5">
        <f t="shared" si="385"/>
        <v>0.95655982375833226</v>
      </c>
      <c r="AT253" s="5">
        <f t="shared" si="386"/>
        <v>1.9005830333845251</v>
      </c>
      <c r="AU253" s="177">
        <f t="shared" si="387"/>
        <v>0.33479593831541626</v>
      </c>
      <c r="CI253" s="571">
        <f t="shared" si="404"/>
        <v>-50</v>
      </c>
    </row>
    <row r="254" spans="5:87" x14ac:dyDescent="0.2">
      <c r="E254" s="174">
        <v>38</v>
      </c>
      <c r="F254" s="221">
        <f t="shared" si="405"/>
        <v>0.15959999999999999</v>
      </c>
      <c r="G254" s="221">
        <f t="shared" si="388"/>
        <v>0.27549999999999997</v>
      </c>
      <c r="H254" s="221">
        <f t="shared" si="389"/>
        <v>2.4737999999999998</v>
      </c>
      <c r="I254" s="221">
        <f t="shared" si="390"/>
        <v>2.2039999999999997</v>
      </c>
      <c r="J254" s="551">
        <f t="shared" si="356"/>
        <v>16</v>
      </c>
      <c r="K254" s="451">
        <f t="shared" si="357"/>
        <v>16.399999999999999</v>
      </c>
      <c r="L254" s="451">
        <f t="shared" si="358"/>
        <v>32.4</v>
      </c>
      <c r="M254" s="451"/>
      <c r="N254" s="221">
        <f t="shared" si="359"/>
        <v>0.50617283950617287</v>
      </c>
      <c r="O254" s="176">
        <f t="shared" si="391"/>
        <v>7.9020200379095593</v>
      </c>
      <c r="P254" s="176">
        <f t="shared" si="392"/>
        <v>13.312578938385389</v>
      </c>
      <c r="Q254" s="221">
        <f t="shared" si="362"/>
        <v>0.50980774438126186</v>
      </c>
      <c r="R254" s="221">
        <f t="shared" si="393"/>
        <v>0.98775250473869491</v>
      </c>
      <c r="S254" s="221">
        <f t="shared" si="394"/>
        <v>15.5</v>
      </c>
      <c r="T254" s="221">
        <f t="shared" si="395"/>
        <v>1.283542682926829</v>
      </c>
      <c r="U254" s="221">
        <f t="shared" si="366"/>
        <v>0.72199275914634142</v>
      </c>
      <c r="V254" s="221">
        <f t="shared" si="367"/>
        <v>0.70438317965496722</v>
      </c>
      <c r="W254" s="201">
        <f t="shared" si="368"/>
        <v>350</v>
      </c>
      <c r="X254" s="451">
        <f t="shared" si="369"/>
        <v>350</v>
      </c>
      <c r="Z254" s="221">
        <f t="shared" si="370"/>
        <v>2.5710366451107194</v>
      </c>
      <c r="AA254" s="177">
        <f t="shared" si="371"/>
        <v>1.4109347442680777</v>
      </c>
      <c r="AB254" s="177">
        <f t="shared" si="396"/>
        <v>0.33571919968049235</v>
      </c>
      <c r="AC254" s="177"/>
      <c r="AD254" s="177">
        <f t="shared" si="373"/>
        <v>0.45</v>
      </c>
      <c r="AE254" s="555">
        <f t="shared" si="397"/>
        <v>865.04065040650403</v>
      </c>
      <c r="AF254" s="538">
        <f t="shared" si="398"/>
        <v>6.4574999999999994E-2</v>
      </c>
      <c r="AH254" s="177">
        <f t="shared" si="399"/>
        <v>1.7233780043947833</v>
      </c>
      <c r="AI254" s="177">
        <f t="shared" si="400"/>
        <v>1.7233780043947833</v>
      </c>
      <c r="AJ254" s="177">
        <f t="shared" si="401"/>
        <v>1.8691688921442839</v>
      </c>
      <c r="AL254" s="555">
        <f t="shared" si="402"/>
        <v>159.6</v>
      </c>
      <c r="AM254" s="469">
        <f t="shared" si="403"/>
        <v>350</v>
      </c>
      <c r="AO254">
        <f t="shared" si="381"/>
        <v>159.6</v>
      </c>
      <c r="AP254">
        <f t="shared" si="382"/>
        <v>350</v>
      </c>
      <c r="AR254" s="5">
        <f t="shared" si="343"/>
        <v>2.8571428571428572</v>
      </c>
      <c r="AS254" s="5">
        <f t="shared" si="385"/>
        <v>0.96940012747206561</v>
      </c>
      <c r="AT254" s="5">
        <f t="shared" si="386"/>
        <v>1.8877427296707916</v>
      </c>
      <c r="AU254" s="177">
        <f t="shared" si="387"/>
        <v>0.33929004461522294</v>
      </c>
      <c r="CI254" s="571">
        <f t="shared" si="404"/>
        <v>-50</v>
      </c>
    </row>
    <row r="255" spans="5:87" x14ac:dyDescent="0.2">
      <c r="E255" s="174">
        <v>39</v>
      </c>
      <c r="F255" s="221">
        <f t="shared" si="405"/>
        <v>0.1638</v>
      </c>
      <c r="G255" s="221">
        <f t="shared" si="388"/>
        <v>0.28275</v>
      </c>
      <c r="H255" s="221">
        <f t="shared" si="389"/>
        <v>2.5388999999999999</v>
      </c>
      <c r="I255" s="221">
        <f t="shared" si="390"/>
        <v>2.262</v>
      </c>
      <c r="J255" s="551">
        <f t="shared" si="356"/>
        <v>16</v>
      </c>
      <c r="K255" s="451">
        <f t="shared" si="357"/>
        <v>16.399999999999999</v>
      </c>
      <c r="L255" s="451">
        <f t="shared" si="358"/>
        <v>32.4</v>
      </c>
      <c r="M255" s="451"/>
      <c r="N255" s="221">
        <f t="shared" si="359"/>
        <v>0.50617283950617287</v>
      </c>
      <c r="O255" s="176">
        <f t="shared" si="391"/>
        <v>7.9020200379095593</v>
      </c>
      <c r="P255" s="176">
        <f t="shared" si="392"/>
        <v>13.312578938385389</v>
      </c>
      <c r="Q255" s="221">
        <f t="shared" si="362"/>
        <v>0.50980774438126186</v>
      </c>
      <c r="R255" s="221">
        <f t="shared" si="393"/>
        <v>0.98775250473869491</v>
      </c>
      <c r="S255" s="221">
        <f t="shared" si="394"/>
        <v>15.5</v>
      </c>
      <c r="T255" s="221">
        <f t="shared" si="395"/>
        <v>1.3173201219512194</v>
      </c>
      <c r="U255" s="221">
        <f t="shared" si="366"/>
        <v>0.74099256859756091</v>
      </c>
      <c r="V255" s="221">
        <f t="shared" si="367"/>
        <v>0.72291957911957172</v>
      </c>
      <c r="W255" s="201">
        <f t="shared" si="368"/>
        <v>350</v>
      </c>
      <c r="X255" s="451">
        <f t="shared" si="369"/>
        <v>350</v>
      </c>
      <c r="Z255" s="221">
        <f t="shared" si="370"/>
        <v>2.5710366451107194</v>
      </c>
      <c r="AA255" s="177">
        <f t="shared" si="371"/>
        <v>1.4109347442680777</v>
      </c>
      <c r="AB255" s="177">
        <f t="shared" si="396"/>
        <v>0.33571919968049235</v>
      </c>
      <c r="AC255" s="177"/>
      <c r="AD255" s="177">
        <f t="shared" si="373"/>
        <v>0.45</v>
      </c>
      <c r="AE255" s="555">
        <f t="shared" si="397"/>
        <v>887.80487804878044</v>
      </c>
      <c r="AF255" s="538">
        <f t="shared" si="398"/>
        <v>6.4574999999999994E-2</v>
      </c>
      <c r="AH255" s="177">
        <f t="shared" si="399"/>
        <v>1.7459067776346124</v>
      </c>
      <c r="AI255" s="177">
        <f t="shared" si="400"/>
        <v>1.7459067776346124</v>
      </c>
      <c r="AJ255" s="177">
        <f t="shared" si="401"/>
        <v>1.8858568723219351</v>
      </c>
      <c r="AL255" s="555">
        <f t="shared" si="402"/>
        <v>163.80000000000001</v>
      </c>
      <c r="AM255" s="469">
        <f t="shared" si="403"/>
        <v>350</v>
      </c>
      <c r="AO255">
        <f t="shared" si="381"/>
        <v>163.80000000000001</v>
      </c>
      <c r="AP255">
        <f t="shared" si="382"/>
        <v>350</v>
      </c>
      <c r="AR255" s="5">
        <f t="shared" si="343"/>
        <v>2.8571428571428572</v>
      </c>
      <c r="AS255" s="5">
        <f t="shared" si="385"/>
        <v>0.98207256241946939</v>
      </c>
      <c r="AT255" s="5">
        <f t="shared" si="386"/>
        <v>1.8750702947233879</v>
      </c>
      <c r="AU255" s="177">
        <f t="shared" si="387"/>
        <v>0.3437253968468143</v>
      </c>
      <c r="CI255" s="571">
        <f t="shared" si="404"/>
        <v>-50</v>
      </c>
    </row>
    <row r="256" spans="5:87" x14ac:dyDescent="0.2">
      <c r="E256" s="174">
        <v>40</v>
      </c>
      <c r="F256" s="221">
        <f t="shared" si="405"/>
        <v>0.16800000000000001</v>
      </c>
      <c r="G256" s="221">
        <f t="shared" si="388"/>
        <v>0.28999999999999998</v>
      </c>
      <c r="H256" s="221">
        <f t="shared" si="389"/>
        <v>2.6040000000000001</v>
      </c>
      <c r="I256" s="221">
        <f t="shared" si="390"/>
        <v>2.3199999999999998</v>
      </c>
      <c r="J256" s="551">
        <f t="shared" si="356"/>
        <v>16</v>
      </c>
      <c r="K256" s="451">
        <f t="shared" si="357"/>
        <v>16.399999999999999</v>
      </c>
      <c r="L256" s="451">
        <f t="shared" si="358"/>
        <v>32.4</v>
      </c>
      <c r="M256" s="451"/>
      <c r="N256" s="221">
        <f t="shared" si="359"/>
        <v>0.50617283950617287</v>
      </c>
      <c r="O256" s="176">
        <f t="shared" si="391"/>
        <v>7.9020200379095593</v>
      </c>
      <c r="P256" s="176">
        <f t="shared" si="392"/>
        <v>13.312578938385389</v>
      </c>
      <c r="Q256" s="221">
        <f t="shared" si="362"/>
        <v>0.50980774438126186</v>
      </c>
      <c r="R256" s="221">
        <f t="shared" si="393"/>
        <v>0.98775250473869491</v>
      </c>
      <c r="S256" s="221">
        <f t="shared" si="394"/>
        <v>15.5</v>
      </c>
      <c r="T256" s="221">
        <f t="shared" si="395"/>
        <v>1.3510975609756095</v>
      </c>
      <c r="U256" s="221">
        <f t="shared" si="366"/>
        <v>0.75999237804878028</v>
      </c>
      <c r="V256" s="221">
        <f t="shared" si="367"/>
        <v>0.741455978584176</v>
      </c>
      <c r="W256" s="201">
        <f t="shared" si="368"/>
        <v>350</v>
      </c>
      <c r="X256" s="451">
        <f t="shared" si="369"/>
        <v>350</v>
      </c>
      <c r="Z256" s="221">
        <f t="shared" si="370"/>
        <v>2.5710366451107194</v>
      </c>
      <c r="AA256" s="177">
        <f t="shared" si="371"/>
        <v>1.4109347442680777</v>
      </c>
      <c r="AB256" s="177">
        <f t="shared" si="396"/>
        <v>0.33571919968049235</v>
      </c>
      <c r="AC256" s="177"/>
      <c r="AD256" s="177">
        <f t="shared" si="373"/>
        <v>0.45</v>
      </c>
      <c r="AE256" s="555">
        <f t="shared" si="397"/>
        <v>910.56910569105708</v>
      </c>
      <c r="AF256" s="538">
        <f t="shared" si="398"/>
        <v>6.4574999999999994E-2</v>
      </c>
      <c r="AH256" s="177">
        <f t="shared" si="399"/>
        <v>1.7681485249687612</v>
      </c>
      <c r="AI256" s="177">
        <f t="shared" si="400"/>
        <v>1.7681485249687612</v>
      </c>
      <c r="AJ256" s="177">
        <f t="shared" si="401"/>
        <v>1.9023322407176009</v>
      </c>
      <c r="AL256" s="555">
        <f t="shared" si="402"/>
        <v>168</v>
      </c>
      <c r="AM256" s="469">
        <f t="shared" si="403"/>
        <v>350</v>
      </c>
      <c r="AO256">
        <f t="shared" si="381"/>
        <v>168</v>
      </c>
      <c r="AP256">
        <f t="shared" si="382"/>
        <v>350</v>
      </c>
      <c r="AR256" s="5">
        <f t="shared" si="343"/>
        <v>2.8571428571428572</v>
      </c>
      <c r="AS256" s="5">
        <f t="shared" si="385"/>
        <v>0.99458354529492832</v>
      </c>
      <c r="AT256" s="5">
        <f t="shared" si="386"/>
        <v>1.8625593118479289</v>
      </c>
      <c r="AU256" s="177">
        <f t="shared" si="387"/>
        <v>0.34810424085322489</v>
      </c>
      <c r="CI256" s="571">
        <f t="shared" si="404"/>
        <v>-50</v>
      </c>
    </row>
    <row r="257" spans="5:87" x14ac:dyDescent="0.2">
      <c r="E257" s="174">
        <v>41</v>
      </c>
      <c r="F257" s="221">
        <f t="shared" si="405"/>
        <v>0.17219999999999999</v>
      </c>
      <c r="G257" s="221">
        <f t="shared" si="388"/>
        <v>0.29724999999999996</v>
      </c>
      <c r="H257" s="221">
        <f t="shared" si="389"/>
        <v>2.6690999999999998</v>
      </c>
      <c r="I257" s="221">
        <f t="shared" si="390"/>
        <v>2.3779999999999997</v>
      </c>
      <c r="J257" s="551">
        <f t="shared" si="356"/>
        <v>16</v>
      </c>
      <c r="K257" s="451">
        <f t="shared" si="357"/>
        <v>16.399999999999999</v>
      </c>
      <c r="L257" s="451">
        <f t="shared" si="358"/>
        <v>32.4</v>
      </c>
      <c r="M257" s="451"/>
      <c r="N257" s="221">
        <f t="shared" si="359"/>
        <v>0.50617283950617287</v>
      </c>
      <c r="O257" s="176">
        <f t="shared" si="391"/>
        <v>7.9020200379095593</v>
      </c>
      <c r="P257" s="176">
        <f t="shared" si="392"/>
        <v>13.312578938385389</v>
      </c>
      <c r="Q257" s="221">
        <f t="shared" si="362"/>
        <v>0.50980774438126186</v>
      </c>
      <c r="R257" s="221">
        <f t="shared" si="393"/>
        <v>0.98775250473869491</v>
      </c>
      <c r="S257" s="221">
        <f t="shared" si="394"/>
        <v>15.5</v>
      </c>
      <c r="T257" s="221">
        <f t="shared" si="395"/>
        <v>1.3848749999999996</v>
      </c>
      <c r="U257" s="221">
        <f t="shared" si="366"/>
        <v>0.77899218749999988</v>
      </c>
      <c r="V257" s="221">
        <f t="shared" si="367"/>
        <v>0.75999237804878039</v>
      </c>
      <c r="W257" s="201">
        <f t="shared" si="368"/>
        <v>350</v>
      </c>
      <c r="X257" s="451">
        <f t="shared" si="369"/>
        <v>350</v>
      </c>
      <c r="Z257" s="221">
        <f t="shared" si="370"/>
        <v>2.5710366451107194</v>
      </c>
      <c r="AA257" s="177">
        <f t="shared" si="371"/>
        <v>1.4109347442680777</v>
      </c>
      <c r="AB257" s="177">
        <f t="shared" si="396"/>
        <v>0.33571919968049235</v>
      </c>
      <c r="AC257" s="177"/>
      <c r="AD257" s="177">
        <f t="shared" si="373"/>
        <v>0.45</v>
      </c>
      <c r="AE257" s="555">
        <f t="shared" si="397"/>
        <v>933.33333333333337</v>
      </c>
      <c r="AF257" s="538">
        <f t="shared" si="398"/>
        <v>6.4574999999999994E-2</v>
      </c>
      <c r="AH257" s="177">
        <f t="shared" si="399"/>
        <v>1.7901139451185604</v>
      </c>
      <c r="AI257" s="177">
        <f t="shared" si="400"/>
        <v>1.7901139451185604</v>
      </c>
      <c r="AJ257" s="177">
        <f t="shared" si="401"/>
        <v>1.9186029223100447</v>
      </c>
      <c r="AL257" s="555">
        <f t="shared" si="402"/>
        <v>172.2</v>
      </c>
      <c r="AM257" s="469">
        <f t="shared" si="403"/>
        <v>350</v>
      </c>
      <c r="AO257">
        <f t="shared" si="381"/>
        <v>172.2</v>
      </c>
      <c r="AP257">
        <f t="shared" si="382"/>
        <v>350</v>
      </c>
      <c r="AR257" s="5">
        <f t="shared" si="343"/>
        <v>2.8571428571428572</v>
      </c>
      <c r="AS257" s="5">
        <f t="shared" si="385"/>
        <v>1.0069390941291902</v>
      </c>
      <c r="AT257" s="5">
        <f t="shared" si="386"/>
        <v>1.850203763013667</v>
      </c>
      <c r="AU257" s="177">
        <f t="shared" si="387"/>
        <v>0.35242868294521656</v>
      </c>
      <c r="CI257" s="571">
        <f t="shared" si="404"/>
        <v>-50</v>
      </c>
    </row>
    <row r="258" spans="5:87" x14ac:dyDescent="0.2">
      <c r="E258" s="174">
        <v>42</v>
      </c>
      <c r="F258" s="221">
        <f t="shared" si="405"/>
        <v>0.17639999999999997</v>
      </c>
      <c r="G258" s="221">
        <f t="shared" si="388"/>
        <v>0.30449999999999999</v>
      </c>
      <c r="H258" s="221">
        <f t="shared" si="389"/>
        <v>2.7341999999999995</v>
      </c>
      <c r="I258" s="221">
        <f t="shared" si="390"/>
        <v>2.4359999999999999</v>
      </c>
      <c r="J258" s="551">
        <f t="shared" si="356"/>
        <v>16</v>
      </c>
      <c r="K258" s="451">
        <f t="shared" si="357"/>
        <v>16.399999999999999</v>
      </c>
      <c r="L258" s="451">
        <f t="shared" si="358"/>
        <v>32.4</v>
      </c>
      <c r="M258" s="451"/>
      <c r="N258" s="221">
        <f t="shared" si="359"/>
        <v>0.50617283950617287</v>
      </c>
      <c r="O258" s="176">
        <f t="shared" si="391"/>
        <v>7.9020200379095593</v>
      </c>
      <c r="P258" s="176">
        <f t="shared" si="392"/>
        <v>13.312578938385389</v>
      </c>
      <c r="Q258" s="221">
        <f t="shared" si="362"/>
        <v>0.50980774438126186</v>
      </c>
      <c r="R258" s="221">
        <f t="shared" si="393"/>
        <v>0.98775250473869491</v>
      </c>
      <c r="S258" s="221">
        <f t="shared" si="394"/>
        <v>15.5</v>
      </c>
      <c r="T258" s="221">
        <f t="shared" si="395"/>
        <v>1.41865243902439</v>
      </c>
      <c r="U258" s="221">
        <f t="shared" si="366"/>
        <v>0.79799199695121936</v>
      </c>
      <c r="V258" s="221">
        <f t="shared" si="367"/>
        <v>0.77852877751338478</v>
      </c>
      <c r="W258" s="201">
        <f t="shared" si="368"/>
        <v>350</v>
      </c>
      <c r="X258" s="451">
        <f t="shared" si="369"/>
        <v>350</v>
      </c>
      <c r="Z258" s="221">
        <f t="shared" si="370"/>
        <v>2.5710366451107194</v>
      </c>
      <c r="AA258" s="177">
        <f t="shared" si="371"/>
        <v>1.4109347442680777</v>
      </c>
      <c r="AB258" s="177">
        <f t="shared" si="396"/>
        <v>0.33571919968049235</v>
      </c>
      <c r="AC258" s="177"/>
      <c r="AD258" s="177">
        <f t="shared" si="373"/>
        <v>0.45</v>
      </c>
      <c r="AE258" s="555">
        <f t="shared" si="397"/>
        <v>956.09756097560967</v>
      </c>
      <c r="AF258" s="538">
        <f t="shared" si="398"/>
        <v>6.4574999999999994E-2</v>
      </c>
      <c r="AH258" s="177">
        <f t="shared" si="399"/>
        <v>1.8118130882258983</v>
      </c>
      <c r="AI258" s="177">
        <f t="shared" si="400"/>
        <v>1.8118130882258983</v>
      </c>
      <c r="AJ258" s="177">
        <f t="shared" si="401"/>
        <v>1.9346763616488136</v>
      </c>
      <c r="AL258" s="555">
        <f t="shared" si="402"/>
        <v>176.39999999999998</v>
      </c>
      <c r="AM258" s="469">
        <f t="shared" si="403"/>
        <v>350</v>
      </c>
      <c r="AO258">
        <f t="shared" si="381"/>
        <v>176.39999999999998</v>
      </c>
      <c r="AP258">
        <f t="shared" si="382"/>
        <v>350</v>
      </c>
      <c r="AR258" s="5">
        <f t="shared" si="343"/>
        <v>2.8571428571428572</v>
      </c>
      <c r="AS258" s="5">
        <f t="shared" si="385"/>
        <v>1.0191448621270678</v>
      </c>
      <c r="AT258" s="5">
        <f t="shared" si="386"/>
        <v>1.8379979950157894</v>
      </c>
      <c r="AU258" s="177">
        <f t="shared" si="387"/>
        <v>0.35670070174447371</v>
      </c>
      <c r="CI258" s="571">
        <f t="shared" si="404"/>
        <v>-50</v>
      </c>
    </row>
    <row r="259" spans="5:87" x14ac:dyDescent="0.2">
      <c r="E259" s="174">
        <v>43</v>
      </c>
      <c r="F259" s="221">
        <f t="shared" si="405"/>
        <v>0.18059999999999998</v>
      </c>
      <c r="G259" s="221">
        <f t="shared" si="388"/>
        <v>0.31174999999999997</v>
      </c>
      <c r="H259" s="221">
        <f t="shared" si="389"/>
        <v>2.7992999999999997</v>
      </c>
      <c r="I259" s="221">
        <f t="shared" si="390"/>
        <v>2.4939999999999998</v>
      </c>
      <c r="J259" s="551">
        <f t="shared" si="356"/>
        <v>16</v>
      </c>
      <c r="K259" s="451">
        <f t="shared" si="357"/>
        <v>16.399999999999999</v>
      </c>
      <c r="L259" s="451">
        <f t="shared" si="358"/>
        <v>32.4</v>
      </c>
      <c r="M259" s="451"/>
      <c r="N259" s="221">
        <f t="shared" si="359"/>
        <v>0.50617283950617287</v>
      </c>
      <c r="O259" s="176">
        <f t="shared" si="391"/>
        <v>7.9020200379095593</v>
      </c>
      <c r="P259" s="176">
        <f t="shared" si="392"/>
        <v>13.312578938385389</v>
      </c>
      <c r="Q259" s="221">
        <f t="shared" si="362"/>
        <v>0.50980774438126186</v>
      </c>
      <c r="R259" s="221">
        <f t="shared" si="393"/>
        <v>0.98775250473869491</v>
      </c>
      <c r="S259" s="221">
        <f t="shared" si="394"/>
        <v>15.5</v>
      </c>
      <c r="T259" s="221">
        <f t="shared" si="395"/>
        <v>1.4524298780487801</v>
      </c>
      <c r="U259" s="221">
        <f t="shared" si="366"/>
        <v>0.81699180640243885</v>
      </c>
      <c r="V259" s="221">
        <f t="shared" si="367"/>
        <v>0.79706517697798918</v>
      </c>
      <c r="W259" s="201">
        <f t="shared" si="368"/>
        <v>350</v>
      </c>
      <c r="X259" s="451">
        <f t="shared" si="369"/>
        <v>350</v>
      </c>
      <c r="Z259" s="221">
        <f t="shared" si="370"/>
        <v>2.5710366451107194</v>
      </c>
      <c r="AA259" s="177">
        <f t="shared" si="371"/>
        <v>1.4109347442680777</v>
      </c>
      <c r="AB259" s="177">
        <f t="shared" si="396"/>
        <v>0.33571919968049235</v>
      </c>
      <c r="AC259" s="177"/>
      <c r="AD259" s="177">
        <f t="shared" si="373"/>
        <v>0.45</v>
      </c>
      <c r="AE259" s="555">
        <f t="shared" si="397"/>
        <v>978.86178861788619</v>
      </c>
      <c r="AF259" s="538">
        <f t="shared" si="398"/>
        <v>6.4574999999999994E-2</v>
      </c>
      <c r="AH259" s="177">
        <f t="shared" si="399"/>
        <v>1.8332554095993816</v>
      </c>
      <c r="AI259" s="177">
        <f t="shared" si="400"/>
        <v>1.8332554095993816</v>
      </c>
      <c r="AJ259" s="177">
        <f t="shared" si="401"/>
        <v>1.9505595626662084</v>
      </c>
      <c r="AL259" s="555">
        <f t="shared" si="402"/>
        <v>180.6</v>
      </c>
      <c r="AM259" s="469">
        <f t="shared" si="403"/>
        <v>350</v>
      </c>
      <c r="AO259">
        <f t="shared" si="381"/>
        <v>180.6</v>
      </c>
      <c r="AP259">
        <f t="shared" si="382"/>
        <v>350</v>
      </c>
      <c r="AR259" s="5">
        <f t="shared" si="343"/>
        <v>2.8571428571428572</v>
      </c>
      <c r="AS259" s="5">
        <f t="shared" si="385"/>
        <v>1.031206167899652</v>
      </c>
      <c r="AT259" s="5">
        <f t="shared" si="386"/>
        <v>1.8259366892432052</v>
      </c>
      <c r="AU259" s="177">
        <f t="shared" si="387"/>
        <v>0.36092215876487821</v>
      </c>
      <c r="CI259" s="571">
        <f t="shared" si="404"/>
        <v>-50</v>
      </c>
    </row>
    <row r="260" spans="5:87" x14ac:dyDescent="0.2">
      <c r="E260" s="174">
        <v>44</v>
      </c>
      <c r="F260" s="221">
        <f t="shared" si="405"/>
        <v>0.18479999999999999</v>
      </c>
      <c r="G260" s="221">
        <f t="shared" si="388"/>
        <v>0.31900000000000001</v>
      </c>
      <c r="H260" s="221">
        <f t="shared" si="389"/>
        <v>2.8643999999999998</v>
      </c>
      <c r="I260" s="221">
        <f t="shared" si="390"/>
        <v>2.552</v>
      </c>
      <c r="J260" s="551">
        <f t="shared" si="356"/>
        <v>16</v>
      </c>
      <c r="K260" s="451">
        <f t="shared" si="357"/>
        <v>16.399999999999999</v>
      </c>
      <c r="L260" s="451">
        <f t="shared" si="358"/>
        <v>32.4</v>
      </c>
      <c r="M260" s="451"/>
      <c r="N260" s="221">
        <f t="shared" si="359"/>
        <v>0.50617283950617287</v>
      </c>
      <c r="O260" s="176">
        <f t="shared" si="391"/>
        <v>7.9020200379095593</v>
      </c>
      <c r="P260" s="176">
        <f t="shared" si="392"/>
        <v>13.312578938385389</v>
      </c>
      <c r="Q260" s="221">
        <f t="shared" si="362"/>
        <v>0.50980774438126186</v>
      </c>
      <c r="R260" s="221">
        <f t="shared" si="393"/>
        <v>0.98775250473869491</v>
      </c>
      <c r="S260" s="221">
        <f t="shared" si="394"/>
        <v>15.5</v>
      </c>
      <c r="T260" s="221">
        <f t="shared" si="395"/>
        <v>1.4862073170731704</v>
      </c>
      <c r="U260" s="221">
        <f t="shared" si="366"/>
        <v>0.83599161585365844</v>
      </c>
      <c r="V260" s="221">
        <f t="shared" si="367"/>
        <v>0.81560157644259368</v>
      </c>
      <c r="W260" s="201">
        <f t="shared" si="368"/>
        <v>350</v>
      </c>
      <c r="X260" s="451">
        <f t="shared" si="369"/>
        <v>350</v>
      </c>
      <c r="Z260" s="221">
        <f t="shared" si="370"/>
        <v>2.5710366451107194</v>
      </c>
      <c r="AA260" s="177">
        <f t="shared" si="371"/>
        <v>1.4109347442680777</v>
      </c>
      <c r="AB260" s="177">
        <f t="shared" si="396"/>
        <v>0.33571919968049235</v>
      </c>
      <c r="AC260" s="177"/>
      <c r="AD260" s="177">
        <f t="shared" si="373"/>
        <v>0.45</v>
      </c>
      <c r="AE260" s="555">
        <f t="shared" si="397"/>
        <v>1001.6260162601626</v>
      </c>
      <c r="AF260" s="538">
        <f t="shared" si="398"/>
        <v>6.4574999999999994E-2</v>
      </c>
      <c r="AH260" s="177">
        <f t="shared" si="399"/>
        <v>1.854449817866239</v>
      </c>
      <c r="AI260" s="177">
        <f t="shared" si="400"/>
        <v>1.854449817866239</v>
      </c>
      <c r="AJ260" s="177">
        <f t="shared" si="401"/>
        <v>1.9662591243453622</v>
      </c>
      <c r="AL260" s="555">
        <f t="shared" si="402"/>
        <v>184.79999999999998</v>
      </c>
      <c r="AM260" s="469">
        <f t="shared" si="403"/>
        <v>350</v>
      </c>
      <c r="AO260">
        <f t="shared" si="381"/>
        <v>184.79999999999998</v>
      </c>
      <c r="AP260">
        <f t="shared" si="382"/>
        <v>350</v>
      </c>
      <c r="AR260" s="5">
        <f t="shared" si="343"/>
        <v>2.8571428571428572</v>
      </c>
      <c r="AS260" s="5">
        <f t="shared" si="385"/>
        <v>1.0431280225497594</v>
      </c>
      <c r="AT260" s="5">
        <f t="shared" si="386"/>
        <v>1.8140148345930978</v>
      </c>
      <c r="AU260" s="177">
        <f t="shared" si="387"/>
        <v>0.36509480789241577</v>
      </c>
      <c r="CI260" s="571">
        <f t="shared" si="404"/>
        <v>-50</v>
      </c>
    </row>
    <row r="261" spans="5:87" x14ac:dyDescent="0.2">
      <c r="E261" s="174">
        <v>45</v>
      </c>
      <c r="F261" s="221">
        <f t="shared" si="405"/>
        <v>0.189</v>
      </c>
      <c r="G261" s="221">
        <f t="shared" si="388"/>
        <v>0.32624999999999998</v>
      </c>
      <c r="H261" s="221">
        <f t="shared" si="389"/>
        <v>2.9295</v>
      </c>
      <c r="I261" s="221">
        <f t="shared" si="390"/>
        <v>2.61</v>
      </c>
      <c r="J261" s="551">
        <f t="shared" si="356"/>
        <v>16</v>
      </c>
      <c r="K261" s="451">
        <f t="shared" si="357"/>
        <v>16.399999999999999</v>
      </c>
      <c r="L261" s="451">
        <f t="shared" si="358"/>
        <v>32.4</v>
      </c>
      <c r="M261" s="451"/>
      <c r="N261" s="221">
        <f t="shared" si="359"/>
        <v>0.50617283950617287</v>
      </c>
      <c r="O261" s="176">
        <f t="shared" si="391"/>
        <v>7.9020200379095593</v>
      </c>
      <c r="P261" s="176">
        <f t="shared" si="392"/>
        <v>13.312578938385389</v>
      </c>
      <c r="Q261" s="221">
        <f t="shared" si="362"/>
        <v>0.50980774438126186</v>
      </c>
      <c r="R261" s="221">
        <f t="shared" si="393"/>
        <v>0.98775250473869491</v>
      </c>
      <c r="S261" s="221">
        <f t="shared" si="394"/>
        <v>15.5</v>
      </c>
      <c r="T261" s="221">
        <f t="shared" si="395"/>
        <v>1.519984756097561</v>
      </c>
      <c r="U261" s="221">
        <f t="shared" si="366"/>
        <v>0.85499142530487804</v>
      </c>
      <c r="V261" s="221">
        <f t="shared" si="367"/>
        <v>0.83413797590719818</v>
      </c>
      <c r="W261" s="201">
        <f t="shared" si="368"/>
        <v>350</v>
      </c>
      <c r="X261" s="451">
        <f t="shared" si="369"/>
        <v>350</v>
      </c>
      <c r="Z261" s="221">
        <f t="shared" si="370"/>
        <v>2.5710366451107194</v>
      </c>
      <c r="AA261" s="177">
        <f t="shared" si="371"/>
        <v>1.4109347442680777</v>
      </c>
      <c r="AB261" s="177">
        <f t="shared" si="396"/>
        <v>0.33571919968049235</v>
      </c>
      <c r="AC261" s="177"/>
      <c r="AD261" s="177">
        <f t="shared" si="373"/>
        <v>0.45</v>
      </c>
      <c r="AE261" s="555">
        <f t="shared" si="397"/>
        <v>1024.3902439024391</v>
      </c>
      <c r="AF261" s="538">
        <f t="shared" si="398"/>
        <v>6.4574999999999994E-2</v>
      </c>
      <c r="AH261" s="177">
        <f t="shared" si="399"/>
        <v>1.875404718225604</v>
      </c>
      <c r="AI261" s="177">
        <f t="shared" si="400"/>
        <v>1.875404718225604</v>
      </c>
      <c r="AJ261" s="177">
        <f t="shared" si="401"/>
        <v>1.9817812727597066</v>
      </c>
      <c r="AL261" s="555">
        <f t="shared" si="402"/>
        <v>189</v>
      </c>
      <c r="AM261" s="469">
        <f t="shared" si="403"/>
        <v>350</v>
      </c>
      <c r="AO261">
        <f t="shared" si="381"/>
        <v>189</v>
      </c>
      <c r="AP261">
        <f t="shared" si="382"/>
        <v>350</v>
      </c>
      <c r="AR261" s="5">
        <f t="shared" si="343"/>
        <v>2.8571428571428572</v>
      </c>
      <c r="AS261" s="5">
        <f t="shared" si="385"/>
        <v>1.0549151540019022</v>
      </c>
      <c r="AT261" s="5">
        <f t="shared" si="386"/>
        <v>1.802227703140955</v>
      </c>
      <c r="AU261" s="177">
        <f t="shared" si="387"/>
        <v>0.36922030390066574</v>
      </c>
      <c r="CI261" s="571">
        <f t="shared" si="404"/>
        <v>-50</v>
      </c>
    </row>
    <row r="262" spans="5:87" x14ac:dyDescent="0.2">
      <c r="E262" s="174">
        <v>46</v>
      </c>
      <c r="F262" s="221">
        <f t="shared" si="405"/>
        <v>0.19320000000000001</v>
      </c>
      <c r="G262" s="221">
        <f t="shared" si="388"/>
        <v>0.33350000000000002</v>
      </c>
      <c r="H262" s="221">
        <f t="shared" si="389"/>
        <v>2.9946000000000002</v>
      </c>
      <c r="I262" s="221">
        <f t="shared" si="390"/>
        <v>2.6680000000000001</v>
      </c>
      <c r="J262" s="551">
        <f t="shared" si="356"/>
        <v>16</v>
      </c>
      <c r="K262" s="451">
        <f t="shared" si="357"/>
        <v>16.399999999999999</v>
      </c>
      <c r="L262" s="451">
        <f t="shared" si="358"/>
        <v>32.4</v>
      </c>
      <c r="M262" s="451"/>
      <c r="N262" s="221">
        <f t="shared" si="359"/>
        <v>0.50617283950617287</v>
      </c>
      <c r="O262" s="176">
        <f t="shared" si="391"/>
        <v>7.9020200379095593</v>
      </c>
      <c r="P262" s="176">
        <f t="shared" si="392"/>
        <v>13.312578938385389</v>
      </c>
      <c r="Q262" s="221">
        <f t="shared" si="362"/>
        <v>0.50980774438126186</v>
      </c>
      <c r="R262" s="221">
        <f t="shared" si="393"/>
        <v>0.98775250473869491</v>
      </c>
      <c r="S262" s="221">
        <f t="shared" si="394"/>
        <v>15.5</v>
      </c>
      <c r="T262" s="221">
        <f t="shared" si="395"/>
        <v>1.5537621951219511</v>
      </c>
      <c r="U262" s="221">
        <f t="shared" si="366"/>
        <v>0.87399123475609752</v>
      </c>
      <c r="V262" s="221">
        <f t="shared" si="367"/>
        <v>0.85267437537180246</v>
      </c>
      <c r="W262" s="201">
        <f t="shared" si="368"/>
        <v>350</v>
      </c>
      <c r="X262" s="451">
        <f t="shared" si="369"/>
        <v>350</v>
      </c>
      <c r="Z262" s="221">
        <f t="shared" si="370"/>
        <v>2.5710366451107194</v>
      </c>
      <c r="AA262" s="177">
        <f t="shared" si="371"/>
        <v>1.4109347442680777</v>
      </c>
      <c r="AB262" s="177">
        <f t="shared" si="396"/>
        <v>0.33571919968049235</v>
      </c>
      <c r="AC262" s="177"/>
      <c r="AD262" s="177">
        <f t="shared" si="373"/>
        <v>0.45</v>
      </c>
      <c r="AE262" s="555">
        <f t="shared" si="397"/>
        <v>1047.1544715447155</v>
      </c>
      <c r="AF262" s="538">
        <f t="shared" si="398"/>
        <v>6.4574999999999994E-2</v>
      </c>
      <c r="AH262" s="177">
        <f t="shared" si="399"/>
        <v>1.8961280513988468</v>
      </c>
      <c r="AI262" s="177">
        <f t="shared" si="400"/>
        <v>1.8961280513988468</v>
      </c>
      <c r="AJ262" s="177">
        <f t="shared" si="401"/>
        <v>1.9971318899250716</v>
      </c>
      <c r="AL262" s="555">
        <f t="shared" si="402"/>
        <v>193.20000000000002</v>
      </c>
      <c r="AM262" s="469">
        <f t="shared" si="403"/>
        <v>350</v>
      </c>
      <c r="AO262">
        <f t="shared" si="381"/>
        <v>193.20000000000002</v>
      </c>
      <c r="AP262">
        <f t="shared" si="382"/>
        <v>350</v>
      </c>
      <c r="AR262" s="5">
        <f t="shared" si="343"/>
        <v>2.8571428571428572</v>
      </c>
      <c r="AS262" s="5">
        <f t="shared" si="385"/>
        <v>1.0665720289118514</v>
      </c>
      <c r="AT262" s="5">
        <f t="shared" si="386"/>
        <v>1.7905708282310058</v>
      </c>
      <c r="AU262" s="177">
        <f t="shared" si="387"/>
        <v>0.37330021011914799</v>
      </c>
      <c r="CI262" s="571">
        <f t="shared" si="404"/>
        <v>-50</v>
      </c>
    </row>
    <row r="263" spans="5:87" x14ac:dyDescent="0.2">
      <c r="E263" s="174">
        <v>47</v>
      </c>
      <c r="F263" s="221">
        <f t="shared" si="405"/>
        <v>0.19739999999999999</v>
      </c>
      <c r="G263" s="221">
        <f t="shared" si="388"/>
        <v>0.34075</v>
      </c>
      <c r="H263" s="221">
        <f t="shared" si="389"/>
        <v>3.0596999999999999</v>
      </c>
      <c r="I263" s="221">
        <f t="shared" si="390"/>
        <v>2.726</v>
      </c>
      <c r="J263" s="551">
        <f t="shared" si="356"/>
        <v>16</v>
      </c>
      <c r="K263" s="451">
        <f t="shared" si="357"/>
        <v>16.399999999999999</v>
      </c>
      <c r="L263" s="451">
        <f t="shared" si="358"/>
        <v>32.4</v>
      </c>
      <c r="M263" s="451"/>
      <c r="N263" s="221">
        <f t="shared" si="359"/>
        <v>0.50617283950617287</v>
      </c>
      <c r="O263" s="176">
        <f t="shared" si="391"/>
        <v>7.9020200379095593</v>
      </c>
      <c r="P263" s="176">
        <f t="shared" si="392"/>
        <v>13.312578938385389</v>
      </c>
      <c r="Q263" s="221">
        <f t="shared" si="362"/>
        <v>0.50980774438126186</v>
      </c>
      <c r="R263" s="221">
        <f t="shared" si="393"/>
        <v>0.98775250473869491</v>
      </c>
      <c r="S263" s="221">
        <f t="shared" si="394"/>
        <v>15.5</v>
      </c>
      <c r="T263" s="221">
        <f t="shared" si="395"/>
        <v>1.5875396341463415</v>
      </c>
      <c r="U263" s="221">
        <f t="shared" si="366"/>
        <v>0.89299104420731712</v>
      </c>
      <c r="V263" s="221">
        <f t="shared" si="367"/>
        <v>0.87121077483640708</v>
      </c>
      <c r="W263" s="201">
        <f t="shared" si="368"/>
        <v>350</v>
      </c>
      <c r="X263" s="451">
        <f t="shared" si="369"/>
        <v>350</v>
      </c>
      <c r="Z263" s="221">
        <f t="shared" si="370"/>
        <v>2.5710366451107194</v>
      </c>
      <c r="AA263" s="177">
        <f t="shared" si="371"/>
        <v>1.4109347442680777</v>
      </c>
      <c r="AB263" s="177">
        <f t="shared" si="396"/>
        <v>0.33571919968049235</v>
      </c>
      <c r="AC263" s="177"/>
      <c r="AD263" s="177">
        <f t="shared" si="373"/>
        <v>0.45</v>
      </c>
      <c r="AE263" s="555">
        <f t="shared" si="397"/>
        <v>1069.9186991869919</v>
      </c>
      <c r="AF263" s="538">
        <f t="shared" si="398"/>
        <v>6.4574999999999994E-2</v>
      </c>
      <c r="AH263" s="177">
        <f t="shared" si="399"/>
        <v>1.9166273287888591</v>
      </c>
      <c r="AI263" s="177">
        <f t="shared" si="400"/>
        <v>1.9166273287888591</v>
      </c>
      <c r="AJ263" s="177">
        <f t="shared" si="401"/>
        <v>2.0123165398435994</v>
      </c>
      <c r="AL263" s="555">
        <f t="shared" si="402"/>
        <v>197.4</v>
      </c>
      <c r="AM263" s="469">
        <f t="shared" si="403"/>
        <v>350</v>
      </c>
      <c r="AO263">
        <f t="shared" si="381"/>
        <v>197.4</v>
      </c>
      <c r="AP263">
        <f t="shared" si="382"/>
        <v>350</v>
      </c>
      <c r="AR263" s="5">
        <f t="shared" ref="AR263:AR316" si="406">1/AM263*1000</f>
        <v>2.8571428571428572</v>
      </c>
      <c r="AS263" s="5">
        <f t="shared" si="385"/>
        <v>1.0781028724437332</v>
      </c>
      <c r="AT263" s="5">
        <f t="shared" si="386"/>
        <v>1.7790399846991241</v>
      </c>
      <c r="AU263" s="177">
        <f t="shared" si="387"/>
        <v>0.37733600535530659</v>
      </c>
      <c r="CI263" s="571">
        <f t="shared" si="404"/>
        <v>-50</v>
      </c>
    </row>
    <row r="264" spans="5:87" x14ac:dyDescent="0.2">
      <c r="E264" s="174">
        <v>48</v>
      </c>
      <c r="F264" s="221">
        <f t="shared" si="405"/>
        <v>0.20159999999999997</v>
      </c>
      <c r="G264" s="221">
        <f t="shared" si="388"/>
        <v>0.34799999999999998</v>
      </c>
      <c r="H264" s="221">
        <f t="shared" si="389"/>
        <v>3.1247999999999996</v>
      </c>
      <c r="I264" s="221">
        <f t="shared" si="390"/>
        <v>2.7839999999999998</v>
      </c>
      <c r="J264" s="551">
        <f t="shared" si="356"/>
        <v>16</v>
      </c>
      <c r="K264" s="451">
        <f t="shared" si="357"/>
        <v>16.399999999999999</v>
      </c>
      <c r="L264" s="451">
        <f t="shared" si="358"/>
        <v>32.4</v>
      </c>
      <c r="M264" s="451"/>
      <c r="N264" s="221">
        <f t="shared" si="359"/>
        <v>0.50617283950617287</v>
      </c>
      <c r="O264" s="176">
        <f t="shared" si="391"/>
        <v>7.9020200379095593</v>
      </c>
      <c r="P264" s="176">
        <f t="shared" si="392"/>
        <v>13.312578938385389</v>
      </c>
      <c r="Q264" s="221">
        <f t="shared" si="362"/>
        <v>0.50980774438126186</v>
      </c>
      <c r="R264" s="221">
        <f t="shared" si="393"/>
        <v>0.98775250473869491</v>
      </c>
      <c r="S264" s="221">
        <f t="shared" si="394"/>
        <v>15.5</v>
      </c>
      <c r="T264" s="221">
        <f t="shared" si="395"/>
        <v>1.6213170731707314</v>
      </c>
      <c r="U264" s="221">
        <f t="shared" si="366"/>
        <v>0.91199085365853638</v>
      </c>
      <c r="V264" s="221">
        <f t="shared" si="367"/>
        <v>0.88974717430101125</v>
      </c>
      <c r="W264" s="201">
        <f t="shared" si="368"/>
        <v>350</v>
      </c>
      <c r="X264" s="451">
        <f t="shared" si="369"/>
        <v>350</v>
      </c>
      <c r="Z264" s="221">
        <f t="shared" si="370"/>
        <v>2.5710366451107194</v>
      </c>
      <c r="AA264" s="177">
        <f t="shared" si="371"/>
        <v>1.4109347442680777</v>
      </c>
      <c r="AB264" s="177">
        <f t="shared" si="396"/>
        <v>0.33571919968049235</v>
      </c>
      <c r="AC264" s="177"/>
      <c r="AD264" s="177">
        <f t="shared" si="373"/>
        <v>0.45</v>
      </c>
      <c r="AE264" s="555">
        <f t="shared" si="397"/>
        <v>1092.6829268292681</v>
      </c>
      <c r="AF264" s="538">
        <f t="shared" si="398"/>
        <v>6.4574999999999994E-2</v>
      </c>
      <c r="AH264" s="177">
        <f t="shared" si="399"/>
        <v>1.9369096642897539</v>
      </c>
      <c r="AI264" s="177">
        <f t="shared" si="400"/>
        <v>1.9369096642897539</v>
      </c>
      <c r="AJ264" s="177">
        <f t="shared" si="401"/>
        <v>2.0273404920664841</v>
      </c>
      <c r="AL264" s="555">
        <f t="shared" si="402"/>
        <v>201.59999999999997</v>
      </c>
      <c r="AM264" s="469">
        <f t="shared" si="403"/>
        <v>350</v>
      </c>
      <c r="AO264">
        <f t="shared" si="381"/>
        <v>201.59999999999997</v>
      </c>
      <c r="AP264">
        <f t="shared" si="382"/>
        <v>350</v>
      </c>
      <c r="AR264" s="5">
        <f t="shared" si="406"/>
        <v>2.8571428571428572</v>
      </c>
      <c r="AS264" s="5">
        <f t="shared" si="385"/>
        <v>1.0895116861629865</v>
      </c>
      <c r="AT264" s="5">
        <f t="shared" si="386"/>
        <v>1.7676311709798707</v>
      </c>
      <c r="AU264" s="177">
        <f t="shared" si="387"/>
        <v>0.3813290901570453</v>
      </c>
      <c r="CI264" s="571">
        <f t="shared" si="404"/>
        <v>-50</v>
      </c>
    </row>
    <row r="265" spans="5:87" x14ac:dyDescent="0.2">
      <c r="E265" s="174">
        <v>49</v>
      </c>
      <c r="F265" s="221">
        <f t="shared" si="405"/>
        <v>0.20579999999999998</v>
      </c>
      <c r="G265" s="221">
        <f t="shared" si="388"/>
        <v>0.35525000000000001</v>
      </c>
      <c r="H265" s="221">
        <f t="shared" si="389"/>
        <v>3.1898999999999997</v>
      </c>
      <c r="I265" s="221">
        <f t="shared" si="390"/>
        <v>2.8420000000000001</v>
      </c>
      <c r="J265" s="551">
        <f t="shared" si="356"/>
        <v>16</v>
      </c>
      <c r="K265" s="451">
        <f t="shared" si="357"/>
        <v>16.399999999999999</v>
      </c>
      <c r="L265" s="451">
        <f t="shared" si="358"/>
        <v>32.4</v>
      </c>
      <c r="M265" s="451"/>
      <c r="N265" s="221">
        <f t="shared" si="359"/>
        <v>0.50617283950617287</v>
      </c>
      <c r="O265" s="176">
        <f t="shared" si="391"/>
        <v>7.9020200379095593</v>
      </c>
      <c r="P265" s="176">
        <f t="shared" si="392"/>
        <v>13.312578938385389</v>
      </c>
      <c r="Q265" s="221">
        <f t="shared" si="362"/>
        <v>0.50980774438126186</v>
      </c>
      <c r="R265" s="221">
        <f t="shared" si="393"/>
        <v>0.98775250473869491</v>
      </c>
      <c r="S265" s="221">
        <f t="shared" si="394"/>
        <v>15.5</v>
      </c>
      <c r="T265" s="221">
        <f t="shared" si="395"/>
        <v>1.6550945121951219</v>
      </c>
      <c r="U265" s="221">
        <f t="shared" si="366"/>
        <v>0.93099066310975609</v>
      </c>
      <c r="V265" s="221">
        <f t="shared" si="367"/>
        <v>0.90828357376561575</v>
      </c>
      <c r="W265" s="201">
        <f t="shared" si="368"/>
        <v>350</v>
      </c>
      <c r="X265" s="451">
        <f t="shared" si="369"/>
        <v>350</v>
      </c>
      <c r="Z265" s="221">
        <f t="shared" si="370"/>
        <v>2.5710366451107194</v>
      </c>
      <c r="AA265" s="177">
        <f t="shared" si="371"/>
        <v>1.4109347442680777</v>
      </c>
      <c r="AB265" s="177">
        <f t="shared" si="396"/>
        <v>0.33571919968049235</v>
      </c>
      <c r="AC265" s="177"/>
      <c r="AD265" s="177">
        <f t="shared" si="373"/>
        <v>0.45</v>
      </c>
      <c r="AE265" s="555">
        <f t="shared" si="397"/>
        <v>1115.4471544715448</v>
      </c>
      <c r="AF265" s="538">
        <f t="shared" si="398"/>
        <v>6.4574999999999994E-2</v>
      </c>
      <c r="AH265" s="177">
        <f t="shared" si="399"/>
        <v>1.9569818031289352</v>
      </c>
      <c r="AI265" s="177">
        <f t="shared" si="400"/>
        <v>1.9569818031289352</v>
      </c>
      <c r="AJ265" s="177">
        <f t="shared" si="401"/>
        <v>2.0422087430584703</v>
      </c>
      <c r="AL265" s="555">
        <f t="shared" si="402"/>
        <v>205.79999999999998</v>
      </c>
      <c r="AM265" s="469">
        <f t="shared" si="403"/>
        <v>350</v>
      </c>
      <c r="AO265">
        <f t="shared" si="381"/>
        <v>205.79999999999998</v>
      </c>
      <c r="AP265">
        <f t="shared" si="382"/>
        <v>350</v>
      </c>
      <c r="AR265" s="5">
        <f t="shared" si="406"/>
        <v>2.8571428571428572</v>
      </c>
      <c r="AS265" s="5">
        <f t="shared" si="385"/>
        <v>1.1008022642600261</v>
      </c>
      <c r="AT265" s="5">
        <f t="shared" si="386"/>
        <v>1.7563405928828311</v>
      </c>
      <c r="AU265" s="177">
        <f t="shared" si="387"/>
        <v>0.38528079249100916</v>
      </c>
      <c r="CI265" s="571">
        <f t="shared" si="404"/>
        <v>-50</v>
      </c>
    </row>
    <row r="266" spans="5:87" x14ac:dyDescent="0.2">
      <c r="E266" s="174">
        <v>50</v>
      </c>
      <c r="F266" s="221">
        <f t="shared" si="405"/>
        <v>0.21</v>
      </c>
      <c r="G266" s="221">
        <f t="shared" si="388"/>
        <v>0.36249999999999999</v>
      </c>
      <c r="H266" s="221">
        <f t="shared" si="389"/>
        <v>3.2549999999999999</v>
      </c>
      <c r="I266" s="221">
        <f t="shared" si="390"/>
        <v>2.9</v>
      </c>
      <c r="J266" s="551">
        <f t="shared" si="356"/>
        <v>16</v>
      </c>
      <c r="K266" s="451">
        <f t="shared" si="357"/>
        <v>16.399999999999999</v>
      </c>
      <c r="L266" s="451">
        <f t="shared" si="358"/>
        <v>32.4</v>
      </c>
      <c r="M266" s="451"/>
      <c r="N266" s="221">
        <f t="shared" si="359"/>
        <v>0.50617283950617287</v>
      </c>
      <c r="O266" s="176">
        <f t="shared" si="391"/>
        <v>7.9020200379095593</v>
      </c>
      <c r="P266" s="176">
        <f t="shared" si="392"/>
        <v>13.312578938385389</v>
      </c>
      <c r="Q266" s="221">
        <f t="shared" si="362"/>
        <v>0.50980774438126186</v>
      </c>
      <c r="R266" s="221">
        <f t="shared" si="393"/>
        <v>0.98775250473869491</v>
      </c>
      <c r="S266" s="221">
        <f t="shared" si="394"/>
        <v>15.5</v>
      </c>
      <c r="T266" s="221">
        <f t="shared" si="395"/>
        <v>1.6888719512195118</v>
      </c>
      <c r="U266" s="221">
        <f t="shared" si="366"/>
        <v>0.94999047256097535</v>
      </c>
      <c r="V266" s="221">
        <f t="shared" si="367"/>
        <v>0.92681997323021992</v>
      </c>
      <c r="W266" s="201">
        <f t="shared" si="368"/>
        <v>350</v>
      </c>
      <c r="X266" s="451">
        <f t="shared" si="369"/>
        <v>350</v>
      </c>
      <c r="Z266" s="221">
        <f t="shared" si="370"/>
        <v>2.5710366451107194</v>
      </c>
      <c r="AA266" s="177">
        <f t="shared" si="371"/>
        <v>1.4109347442680777</v>
      </c>
      <c r="AB266" s="177">
        <f t="shared" si="396"/>
        <v>0.33571919968049235</v>
      </c>
      <c r="AC266" s="177"/>
      <c r="AD266" s="177">
        <f t="shared" si="373"/>
        <v>0.45</v>
      </c>
      <c r="AE266" s="555">
        <f t="shared" si="397"/>
        <v>1138.2113821138212</v>
      </c>
      <c r="AF266" s="538">
        <f t="shared" si="398"/>
        <v>6.4574999999999994E-2</v>
      </c>
      <c r="AH266" s="177">
        <f t="shared" si="399"/>
        <v>1.9768501480730671</v>
      </c>
      <c r="AI266" s="177">
        <f t="shared" si="400"/>
        <v>1.9768501480730671</v>
      </c>
      <c r="AJ266" s="177">
        <f t="shared" si="401"/>
        <v>2.0569260356096795</v>
      </c>
      <c r="AL266" s="555">
        <f t="shared" si="402"/>
        <v>210</v>
      </c>
      <c r="AM266" s="469">
        <f t="shared" si="403"/>
        <v>350</v>
      </c>
      <c r="AO266">
        <f t="shared" si="381"/>
        <v>210</v>
      </c>
      <c r="AP266">
        <f t="shared" si="382"/>
        <v>350</v>
      </c>
      <c r="AR266" s="5">
        <f t="shared" si="406"/>
        <v>2.8571428571428572</v>
      </c>
      <c r="AS266" s="5">
        <f t="shared" si="385"/>
        <v>1.1119782082911003</v>
      </c>
      <c r="AT266" s="5">
        <f t="shared" si="386"/>
        <v>1.7451646488517569</v>
      </c>
      <c r="AU266" s="177">
        <f t="shared" si="387"/>
        <v>0.38919237290188508</v>
      </c>
      <c r="CI266" s="571">
        <f t="shared" si="404"/>
        <v>-50</v>
      </c>
    </row>
    <row r="267" spans="5:87" x14ac:dyDescent="0.2">
      <c r="E267" s="174">
        <v>51</v>
      </c>
      <c r="F267" s="221">
        <f t="shared" si="405"/>
        <v>0.2142</v>
      </c>
      <c r="G267" s="221">
        <f t="shared" si="388"/>
        <v>0.36974999999999997</v>
      </c>
      <c r="H267" s="221">
        <f t="shared" si="389"/>
        <v>3.3201000000000001</v>
      </c>
      <c r="I267" s="221">
        <f t="shared" si="390"/>
        <v>2.9579999999999997</v>
      </c>
      <c r="J267" s="551">
        <f t="shared" si="356"/>
        <v>16</v>
      </c>
      <c r="K267" s="451">
        <f t="shared" si="357"/>
        <v>16.399999999999999</v>
      </c>
      <c r="L267" s="451">
        <f t="shared" si="358"/>
        <v>32.4</v>
      </c>
      <c r="M267" s="451"/>
      <c r="N267" s="221">
        <f t="shared" si="359"/>
        <v>0.50617283950617287</v>
      </c>
      <c r="O267" s="176">
        <f t="shared" si="391"/>
        <v>7.9020200379095593</v>
      </c>
      <c r="P267" s="176">
        <f t="shared" si="392"/>
        <v>13.312578938385389</v>
      </c>
      <c r="Q267" s="221">
        <f t="shared" si="362"/>
        <v>0.50980774438126186</v>
      </c>
      <c r="R267" s="221">
        <f t="shared" si="393"/>
        <v>0.98775250473869491</v>
      </c>
      <c r="S267" s="221">
        <f t="shared" si="394"/>
        <v>15.5</v>
      </c>
      <c r="T267" s="221">
        <f t="shared" si="395"/>
        <v>1.7226493902439024</v>
      </c>
      <c r="U267" s="221">
        <f t="shared" si="366"/>
        <v>0.96899028201219517</v>
      </c>
      <c r="V267" s="221">
        <f t="shared" si="367"/>
        <v>0.94535637269482475</v>
      </c>
      <c r="W267" s="201">
        <f t="shared" si="368"/>
        <v>350</v>
      </c>
      <c r="X267" s="451">
        <f t="shared" si="369"/>
        <v>350</v>
      </c>
      <c r="Z267" s="221">
        <f t="shared" si="370"/>
        <v>2.5710366451107194</v>
      </c>
      <c r="AA267" s="177">
        <f t="shared" si="371"/>
        <v>1.4109347442680777</v>
      </c>
      <c r="AB267" s="177">
        <f t="shared" si="396"/>
        <v>0.33571919968049235</v>
      </c>
      <c r="AC267" s="177"/>
      <c r="AD267" s="177">
        <f t="shared" si="373"/>
        <v>0.45</v>
      </c>
      <c r="AE267" s="555">
        <f t="shared" si="397"/>
        <v>1160.9756097560976</v>
      </c>
      <c r="AF267" s="538">
        <f t="shared" si="398"/>
        <v>6.4574999999999994E-2</v>
      </c>
      <c r="AH267" s="177">
        <f t="shared" si="399"/>
        <v>1.9965207832865748</v>
      </c>
      <c r="AI267" s="177">
        <f t="shared" si="400"/>
        <v>1.9965207832865748</v>
      </c>
      <c r="AJ267" s="177">
        <f t="shared" si="401"/>
        <v>2.0714968765085739</v>
      </c>
      <c r="AL267" s="555">
        <f t="shared" si="402"/>
        <v>214.2</v>
      </c>
      <c r="AM267" s="469">
        <f t="shared" si="403"/>
        <v>350</v>
      </c>
      <c r="AO267">
        <f t="shared" si="381"/>
        <v>214.2</v>
      </c>
      <c r="AP267">
        <f t="shared" si="382"/>
        <v>350</v>
      </c>
      <c r="AR267" s="5">
        <f t="shared" si="406"/>
        <v>2.8571428571428572</v>
      </c>
      <c r="AS267" s="5">
        <f t="shared" si="385"/>
        <v>1.1230429405986984</v>
      </c>
      <c r="AT267" s="5">
        <f t="shared" si="386"/>
        <v>1.7340999165441588</v>
      </c>
      <c r="AU267" s="177">
        <f t="shared" si="387"/>
        <v>0.39306502920954439</v>
      </c>
      <c r="CI267" s="571">
        <f t="shared" si="404"/>
        <v>-50</v>
      </c>
    </row>
    <row r="268" spans="5:87" x14ac:dyDescent="0.2">
      <c r="E268" s="174">
        <v>52</v>
      </c>
      <c r="F268" s="221">
        <f t="shared" si="405"/>
        <v>0.21840000000000001</v>
      </c>
      <c r="G268" s="221">
        <f t="shared" si="388"/>
        <v>0.377</v>
      </c>
      <c r="H268" s="221">
        <f t="shared" si="389"/>
        <v>3.3852000000000002</v>
      </c>
      <c r="I268" s="221">
        <f t="shared" si="390"/>
        <v>3.016</v>
      </c>
      <c r="J268" s="551">
        <f t="shared" si="356"/>
        <v>16</v>
      </c>
      <c r="K268" s="451">
        <f t="shared" si="357"/>
        <v>16.399999999999999</v>
      </c>
      <c r="L268" s="451">
        <f t="shared" si="358"/>
        <v>32.4</v>
      </c>
      <c r="M268" s="451"/>
      <c r="N268" s="221">
        <f t="shared" si="359"/>
        <v>0.50617283950617287</v>
      </c>
      <c r="O268" s="176">
        <f t="shared" si="391"/>
        <v>7.9020200379095593</v>
      </c>
      <c r="P268" s="176">
        <f t="shared" si="392"/>
        <v>13.312578938385389</v>
      </c>
      <c r="Q268" s="221">
        <f t="shared" si="362"/>
        <v>0.50980774438126186</v>
      </c>
      <c r="R268" s="221">
        <f t="shared" si="393"/>
        <v>0.98775250473869491</v>
      </c>
      <c r="S268" s="221">
        <f t="shared" si="394"/>
        <v>15.5</v>
      </c>
      <c r="T268" s="221">
        <f t="shared" si="395"/>
        <v>1.7564268292682925</v>
      </c>
      <c r="U268" s="221">
        <f t="shared" si="366"/>
        <v>0.98799009146341454</v>
      </c>
      <c r="V268" s="221">
        <f t="shared" si="367"/>
        <v>0.96389277215942903</v>
      </c>
      <c r="W268" s="201">
        <f t="shared" si="368"/>
        <v>350</v>
      </c>
      <c r="X268" s="451">
        <f t="shared" si="369"/>
        <v>350</v>
      </c>
      <c r="Z268" s="221">
        <f t="shared" si="370"/>
        <v>2.5710366451107194</v>
      </c>
      <c r="AA268" s="177">
        <f t="shared" si="371"/>
        <v>1.4109347442680777</v>
      </c>
      <c r="AB268" s="177">
        <f t="shared" si="396"/>
        <v>0.33571919968049235</v>
      </c>
      <c r="AC268" s="177"/>
      <c r="AD268" s="177">
        <f t="shared" si="373"/>
        <v>0.45</v>
      </c>
      <c r="AE268" s="555">
        <f t="shared" si="397"/>
        <v>1183.739837398374</v>
      </c>
      <c r="AF268" s="538">
        <f t="shared" si="398"/>
        <v>6.4574999999999994E-2</v>
      </c>
      <c r="AH268" s="177">
        <f t="shared" si="399"/>
        <v>2.0159994960946714</v>
      </c>
      <c r="AI268" s="177">
        <f t="shared" si="400"/>
        <v>2.0159994960946714</v>
      </c>
      <c r="AJ268" s="177">
        <f t="shared" si="401"/>
        <v>2.0859255526627196</v>
      </c>
      <c r="AL268" s="555">
        <f t="shared" si="402"/>
        <v>218.4</v>
      </c>
      <c r="AM268" s="469">
        <f t="shared" si="403"/>
        <v>350</v>
      </c>
      <c r="AO268">
        <f t="shared" si="381"/>
        <v>218.4</v>
      </c>
      <c r="AP268">
        <f t="shared" si="382"/>
        <v>350</v>
      </c>
      <c r="AR268" s="5">
        <f t="shared" si="406"/>
        <v>2.8571428571428572</v>
      </c>
      <c r="AS268" s="5">
        <f t="shared" si="385"/>
        <v>1.1339997165532527</v>
      </c>
      <c r="AT268" s="5">
        <f t="shared" si="386"/>
        <v>1.7231431405896045</v>
      </c>
      <c r="AU268" s="177">
        <f t="shared" si="387"/>
        <v>0.39689990079363846</v>
      </c>
      <c r="CI268" s="571">
        <f t="shared" si="404"/>
        <v>-50</v>
      </c>
    </row>
    <row r="269" spans="5:87" x14ac:dyDescent="0.2">
      <c r="E269" s="174">
        <v>53</v>
      </c>
      <c r="F269" s="221">
        <f t="shared" si="405"/>
        <v>0.22259999999999999</v>
      </c>
      <c r="G269" s="221">
        <f t="shared" si="388"/>
        <v>0.38424999999999998</v>
      </c>
      <c r="H269" s="221">
        <f t="shared" si="389"/>
        <v>3.4502999999999999</v>
      </c>
      <c r="I269" s="221">
        <f t="shared" si="390"/>
        <v>3.0739999999999998</v>
      </c>
      <c r="J269" s="551">
        <f t="shared" si="356"/>
        <v>16</v>
      </c>
      <c r="K269" s="451">
        <f t="shared" si="357"/>
        <v>16.399999999999999</v>
      </c>
      <c r="L269" s="451">
        <f t="shared" si="358"/>
        <v>32.4</v>
      </c>
      <c r="M269" s="451"/>
      <c r="N269" s="221">
        <f t="shared" si="359"/>
        <v>0.50617283950617287</v>
      </c>
      <c r="O269" s="176">
        <f t="shared" si="391"/>
        <v>7.9020200379095593</v>
      </c>
      <c r="P269" s="176">
        <f t="shared" si="392"/>
        <v>13.312578938385389</v>
      </c>
      <c r="Q269" s="221">
        <f t="shared" si="362"/>
        <v>0.50980774438126186</v>
      </c>
      <c r="R269" s="221">
        <f t="shared" si="393"/>
        <v>0.98775250473869491</v>
      </c>
      <c r="S269" s="221">
        <f t="shared" si="394"/>
        <v>15.5</v>
      </c>
      <c r="T269" s="221">
        <f t="shared" si="395"/>
        <v>1.7902042682926829</v>
      </c>
      <c r="U269" s="221">
        <f t="shared" si="366"/>
        <v>1.0069899009146341</v>
      </c>
      <c r="V269" s="221">
        <f t="shared" si="367"/>
        <v>0.98242917162403331</v>
      </c>
      <c r="W269" s="201">
        <f t="shared" si="368"/>
        <v>350</v>
      </c>
      <c r="X269" s="451">
        <f t="shared" si="369"/>
        <v>350</v>
      </c>
      <c r="Z269" s="221">
        <f t="shared" si="370"/>
        <v>2.5710366451107194</v>
      </c>
      <c r="AA269" s="177">
        <f t="shared" si="371"/>
        <v>1.4109347442680777</v>
      </c>
      <c r="AB269" s="177">
        <f t="shared" si="396"/>
        <v>0.33571919968049235</v>
      </c>
      <c r="AC269" s="177"/>
      <c r="AD269" s="177">
        <f t="shared" si="373"/>
        <v>0.45</v>
      </c>
      <c r="AE269" s="555">
        <f t="shared" si="397"/>
        <v>1206.5040650406504</v>
      </c>
      <c r="AF269" s="538">
        <f t="shared" si="398"/>
        <v>6.4574999999999994E-2</v>
      </c>
      <c r="AH269" s="177">
        <f t="shared" si="399"/>
        <v>2.0352917968715687</v>
      </c>
      <c r="AI269" s="177">
        <f t="shared" si="400"/>
        <v>2.0352917968715687</v>
      </c>
      <c r="AJ269" s="177">
        <f t="shared" si="401"/>
        <v>2.1002161458307915</v>
      </c>
      <c r="AL269" s="555">
        <f t="shared" si="402"/>
        <v>222.6</v>
      </c>
      <c r="AM269" s="469">
        <f t="shared" si="403"/>
        <v>350</v>
      </c>
      <c r="AO269">
        <f t="shared" si="381"/>
        <v>222.6</v>
      </c>
      <c r="AP269">
        <f t="shared" si="382"/>
        <v>350</v>
      </c>
      <c r="AR269" s="5">
        <f t="shared" si="406"/>
        <v>2.8571428571428572</v>
      </c>
      <c r="AS269" s="5">
        <f t="shared" si="385"/>
        <v>1.1448516357402574</v>
      </c>
      <c r="AT269" s="5">
        <f t="shared" si="386"/>
        <v>1.7122912214025998</v>
      </c>
      <c r="AU269" s="177">
        <f t="shared" si="387"/>
        <v>0.40069807250909006</v>
      </c>
      <c r="CI269" s="571">
        <f t="shared" si="404"/>
        <v>-50</v>
      </c>
    </row>
    <row r="270" spans="5:87" x14ac:dyDescent="0.2">
      <c r="E270" s="174">
        <v>54</v>
      </c>
      <c r="F270" s="221">
        <f t="shared" si="405"/>
        <v>0.2268</v>
      </c>
      <c r="G270" s="221">
        <f t="shared" si="388"/>
        <v>0.39150000000000001</v>
      </c>
      <c r="H270" s="221">
        <f t="shared" si="389"/>
        <v>3.5154000000000001</v>
      </c>
      <c r="I270" s="221">
        <f t="shared" si="390"/>
        <v>3.1320000000000001</v>
      </c>
      <c r="J270" s="551">
        <f t="shared" si="356"/>
        <v>16</v>
      </c>
      <c r="K270" s="451">
        <f t="shared" si="357"/>
        <v>16.399999999999999</v>
      </c>
      <c r="L270" s="451">
        <f t="shared" si="358"/>
        <v>32.4</v>
      </c>
      <c r="M270" s="451"/>
      <c r="N270" s="221">
        <f t="shared" si="359"/>
        <v>0.50617283950617287</v>
      </c>
      <c r="O270" s="176">
        <f t="shared" si="391"/>
        <v>7.9020200379095593</v>
      </c>
      <c r="P270" s="176">
        <f t="shared" si="392"/>
        <v>13.312578938385389</v>
      </c>
      <c r="Q270" s="221">
        <f t="shared" si="362"/>
        <v>0.50980774438126186</v>
      </c>
      <c r="R270" s="221">
        <f t="shared" si="393"/>
        <v>0.98775250473869491</v>
      </c>
      <c r="S270" s="221">
        <f t="shared" si="394"/>
        <v>15.5</v>
      </c>
      <c r="T270" s="221">
        <f t="shared" si="395"/>
        <v>1.823981707317073</v>
      </c>
      <c r="U270" s="221">
        <f t="shared" si="366"/>
        <v>1.0259897103658535</v>
      </c>
      <c r="V270" s="221">
        <f t="shared" si="367"/>
        <v>1.0009655710886378</v>
      </c>
      <c r="W270" s="201">
        <f t="shared" si="368"/>
        <v>350</v>
      </c>
      <c r="X270" s="451">
        <f t="shared" si="369"/>
        <v>350</v>
      </c>
      <c r="Z270" s="221">
        <f t="shared" si="370"/>
        <v>2.5710366451107194</v>
      </c>
      <c r="AA270" s="177">
        <f t="shared" si="371"/>
        <v>1.4109347442680777</v>
      </c>
      <c r="AB270" s="177">
        <f t="shared" si="396"/>
        <v>0.33571919968049235</v>
      </c>
      <c r="AC270" s="177"/>
      <c r="AD270" s="177">
        <f t="shared" si="373"/>
        <v>0.45</v>
      </c>
      <c r="AE270" s="555">
        <f t="shared" si="397"/>
        <v>1229.2682926829268</v>
      </c>
      <c r="AF270" s="538">
        <f t="shared" si="398"/>
        <v>6.4574999999999994E-2</v>
      </c>
      <c r="AH270" s="177">
        <f t="shared" si="399"/>
        <v>2.0544029372475663</v>
      </c>
      <c r="AI270" s="177">
        <f t="shared" si="400"/>
        <v>2.0544029372475663</v>
      </c>
      <c r="AJ270" s="177">
        <f t="shared" si="401"/>
        <v>2.1143725461093084</v>
      </c>
      <c r="AL270" s="555">
        <f t="shared" si="402"/>
        <v>226.8</v>
      </c>
      <c r="AM270" s="469">
        <f t="shared" si="403"/>
        <v>350</v>
      </c>
      <c r="AO270">
        <f t="shared" si="381"/>
        <v>226.8</v>
      </c>
      <c r="AP270">
        <f t="shared" si="382"/>
        <v>350</v>
      </c>
      <c r="AR270" s="5">
        <f t="shared" si="406"/>
        <v>2.8571428571428572</v>
      </c>
      <c r="AS270" s="5">
        <f t="shared" si="385"/>
        <v>1.155601652201756</v>
      </c>
      <c r="AT270" s="5">
        <f t="shared" si="386"/>
        <v>1.7015412049411012</v>
      </c>
      <c r="AU270" s="177">
        <f t="shared" si="387"/>
        <v>0.4044605782706146</v>
      </c>
      <c r="CI270" s="571">
        <f t="shared" si="404"/>
        <v>-50</v>
      </c>
    </row>
    <row r="271" spans="5:87" x14ac:dyDescent="0.2">
      <c r="E271" s="174">
        <v>55</v>
      </c>
      <c r="F271" s="221">
        <f t="shared" si="405"/>
        <v>0.23100000000000001</v>
      </c>
      <c r="G271" s="221">
        <f t="shared" si="388"/>
        <v>0.39874999999999999</v>
      </c>
      <c r="H271" s="221">
        <f t="shared" si="389"/>
        <v>3.5805000000000002</v>
      </c>
      <c r="I271" s="221">
        <f t="shared" si="390"/>
        <v>3.19</v>
      </c>
      <c r="J271" s="551">
        <f t="shared" si="356"/>
        <v>16</v>
      </c>
      <c r="K271" s="451">
        <f t="shared" si="357"/>
        <v>16.399999999999999</v>
      </c>
      <c r="L271" s="451">
        <f t="shared" si="358"/>
        <v>32.4</v>
      </c>
      <c r="M271" s="451"/>
      <c r="N271" s="221">
        <f t="shared" si="359"/>
        <v>0.50617283950617287</v>
      </c>
      <c r="O271" s="176">
        <f t="shared" si="391"/>
        <v>7.9020200379095593</v>
      </c>
      <c r="P271" s="176">
        <f t="shared" si="392"/>
        <v>13.312578938385389</v>
      </c>
      <c r="Q271" s="221">
        <f t="shared" si="362"/>
        <v>0.50980774438126186</v>
      </c>
      <c r="R271" s="221">
        <f t="shared" si="393"/>
        <v>0.98775250473869491</v>
      </c>
      <c r="S271" s="221">
        <f t="shared" si="394"/>
        <v>15.5</v>
      </c>
      <c r="T271" s="221">
        <f t="shared" si="395"/>
        <v>1.8577591463414633</v>
      </c>
      <c r="U271" s="221">
        <f t="shared" si="366"/>
        <v>1.0449895198170731</v>
      </c>
      <c r="V271" s="221">
        <f t="shared" si="367"/>
        <v>1.0195019705532422</v>
      </c>
      <c r="W271" s="201">
        <f t="shared" si="368"/>
        <v>350</v>
      </c>
      <c r="X271" s="451">
        <f t="shared" si="369"/>
        <v>350</v>
      </c>
      <c r="Z271" s="221">
        <f t="shared" si="370"/>
        <v>2.5710366451107194</v>
      </c>
      <c r="AA271" s="177">
        <f t="shared" si="371"/>
        <v>1.4109347442680777</v>
      </c>
      <c r="AB271" s="177">
        <f t="shared" si="396"/>
        <v>0.33571919968049235</v>
      </c>
      <c r="AC271" s="177"/>
      <c r="AD271" s="177">
        <f t="shared" si="373"/>
        <v>0.45</v>
      </c>
      <c r="AE271" s="555">
        <f t="shared" si="397"/>
        <v>1252.0325203252034</v>
      </c>
      <c r="AF271" s="538">
        <f t="shared" si="398"/>
        <v>6.4574999999999994E-2</v>
      </c>
      <c r="AH271" s="177">
        <f t="shared" si="399"/>
        <v>2.073337926805507</v>
      </c>
      <c r="AI271" s="177">
        <f t="shared" si="400"/>
        <v>2.073337926805507</v>
      </c>
      <c r="AJ271" s="177">
        <f t="shared" si="401"/>
        <v>2.1283984643003757</v>
      </c>
      <c r="AL271" s="555">
        <f t="shared" si="402"/>
        <v>231</v>
      </c>
      <c r="AM271" s="469">
        <f t="shared" si="403"/>
        <v>350</v>
      </c>
      <c r="AO271">
        <f t="shared" si="381"/>
        <v>231</v>
      </c>
      <c r="AP271">
        <f t="shared" si="382"/>
        <v>350</v>
      </c>
      <c r="AR271" s="5">
        <f t="shared" si="406"/>
        <v>2.8571428571428572</v>
      </c>
      <c r="AS271" s="5">
        <f t="shared" si="385"/>
        <v>1.1662525838280977</v>
      </c>
      <c r="AT271" s="5">
        <f t="shared" si="386"/>
        <v>1.6908902733147595</v>
      </c>
      <c r="AU271" s="177">
        <f t="shared" si="387"/>
        <v>0.40818840433983417</v>
      </c>
      <c r="CI271" s="571">
        <f t="shared" si="404"/>
        <v>-50</v>
      </c>
    </row>
    <row r="272" spans="5:87" x14ac:dyDescent="0.2">
      <c r="E272" s="174">
        <v>56</v>
      </c>
      <c r="F272" s="221">
        <f t="shared" si="405"/>
        <v>0.23520000000000002</v>
      </c>
      <c r="G272" s="221">
        <f t="shared" si="388"/>
        <v>0.40600000000000003</v>
      </c>
      <c r="H272" s="221">
        <f t="shared" si="389"/>
        <v>3.6456000000000004</v>
      </c>
      <c r="I272" s="221">
        <f t="shared" si="390"/>
        <v>3.2480000000000002</v>
      </c>
      <c r="J272" s="551">
        <f t="shared" si="356"/>
        <v>16</v>
      </c>
      <c r="K272" s="451">
        <f t="shared" si="357"/>
        <v>16.399999999999999</v>
      </c>
      <c r="L272" s="451">
        <f t="shared" si="358"/>
        <v>32.4</v>
      </c>
      <c r="M272" s="451"/>
      <c r="N272" s="221">
        <f t="shared" si="359"/>
        <v>0.50617283950617287</v>
      </c>
      <c r="O272" s="176">
        <f t="shared" si="391"/>
        <v>7.9020200379095593</v>
      </c>
      <c r="P272" s="176">
        <f t="shared" si="392"/>
        <v>13.312578938385389</v>
      </c>
      <c r="Q272" s="221">
        <f t="shared" si="362"/>
        <v>0.50980774438126186</v>
      </c>
      <c r="R272" s="221">
        <f t="shared" si="393"/>
        <v>0.98775250473869491</v>
      </c>
      <c r="S272" s="221">
        <f t="shared" si="394"/>
        <v>15.5</v>
      </c>
      <c r="T272" s="221">
        <f t="shared" si="395"/>
        <v>1.8915365853658537</v>
      </c>
      <c r="U272" s="221">
        <f t="shared" si="366"/>
        <v>1.0639893292682927</v>
      </c>
      <c r="V272" s="221">
        <f t="shared" si="367"/>
        <v>1.0380383700178464</v>
      </c>
      <c r="W272" s="201">
        <f t="shared" si="368"/>
        <v>350</v>
      </c>
      <c r="X272" s="451">
        <f t="shared" si="369"/>
        <v>350</v>
      </c>
      <c r="Z272" s="221">
        <f t="shared" si="370"/>
        <v>2.5710366451107194</v>
      </c>
      <c r="AA272" s="177">
        <f t="shared" si="371"/>
        <v>1.4109347442680777</v>
      </c>
      <c r="AB272" s="177">
        <f t="shared" si="396"/>
        <v>0.33571919968049235</v>
      </c>
      <c r="AC272" s="177"/>
      <c r="AD272" s="177">
        <f t="shared" si="373"/>
        <v>0.45</v>
      </c>
      <c r="AE272" s="555">
        <f t="shared" si="397"/>
        <v>1274.7967479674799</v>
      </c>
      <c r="AF272" s="538">
        <f t="shared" si="398"/>
        <v>6.4574999999999994E-2</v>
      </c>
      <c r="AH272" s="177">
        <f t="shared" si="399"/>
        <v>2.0921015484170193</v>
      </c>
      <c r="AI272" s="177">
        <f t="shared" si="400"/>
        <v>2.0921015484170193</v>
      </c>
      <c r="AJ272" s="177">
        <f t="shared" si="401"/>
        <v>2.1422974432718664</v>
      </c>
      <c r="AL272" s="555">
        <f t="shared" si="402"/>
        <v>235.20000000000002</v>
      </c>
      <c r="AM272" s="469">
        <f t="shared" si="403"/>
        <v>350</v>
      </c>
      <c r="AO272">
        <f t="shared" si="381"/>
        <v>235.20000000000002</v>
      </c>
      <c r="AP272">
        <f t="shared" si="382"/>
        <v>350</v>
      </c>
      <c r="AR272" s="5">
        <f t="shared" si="406"/>
        <v>2.8571428571428572</v>
      </c>
      <c r="AS272" s="5">
        <f t="shared" si="385"/>
        <v>1.1768071209845734</v>
      </c>
      <c r="AT272" s="5">
        <f t="shared" si="386"/>
        <v>1.6803357361582838</v>
      </c>
      <c r="AU272" s="177">
        <f t="shared" si="387"/>
        <v>0.41188249234460067</v>
      </c>
      <c r="CI272" s="571">
        <f t="shared" si="404"/>
        <v>-50</v>
      </c>
    </row>
    <row r="273" spans="5:87" x14ac:dyDescent="0.2">
      <c r="E273" s="174">
        <v>57</v>
      </c>
      <c r="F273" s="221">
        <f t="shared" si="405"/>
        <v>0.23939999999999997</v>
      </c>
      <c r="G273" s="221">
        <f t="shared" si="388"/>
        <v>0.41324999999999995</v>
      </c>
      <c r="H273" s="221">
        <f t="shared" si="389"/>
        <v>3.7106999999999997</v>
      </c>
      <c r="I273" s="221">
        <f t="shared" si="390"/>
        <v>3.3059999999999996</v>
      </c>
      <c r="J273" s="551">
        <f t="shared" si="356"/>
        <v>16</v>
      </c>
      <c r="K273" s="451">
        <f t="shared" si="357"/>
        <v>16.399999999999999</v>
      </c>
      <c r="L273" s="451">
        <f t="shared" si="358"/>
        <v>32.4</v>
      </c>
      <c r="M273" s="451"/>
      <c r="N273" s="221">
        <f t="shared" si="359"/>
        <v>0.50617283950617287</v>
      </c>
      <c r="O273" s="176">
        <f t="shared" si="391"/>
        <v>7.9020200379095593</v>
      </c>
      <c r="P273" s="176">
        <f t="shared" si="392"/>
        <v>13.312578938385389</v>
      </c>
      <c r="Q273" s="221">
        <f t="shared" si="362"/>
        <v>0.50980774438126186</v>
      </c>
      <c r="R273" s="221">
        <f t="shared" si="393"/>
        <v>0.98775250473869491</v>
      </c>
      <c r="S273" s="221">
        <f t="shared" si="394"/>
        <v>15.5</v>
      </c>
      <c r="T273" s="221">
        <f t="shared" si="395"/>
        <v>1.9253140243902436</v>
      </c>
      <c r="U273" s="221">
        <f t="shared" si="366"/>
        <v>1.0829891387195119</v>
      </c>
      <c r="V273" s="221">
        <f t="shared" si="367"/>
        <v>1.0565747694824508</v>
      </c>
      <c r="W273" s="201">
        <f t="shared" si="368"/>
        <v>350</v>
      </c>
      <c r="X273" s="451">
        <f t="shared" si="369"/>
        <v>350</v>
      </c>
      <c r="Z273" s="221">
        <f t="shared" si="370"/>
        <v>2.5710366451107194</v>
      </c>
      <c r="AA273" s="177">
        <f t="shared" si="371"/>
        <v>1.4109347442680777</v>
      </c>
      <c r="AB273" s="177">
        <f t="shared" si="396"/>
        <v>0.33571919968049235</v>
      </c>
      <c r="AC273" s="177"/>
      <c r="AD273" s="177">
        <f t="shared" si="373"/>
        <v>0.45</v>
      </c>
      <c r="AE273" s="555">
        <f t="shared" si="397"/>
        <v>1297.560975609756</v>
      </c>
      <c r="AF273" s="538">
        <f t="shared" si="398"/>
        <v>6.4574999999999994E-2</v>
      </c>
      <c r="AH273" s="177">
        <f t="shared" si="399"/>
        <v>2.1106983723515822</v>
      </c>
      <c r="AI273" s="177">
        <f t="shared" si="400"/>
        <v>2.1106983723515822</v>
      </c>
      <c r="AJ273" s="177">
        <f t="shared" si="401"/>
        <v>2.1560728684085797</v>
      </c>
      <c r="AL273" s="555">
        <f t="shared" si="402"/>
        <v>239.39999999999998</v>
      </c>
      <c r="AM273" s="469">
        <f t="shared" si="403"/>
        <v>350</v>
      </c>
      <c r="AO273">
        <f t="shared" si="381"/>
        <v>239.39999999999998</v>
      </c>
      <c r="AP273">
        <f t="shared" si="382"/>
        <v>350</v>
      </c>
      <c r="AR273" s="5">
        <f t="shared" si="406"/>
        <v>2.8571428571428572</v>
      </c>
      <c r="AS273" s="5">
        <f t="shared" si="385"/>
        <v>1.187267834447765</v>
      </c>
      <c r="AT273" s="5">
        <f t="shared" si="386"/>
        <v>1.6698750226950922</v>
      </c>
      <c r="AU273" s="177">
        <f t="shared" si="387"/>
        <v>0.41554374205671774</v>
      </c>
      <c r="CI273" s="571">
        <f t="shared" si="404"/>
        <v>-50</v>
      </c>
    </row>
    <row r="274" spans="5:87" x14ac:dyDescent="0.2">
      <c r="E274" s="174">
        <v>58</v>
      </c>
      <c r="F274" s="221">
        <f t="shared" si="405"/>
        <v>0.24359999999999998</v>
      </c>
      <c r="G274" s="221">
        <f t="shared" si="388"/>
        <v>0.42049999999999998</v>
      </c>
      <c r="H274" s="221">
        <f t="shared" si="389"/>
        <v>3.7757999999999998</v>
      </c>
      <c r="I274" s="221">
        <f t="shared" si="390"/>
        <v>3.3639999999999999</v>
      </c>
      <c r="J274" s="551">
        <f t="shared" si="356"/>
        <v>16</v>
      </c>
      <c r="K274" s="451">
        <f t="shared" si="357"/>
        <v>16.399999999999999</v>
      </c>
      <c r="L274" s="451">
        <f t="shared" si="358"/>
        <v>32.4</v>
      </c>
      <c r="M274" s="451"/>
      <c r="N274" s="221">
        <f t="shared" si="359"/>
        <v>0.50617283950617287</v>
      </c>
      <c r="O274" s="176">
        <f t="shared" si="391"/>
        <v>7.9020200379095593</v>
      </c>
      <c r="P274" s="176">
        <f t="shared" si="392"/>
        <v>13.312578938385389</v>
      </c>
      <c r="Q274" s="221">
        <f t="shared" si="362"/>
        <v>0.50980774438126186</v>
      </c>
      <c r="R274" s="221">
        <f t="shared" si="393"/>
        <v>0.98775250473869491</v>
      </c>
      <c r="S274" s="221">
        <f t="shared" si="394"/>
        <v>15.5</v>
      </c>
      <c r="T274" s="221">
        <f t="shared" si="395"/>
        <v>1.9590914634146337</v>
      </c>
      <c r="U274" s="221">
        <f t="shared" si="366"/>
        <v>1.1019889481707315</v>
      </c>
      <c r="V274" s="221">
        <f t="shared" si="367"/>
        <v>1.0751111689470552</v>
      </c>
      <c r="W274" s="201">
        <f t="shared" si="368"/>
        <v>350</v>
      </c>
      <c r="X274" s="451">
        <f t="shared" si="369"/>
        <v>350</v>
      </c>
      <c r="Z274" s="221">
        <f t="shared" si="370"/>
        <v>2.5710366451107194</v>
      </c>
      <c r="AA274" s="177">
        <f t="shared" si="371"/>
        <v>1.4109347442680777</v>
      </c>
      <c r="AB274" s="177">
        <f t="shared" si="396"/>
        <v>0.33571919968049235</v>
      </c>
      <c r="AC274" s="177"/>
      <c r="AD274" s="177">
        <f t="shared" si="373"/>
        <v>0.45</v>
      </c>
      <c r="AE274" s="555">
        <f t="shared" si="397"/>
        <v>1320.3252032520325</v>
      </c>
      <c r="AF274" s="538">
        <f t="shared" si="398"/>
        <v>6.4574999999999994E-2</v>
      </c>
      <c r="AH274" s="177">
        <f t="shared" si="399"/>
        <v>2.1291327692763429</v>
      </c>
      <c r="AI274" s="177">
        <f t="shared" si="400"/>
        <v>2.1291327692763429</v>
      </c>
      <c r="AJ274" s="177">
        <f t="shared" si="401"/>
        <v>2.1697279772417355</v>
      </c>
      <c r="AL274" s="555">
        <f t="shared" si="402"/>
        <v>243.6</v>
      </c>
      <c r="AM274" s="469">
        <f t="shared" si="403"/>
        <v>350</v>
      </c>
      <c r="AO274">
        <f t="shared" si="381"/>
        <v>243.6</v>
      </c>
      <c r="AP274">
        <f t="shared" si="382"/>
        <v>350</v>
      </c>
      <c r="AR274" s="5">
        <f t="shared" si="406"/>
        <v>2.8571428571428572</v>
      </c>
      <c r="AS274" s="5">
        <f t="shared" si="385"/>
        <v>1.1976371827179431</v>
      </c>
      <c r="AT274" s="5">
        <f t="shared" si="386"/>
        <v>1.6595056744249141</v>
      </c>
      <c r="AU274" s="177">
        <f t="shared" si="387"/>
        <v>0.41917301395128004</v>
      </c>
      <c r="CI274" s="571">
        <f t="shared" si="404"/>
        <v>-50</v>
      </c>
    </row>
    <row r="275" spans="5:87" x14ac:dyDescent="0.2">
      <c r="E275" s="174">
        <v>59</v>
      </c>
      <c r="F275" s="221">
        <f t="shared" si="405"/>
        <v>0.24779999999999996</v>
      </c>
      <c r="G275" s="221">
        <f t="shared" si="388"/>
        <v>0.42774999999999996</v>
      </c>
      <c r="H275" s="221">
        <f t="shared" si="389"/>
        <v>3.8408999999999995</v>
      </c>
      <c r="I275" s="221">
        <f t="shared" si="390"/>
        <v>3.4219999999999997</v>
      </c>
      <c r="J275" s="551">
        <f t="shared" si="356"/>
        <v>16</v>
      </c>
      <c r="K275" s="451">
        <f t="shared" si="357"/>
        <v>16.399999999999999</v>
      </c>
      <c r="L275" s="451">
        <f t="shared" si="358"/>
        <v>32.4</v>
      </c>
      <c r="M275" s="451"/>
      <c r="N275" s="221">
        <f t="shared" si="359"/>
        <v>0.50617283950617287</v>
      </c>
      <c r="O275" s="176">
        <f t="shared" si="391"/>
        <v>7.9020200379095593</v>
      </c>
      <c r="P275" s="176">
        <f t="shared" si="392"/>
        <v>13.312578938385389</v>
      </c>
      <c r="Q275" s="221">
        <f t="shared" si="362"/>
        <v>0.50980774438126186</v>
      </c>
      <c r="R275" s="221">
        <f t="shared" si="393"/>
        <v>0.98775250473869491</v>
      </c>
      <c r="S275" s="221">
        <f t="shared" si="394"/>
        <v>15.5</v>
      </c>
      <c r="T275" s="221">
        <f t="shared" si="395"/>
        <v>1.992868902439024</v>
      </c>
      <c r="U275" s="221">
        <f t="shared" si="366"/>
        <v>1.120988757621951</v>
      </c>
      <c r="V275" s="221">
        <f t="shared" si="367"/>
        <v>1.0936475684116598</v>
      </c>
      <c r="W275" s="201">
        <f t="shared" si="368"/>
        <v>350</v>
      </c>
      <c r="X275" s="451">
        <f t="shared" si="369"/>
        <v>350</v>
      </c>
      <c r="Z275" s="221">
        <f t="shared" si="370"/>
        <v>2.5710366451107194</v>
      </c>
      <c r="AA275" s="177">
        <f t="shared" si="371"/>
        <v>1.4109347442680777</v>
      </c>
      <c r="AB275" s="177">
        <f t="shared" si="396"/>
        <v>0.33571919968049235</v>
      </c>
      <c r="AC275" s="177"/>
      <c r="AD275" s="177">
        <f t="shared" si="373"/>
        <v>0.45</v>
      </c>
      <c r="AE275" s="555">
        <f t="shared" si="397"/>
        <v>1343.0894308943084</v>
      </c>
      <c r="AF275" s="538">
        <f t="shared" si="398"/>
        <v>6.4574999999999994E-2</v>
      </c>
      <c r="AH275" s="177">
        <f t="shared" si="399"/>
        <v>2.1474089222514374</v>
      </c>
      <c r="AI275" s="177">
        <f t="shared" si="400"/>
        <v>2.1474089222514374</v>
      </c>
      <c r="AJ275" s="177">
        <f t="shared" si="401"/>
        <v>2.1832658683343982</v>
      </c>
      <c r="AL275" s="555">
        <f t="shared" si="402"/>
        <v>247.79999999999995</v>
      </c>
      <c r="AM275" s="469">
        <f t="shared" si="403"/>
        <v>350</v>
      </c>
      <c r="AO275">
        <f t="shared" si="381"/>
        <v>247.79999999999995</v>
      </c>
      <c r="AP275">
        <f t="shared" si="382"/>
        <v>350</v>
      </c>
      <c r="AR275" s="5">
        <f t="shared" si="406"/>
        <v>2.8571428571428572</v>
      </c>
      <c r="AS275" s="5">
        <f t="shared" si="385"/>
        <v>1.2079175187664337</v>
      </c>
      <c r="AT275" s="5">
        <f t="shared" si="386"/>
        <v>1.6492253383764235</v>
      </c>
      <c r="AU275" s="177">
        <f t="shared" si="387"/>
        <v>0.4227711315682518</v>
      </c>
      <c r="CI275" s="571">
        <f t="shared" si="404"/>
        <v>-50</v>
      </c>
    </row>
    <row r="276" spans="5:87" x14ac:dyDescent="0.2">
      <c r="E276" s="174">
        <v>60</v>
      </c>
      <c r="F276" s="221">
        <f t="shared" si="405"/>
        <v>0.252</v>
      </c>
      <c r="G276" s="221">
        <f t="shared" si="388"/>
        <v>0.435</v>
      </c>
      <c r="H276" s="221">
        <f t="shared" si="389"/>
        <v>3.9060000000000001</v>
      </c>
      <c r="I276" s="221">
        <f t="shared" si="390"/>
        <v>3.48</v>
      </c>
      <c r="J276" s="551">
        <f t="shared" si="356"/>
        <v>16</v>
      </c>
      <c r="K276" s="451">
        <f t="shared" si="357"/>
        <v>16.399999999999999</v>
      </c>
      <c r="L276" s="451">
        <f t="shared" si="358"/>
        <v>32.4</v>
      </c>
      <c r="M276" s="451"/>
      <c r="N276" s="221">
        <f t="shared" si="359"/>
        <v>0.50617283950617287</v>
      </c>
      <c r="O276" s="176">
        <f t="shared" si="391"/>
        <v>7.9020200379095593</v>
      </c>
      <c r="P276" s="176">
        <f t="shared" si="392"/>
        <v>13.312578938385389</v>
      </c>
      <c r="Q276" s="221">
        <f t="shared" si="362"/>
        <v>0.50980774438126186</v>
      </c>
      <c r="R276" s="221">
        <f t="shared" si="393"/>
        <v>0.98775250473869491</v>
      </c>
      <c r="S276" s="221">
        <f t="shared" si="394"/>
        <v>15.5</v>
      </c>
      <c r="T276" s="221">
        <f t="shared" si="395"/>
        <v>2.0266463414634144</v>
      </c>
      <c r="U276" s="221">
        <f t="shared" si="366"/>
        <v>1.1399885670731706</v>
      </c>
      <c r="V276" s="221">
        <f t="shared" si="367"/>
        <v>1.1121839678762639</v>
      </c>
      <c r="W276" s="201">
        <f t="shared" si="368"/>
        <v>350</v>
      </c>
      <c r="X276" s="451">
        <f t="shared" si="369"/>
        <v>350</v>
      </c>
      <c r="Z276" s="221">
        <f t="shared" si="370"/>
        <v>2.5710366451107194</v>
      </c>
      <c r="AA276" s="177">
        <f t="shared" si="371"/>
        <v>1.4109347442680777</v>
      </c>
      <c r="AB276" s="177">
        <f t="shared" si="396"/>
        <v>0.33571919968049235</v>
      </c>
      <c r="AC276" s="177"/>
      <c r="AD276" s="177">
        <f t="shared" si="373"/>
        <v>0.45</v>
      </c>
      <c r="AE276" s="555">
        <f t="shared" si="397"/>
        <v>1365.8536585365855</v>
      </c>
      <c r="AF276" s="538">
        <f t="shared" si="398"/>
        <v>6.4574999999999994E-2</v>
      </c>
      <c r="AH276" s="177">
        <f t="shared" si="399"/>
        <v>2.1655308378140936</v>
      </c>
      <c r="AI276" s="177">
        <f t="shared" si="400"/>
        <v>2.1655308378140936</v>
      </c>
      <c r="AJ276" s="177">
        <f t="shared" si="401"/>
        <v>2.1966895094919212</v>
      </c>
      <c r="AL276" s="555">
        <f t="shared" si="402"/>
        <v>252</v>
      </c>
      <c r="AM276" s="469">
        <f t="shared" si="403"/>
        <v>350</v>
      </c>
      <c r="AO276">
        <f t="shared" si="381"/>
        <v>252</v>
      </c>
      <c r="AP276">
        <f t="shared" si="382"/>
        <v>350</v>
      </c>
      <c r="AR276" s="5">
        <f t="shared" si="406"/>
        <v>2.8571428571428572</v>
      </c>
      <c r="AS276" s="5">
        <f t="shared" si="385"/>
        <v>1.2181110962704276</v>
      </c>
      <c r="AT276" s="5">
        <f t="shared" si="386"/>
        <v>1.6390317608724296</v>
      </c>
      <c r="AU276" s="177">
        <f t="shared" si="387"/>
        <v>0.42633888369464962</v>
      </c>
      <c r="CI276" s="571">
        <f t="shared" si="404"/>
        <v>-50</v>
      </c>
    </row>
    <row r="277" spans="5:87" x14ac:dyDescent="0.2">
      <c r="E277" s="174">
        <v>61</v>
      </c>
      <c r="F277" s="221">
        <f t="shared" si="405"/>
        <v>0.25619999999999998</v>
      </c>
      <c r="G277" s="221">
        <f t="shared" si="388"/>
        <v>0.44224999999999998</v>
      </c>
      <c r="H277" s="221">
        <f t="shared" si="389"/>
        <v>3.9710999999999999</v>
      </c>
      <c r="I277" s="221">
        <f t="shared" si="390"/>
        <v>3.5379999999999998</v>
      </c>
      <c r="J277" s="551">
        <f t="shared" si="356"/>
        <v>16</v>
      </c>
      <c r="K277" s="451">
        <f t="shared" si="357"/>
        <v>16.399999999999999</v>
      </c>
      <c r="L277" s="451">
        <f t="shared" si="358"/>
        <v>32.4</v>
      </c>
      <c r="M277" s="451"/>
      <c r="N277" s="221">
        <f t="shared" si="359"/>
        <v>0.50617283950617287</v>
      </c>
      <c r="O277" s="176">
        <f t="shared" si="391"/>
        <v>7.9020200379095593</v>
      </c>
      <c r="P277" s="176">
        <f t="shared" si="392"/>
        <v>13.312578938385389</v>
      </c>
      <c r="Q277" s="221">
        <f t="shared" si="362"/>
        <v>0.50980774438126186</v>
      </c>
      <c r="R277" s="221">
        <f t="shared" si="393"/>
        <v>0.98775250473869491</v>
      </c>
      <c r="S277" s="221">
        <f t="shared" si="394"/>
        <v>15.5</v>
      </c>
      <c r="T277" s="221">
        <f t="shared" si="395"/>
        <v>2.0604237804878047</v>
      </c>
      <c r="U277" s="221">
        <f t="shared" si="366"/>
        <v>1.1589883765243902</v>
      </c>
      <c r="V277" s="221">
        <f t="shared" si="367"/>
        <v>1.1307203673408686</v>
      </c>
      <c r="W277" s="201">
        <f t="shared" si="368"/>
        <v>350</v>
      </c>
      <c r="X277" s="451">
        <f t="shared" si="369"/>
        <v>350</v>
      </c>
      <c r="Z277" s="221">
        <f t="shared" si="370"/>
        <v>2.5710366451107194</v>
      </c>
      <c r="AA277" s="177">
        <f t="shared" si="371"/>
        <v>1.4109347442680777</v>
      </c>
      <c r="AB277" s="177">
        <f t="shared" si="396"/>
        <v>0.33571919968049235</v>
      </c>
      <c r="AC277" s="177"/>
      <c r="AD277" s="177">
        <f t="shared" si="373"/>
        <v>0.45</v>
      </c>
      <c r="AE277" s="555">
        <f t="shared" si="397"/>
        <v>1388.6178861788619</v>
      </c>
      <c r="AF277" s="538">
        <f t="shared" si="398"/>
        <v>6.4574999999999994E-2</v>
      </c>
      <c r="AH277" s="177">
        <f t="shared" si="399"/>
        <v>2.1835023562347122</v>
      </c>
      <c r="AI277" s="177">
        <f t="shared" si="400"/>
        <v>2.1835023562347122</v>
      </c>
      <c r="AJ277" s="177">
        <f t="shared" si="401"/>
        <v>2.2100017453590461</v>
      </c>
      <c r="AL277" s="555">
        <f t="shared" si="402"/>
        <v>256.2</v>
      </c>
      <c r="AM277" s="469">
        <f t="shared" si="403"/>
        <v>350</v>
      </c>
      <c r="AO277">
        <f t="shared" si="381"/>
        <v>256.2</v>
      </c>
      <c r="AP277">
        <f t="shared" si="382"/>
        <v>350</v>
      </c>
      <c r="AR277" s="5">
        <f t="shared" si="406"/>
        <v>2.8571428571428572</v>
      </c>
      <c r="AS277" s="5">
        <f t="shared" si="385"/>
        <v>1.2282200753820256</v>
      </c>
      <c r="AT277" s="5">
        <f t="shared" si="386"/>
        <v>1.6289227817608316</v>
      </c>
      <c r="AU277" s="177">
        <f t="shared" si="387"/>
        <v>0.42987702638370895</v>
      </c>
      <c r="CI277" s="571">
        <f t="shared" si="404"/>
        <v>-50</v>
      </c>
    </row>
    <row r="278" spans="5:87" x14ac:dyDescent="0.2">
      <c r="E278" s="174">
        <v>62</v>
      </c>
      <c r="F278" s="221">
        <f t="shared" si="405"/>
        <v>0.26039999999999996</v>
      </c>
      <c r="G278" s="221">
        <f t="shared" si="388"/>
        <v>0.44950000000000001</v>
      </c>
      <c r="H278" s="221">
        <f t="shared" si="389"/>
        <v>4.0361999999999991</v>
      </c>
      <c r="I278" s="221">
        <f t="shared" si="390"/>
        <v>3.5960000000000001</v>
      </c>
      <c r="J278" s="551">
        <f t="shared" si="356"/>
        <v>16</v>
      </c>
      <c r="K278" s="451">
        <f t="shared" si="357"/>
        <v>16.399999999999999</v>
      </c>
      <c r="L278" s="451">
        <f t="shared" si="358"/>
        <v>32.4</v>
      </c>
      <c r="M278" s="451"/>
      <c r="N278" s="221">
        <f t="shared" si="359"/>
        <v>0.50617283950617287</v>
      </c>
      <c r="O278" s="176">
        <f t="shared" si="391"/>
        <v>7.9020200379095593</v>
      </c>
      <c r="P278" s="176">
        <f t="shared" si="392"/>
        <v>13.312578938385389</v>
      </c>
      <c r="Q278" s="221">
        <f t="shared" si="362"/>
        <v>0.50980774438126186</v>
      </c>
      <c r="R278" s="221">
        <f t="shared" si="393"/>
        <v>0.98775250473869491</v>
      </c>
      <c r="S278" s="221">
        <f t="shared" si="394"/>
        <v>15.5</v>
      </c>
      <c r="T278" s="221">
        <f t="shared" si="395"/>
        <v>2.0942012195121946</v>
      </c>
      <c r="U278" s="221">
        <f t="shared" si="366"/>
        <v>1.1779881859756096</v>
      </c>
      <c r="V278" s="221">
        <f t="shared" si="367"/>
        <v>1.149256766805473</v>
      </c>
      <c r="W278" s="201">
        <f t="shared" si="368"/>
        <v>350</v>
      </c>
      <c r="X278" s="451">
        <f t="shared" si="369"/>
        <v>350</v>
      </c>
      <c r="Z278" s="221">
        <f t="shared" si="370"/>
        <v>2.5710366451107194</v>
      </c>
      <c r="AA278" s="177">
        <f t="shared" si="371"/>
        <v>1.4109347442680777</v>
      </c>
      <c r="AB278" s="177">
        <f t="shared" si="396"/>
        <v>0.33571919968049235</v>
      </c>
      <c r="AC278" s="177"/>
      <c r="AD278" s="177">
        <f t="shared" si="373"/>
        <v>0.45</v>
      </c>
      <c r="AE278" s="555">
        <f t="shared" si="397"/>
        <v>1411.3821138211379</v>
      </c>
      <c r="AF278" s="538">
        <f t="shared" si="398"/>
        <v>6.4574999999999994E-2</v>
      </c>
      <c r="AH278" s="177">
        <f t="shared" si="399"/>
        <v>2.2013271610192953</v>
      </c>
      <c r="AI278" s="177">
        <f t="shared" si="400"/>
        <v>2.2013271610192953</v>
      </c>
      <c r="AJ278" s="177">
        <f t="shared" si="401"/>
        <v>2.2232053044587374</v>
      </c>
      <c r="AL278" s="555">
        <f t="shared" si="402"/>
        <v>260.39999999999998</v>
      </c>
      <c r="AM278" s="469">
        <f t="shared" si="403"/>
        <v>350</v>
      </c>
      <c r="AO278">
        <f t="shared" si="381"/>
        <v>260.39999999999998</v>
      </c>
      <c r="AP278">
        <f t="shared" si="382"/>
        <v>350</v>
      </c>
      <c r="AR278" s="5">
        <f t="shared" si="406"/>
        <v>2.8571428571428572</v>
      </c>
      <c r="AS278" s="5">
        <f t="shared" si="385"/>
        <v>1.2382465280733534</v>
      </c>
      <c r="AT278" s="5">
        <f t="shared" si="386"/>
        <v>1.6188963290695038</v>
      </c>
      <c r="AU278" s="177">
        <f t="shared" si="387"/>
        <v>0.43338628482567371</v>
      </c>
      <c r="CI278" s="571">
        <f t="shared" si="404"/>
        <v>-50</v>
      </c>
    </row>
    <row r="279" spans="5:87" x14ac:dyDescent="0.2">
      <c r="E279" s="174">
        <v>63</v>
      </c>
      <c r="F279" s="221">
        <f t="shared" si="405"/>
        <v>0.2646</v>
      </c>
      <c r="G279" s="221">
        <f t="shared" si="388"/>
        <v>0.45674999999999999</v>
      </c>
      <c r="H279" s="221">
        <f t="shared" si="389"/>
        <v>4.1013000000000002</v>
      </c>
      <c r="I279" s="221">
        <f t="shared" si="390"/>
        <v>3.6539999999999999</v>
      </c>
      <c r="J279" s="551">
        <f t="shared" si="356"/>
        <v>16</v>
      </c>
      <c r="K279" s="451">
        <f t="shared" si="357"/>
        <v>16.399999999999999</v>
      </c>
      <c r="L279" s="451">
        <f t="shared" si="358"/>
        <v>32.4</v>
      </c>
      <c r="M279" s="451"/>
      <c r="N279" s="221">
        <f t="shared" si="359"/>
        <v>0.50617283950617287</v>
      </c>
      <c r="O279" s="176">
        <f t="shared" si="391"/>
        <v>7.9020200379095593</v>
      </c>
      <c r="P279" s="176">
        <f t="shared" si="392"/>
        <v>13.312578938385389</v>
      </c>
      <c r="Q279" s="221">
        <f t="shared" si="362"/>
        <v>0.50980774438126186</v>
      </c>
      <c r="R279" s="221">
        <f t="shared" si="393"/>
        <v>0.98775250473869491</v>
      </c>
      <c r="S279" s="221">
        <f t="shared" si="394"/>
        <v>15.5</v>
      </c>
      <c r="T279" s="221">
        <f t="shared" si="395"/>
        <v>2.127978658536585</v>
      </c>
      <c r="U279" s="221">
        <f t="shared" si="366"/>
        <v>1.1969879954268292</v>
      </c>
      <c r="V279" s="221">
        <f t="shared" si="367"/>
        <v>1.1677931662700773</v>
      </c>
      <c r="W279" s="201">
        <f t="shared" si="368"/>
        <v>350</v>
      </c>
      <c r="X279" s="451">
        <f t="shared" si="369"/>
        <v>350</v>
      </c>
      <c r="Z279" s="221">
        <f t="shared" si="370"/>
        <v>2.5710366451107194</v>
      </c>
      <c r="AA279" s="177">
        <f t="shared" si="371"/>
        <v>1.4109347442680777</v>
      </c>
      <c r="AB279" s="177">
        <f t="shared" si="396"/>
        <v>0.33571919968049235</v>
      </c>
      <c r="AC279" s="177"/>
      <c r="AD279" s="177">
        <f t="shared" si="373"/>
        <v>0.45</v>
      </c>
      <c r="AE279" s="555">
        <f t="shared" si="397"/>
        <v>1434.1463414634147</v>
      </c>
      <c r="AF279" s="538">
        <f t="shared" si="398"/>
        <v>6.4574999999999994E-2</v>
      </c>
      <c r="AH279" s="177">
        <f t="shared" si="399"/>
        <v>2.2190087877248255</v>
      </c>
      <c r="AI279" s="177">
        <f t="shared" si="400"/>
        <v>2.2190087877248255</v>
      </c>
      <c r="AJ279" s="177">
        <f t="shared" si="401"/>
        <v>2.2363028057220928</v>
      </c>
      <c r="AL279" s="555">
        <f t="shared" si="402"/>
        <v>264.60000000000002</v>
      </c>
      <c r="AM279" s="469">
        <f t="shared" si="403"/>
        <v>350</v>
      </c>
      <c r="AO279">
        <f t="shared" si="381"/>
        <v>264.60000000000002</v>
      </c>
      <c r="AP279">
        <f t="shared" si="382"/>
        <v>350</v>
      </c>
      <c r="AR279" s="5">
        <f t="shared" si="406"/>
        <v>2.8571428571428572</v>
      </c>
      <c r="AS279" s="5">
        <f t="shared" si="385"/>
        <v>1.2481924430952143</v>
      </c>
      <c r="AT279" s="5">
        <f t="shared" si="386"/>
        <v>1.6089504140476429</v>
      </c>
      <c r="AU279" s="177">
        <f t="shared" si="387"/>
        <v>0.43686735508332497</v>
      </c>
      <c r="CI279" s="571">
        <f t="shared" si="404"/>
        <v>-50</v>
      </c>
    </row>
    <row r="280" spans="5:87" x14ac:dyDescent="0.2">
      <c r="E280" s="174">
        <v>64</v>
      </c>
      <c r="F280" s="221">
        <f t="shared" si="405"/>
        <v>0.26879999999999998</v>
      </c>
      <c r="G280" s="221">
        <f t="shared" ref="G280:G316" si="407">IF(PLOT_TYPE=1, E280/100*Iout2, min_I*EXP(Q280*rr/100))</f>
        <v>0.46399999999999997</v>
      </c>
      <c r="H280" s="221">
        <f t="shared" ref="H280:H316" si="408">F280*Vout</f>
        <v>4.1663999999999994</v>
      </c>
      <c r="I280" s="221">
        <f t="shared" ref="I280:I316" si="409">Vout2*G280</f>
        <v>3.7119999999999997</v>
      </c>
      <c r="J280" s="551">
        <f t="shared" ref="J280:J316" si="410">VIN_max</f>
        <v>16</v>
      </c>
      <c r="K280" s="451">
        <f t="shared" ref="K280:K316" si="411">(S280+Vfwd1)*Nps</f>
        <v>16.399999999999999</v>
      </c>
      <c r="L280" s="451">
        <f t="shared" ref="L280:L316" si="412">(Vout+Vfwd1)*Nps+J280</f>
        <v>32.4</v>
      </c>
      <c r="M280" s="451"/>
      <c r="N280" s="221">
        <f t="shared" ref="N280:N316" si="413">(Vout+Vfwd1)*Nps/((Vout+Vfwd1)*Nps+J280)</f>
        <v>0.50617283950617287</v>
      </c>
      <c r="O280" s="176">
        <f t="shared" ref="O280:O311" si="414">N280*J280*Isw_max*0.5*Efficiency*Pout/(Pout+Pout2)</f>
        <v>7.9020200379095593</v>
      </c>
      <c r="P280" s="176">
        <f t="shared" ref="P280:P316" si="415">N280*J280*Isw_max*0.5*Efficiency*(Pout2/Pout_total)</f>
        <v>13.312578938385389</v>
      </c>
      <c r="Q280" s="221">
        <f t="shared" ref="Q280:Q316" si="416">O280/Vout</f>
        <v>0.50980774438126186</v>
      </c>
      <c r="R280" s="221">
        <f t="shared" ref="R280:R316" si="417">O280/Vout2</f>
        <v>0.98775250473869491</v>
      </c>
      <c r="S280" s="221">
        <f t="shared" ref="S280:S316" si="418">MIN(Vout,O280/F280)</f>
        <v>15.5</v>
      </c>
      <c r="T280" s="221">
        <f t="shared" ref="T280:T316" si="419">MIN(2*(Vout*F280+Vout2*G280)/(Efficiency*J280*N280), Isw_max)</f>
        <v>2.1617560975609753</v>
      </c>
      <c r="U280" s="221">
        <f t="shared" ref="U280:U316" si="420">L*T280/J280*1000000</f>
        <v>1.2159878048780486</v>
      </c>
      <c r="V280" s="221">
        <f t="shared" ref="V280:V316" si="421">L*T280/K280*1000000</f>
        <v>1.1863295657346815</v>
      </c>
      <c r="W280" s="201">
        <f t="shared" ref="W280:W316" si="422">IF(1/((350000*L)*(1/J280+1/K280))&gt;Isw_min, 350, 0.001/((Isw_min*L)*(1/J280+1/K280)))</f>
        <v>350</v>
      </c>
      <c r="X280" s="451">
        <f t="shared" ref="X280:X316" si="423">MIN(1/(U280+V280)*1000, 350)</f>
        <v>350</v>
      </c>
      <c r="Z280" s="221">
        <f t="shared" ref="Z280:Z316" si="424">1/((W280*1000*L)*(1/J280+1/K280))</f>
        <v>2.5710366451107194</v>
      </c>
      <c r="AA280" s="177">
        <f t="shared" ref="AA280:AA316" si="425">L*Z280/K280*1000000</f>
        <v>1.4109347442680777</v>
      </c>
      <c r="AB280" s="177">
        <f t="shared" ref="AB280:AB311" si="426">0.5*AA280*Z280*Nps*W280/1000*(Pout/(Pout+Pout2))</f>
        <v>0.33571919968049235</v>
      </c>
      <c r="AC280" s="177"/>
      <c r="AD280" s="177">
        <f t="shared" ref="AD280:AD316" si="427">L*Isw_min/K280*1000000</f>
        <v>0.45</v>
      </c>
      <c r="AE280" s="555">
        <f t="shared" ref="AE280:AE311" si="428">MAX(10, F280/(0.5*AD280/1000000*Isw_min*Nps)/1000*Pout_total/Pout)</f>
        <v>1456.9105691056911</v>
      </c>
      <c r="AF280" s="538">
        <f t="shared" ref="AF280:AF316" si="429">0.5*AD280/1000000*Isw_min*Nps*W280*1000*(Pout/Pout_total)</f>
        <v>6.4574999999999994E-2</v>
      </c>
      <c r="AH280" s="177">
        <f t="shared" ref="AH280:AH316" si="430">SQRT((H280+I280)/(0.5*L*Fsw_DCM))</f>
        <v>2.2365506321473543</v>
      </c>
      <c r="AI280" s="177">
        <f t="shared" ref="AI280:AI311" si="431">MAX(IF(F280&gt;AB280,T280,AH280),Isw_min)</f>
        <v>2.2365506321473543</v>
      </c>
      <c r="AJ280" s="177">
        <f t="shared" ref="AJ280:AJ311" si="432">IF(F280&gt;AF280, (AI280-Isw_min)/1.08*0.8+1.2, AE280*0.2/350+1)</f>
        <v>2.2492967645535957</v>
      </c>
      <c r="AL280" s="555">
        <f t="shared" ref="AL280:AL316" si="433">F280*1000</f>
        <v>268.8</v>
      </c>
      <c r="AM280" s="469">
        <f t="shared" ref="AM280:AM316" si="434">IF(F280&gt;AF280, X280, AE280)</f>
        <v>350</v>
      </c>
      <c r="AO280">
        <f t="shared" ref="AO280:AO316" si="435">IF(H280&gt;O280, "",AL280)</f>
        <v>268.8</v>
      </c>
      <c r="AP280">
        <f t="shared" ref="AP280:AP316" si="436">IF(H280&gt;O280, "",AM280)</f>
        <v>350</v>
      </c>
      <c r="AR280" s="5">
        <f t="shared" si="406"/>
        <v>2.8571428571428572</v>
      </c>
      <c r="AS280" s="5">
        <f t="shared" si="385"/>
        <v>1.2580597305828869</v>
      </c>
      <c r="AT280" s="5">
        <f t="shared" si="386"/>
        <v>1.5990831265599703</v>
      </c>
      <c r="AU280" s="177">
        <f t="shared" si="387"/>
        <v>0.44032090570401039</v>
      </c>
      <c r="CI280" s="571">
        <f t="shared" ref="CI280:CI316" si="437">IF(ABS(F280-Ioutmax_Vinmax)&lt;Iout/200, AM280, -50)</f>
        <v>-50</v>
      </c>
    </row>
    <row r="281" spans="5:87" x14ac:dyDescent="0.2">
      <c r="E281" s="174">
        <v>65</v>
      </c>
      <c r="F281" s="221">
        <f t="shared" ref="F281:F312" si="438">IF(PLOT_TYPE=1, E281/100*Iout_max, min_I*EXP(O281*rr/100))</f>
        <v>0.27300000000000002</v>
      </c>
      <c r="G281" s="221">
        <f t="shared" si="407"/>
        <v>0.47125</v>
      </c>
      <c r="H281" s="221">
        <f t="shared" si="408"/>
        <v>4.2315000000000005</v>
      </c>
      <c r="I281" s="221">
        <f t="shared" si="409"/>
        <v>3.77</v>
      </c>
      <c r="J281" s="551">
        <f t="shared" si="410"/>
        <v>16</v>
      </c>
      <c r="K281" s="451">
        <f t="shared" si="411"/>
        <v>16.399999999999999</v>
      </c>
      <c r="L281" s="451">
        <f t="shared" si="412"/>
        <v>32.4</v>
      </c>
      <c r="M281" s="451"/>
      <c r="N281" s="221">
        <f t="shared" si="413"/>
        <v>0.50617283950617287</v>
      </c>
      <c r="O281" s="176">
        <f t="shared" si="414"/>
        <v>7.9020200379095593</v>
      </c>
      <c r="P281" s="176">
        <f t="shared" si="415"/>
        <v>13.312578938385389</v>
      </c>
      <c r="Q281" s="221">
        <f t="shared" si="416"/>
        <v>0.50980774438126186</v>
      </c>
      <c r="R281" s="221">
        <f t="shared" si="417"/>
        <v>0.98775250473869491</v>
      </c>
      <c r="S281" s="221">
        <f t="shared" si="418"/>
        <v>15.5</v>
      </c>
      <c r="T281" s="221">
        <f t="shared" si="419"/>
        <v>2.1955335365853657</v>
      </c>
      <c r="U281" s="221">
        <f t="shared" si="420"/>
        <v>1.2349876143292682</v>
      </c>
      <c r="V281" s="221">
        <f t="shared" si="421"/>
        <v>1.2048659651992861</v>
      </c>
      <c r="W281" s="201">
        <f t="shared" si="422"/>
        <v>350</v>
      </c>
      <c r="X281" s="451">
        <f t="shared" si="423"/>
        <v>350</v>
      </c>
      <c r="Z281" s="221">
        <f t="shared" si="424"/>
        <v>2.5710366451107194</v>
      </c>
      <c r="AA281" s="177">
        <f t="shared" si="425"/>
        <v>1.4109347442680777</v>
      </c>
      <c r="AB281" s="177">
        <f t="shared" si="426"/>
        <v>0.33571919968049235</v>
      </c>
      <c r="AC281" s="177"/>
      <c r="AD281" s="177">
        <f t="shared" si="427"/>
        <v>0.45</v>
      </c>
      <c r="AE281" s="555">
        <f t="shared" si="428"/>
        <v>1479.6747967479673</v>
      </c>
      <c r="AF281" s="538">
        <f t="shared" si="429"/>
        <v>6.4574999999999994E-2</v>
      </c>
      <c r="AH281" s="177">
        <f t="shared" si="430"/>
        <v>2.2539559579365034</v>
      </c>
      <c r="AI281" s="177">
        <f t="shared" si="431"/>
        <v>2.2539559579365034</v>
      </c>
      <c r="AJ281" s="177">
        <f t="shared" si="432"/>
        <v>2.2621895984714842</v>
      </c>
      <c r="AL281" s="555">
        <f t="shared" si="433"/>
        <v>273</v>
      </c>
      <c r="AM281" s="469">
        <f t="shared" si="434"/>
        <v>350</v>
      </c>
      <c r="AO281">
        <f t="shared" si="435"/>
        <v>273</v>
      </c>
      <c r="AP281">
        <f t="shared" si="436"/>
        <v>350</v>
      </c>
      <c r="AR281" s="5">
        <f t="shared" si="406"/>
        <v>2.8571428571428572</v>
      </c>
      <c r="AS281" s="5">
        <f t="shared" si="385"/>
        <v>1.267850226339283</v>
      </c>
      <c r="AT281" s="5">
        <f t="shared" si="386"/>
        <v>1.5892926308035742</v>
      </c>
      <c r="AU281" s="177">
        <f t="shared" si="387"/>
        <v>0.44374757921874902</v>
      </c>
      <c r="CI281" s="571">
        <f t="shared" si="437"/>
        <v>-50</v>
      </c>
    </row>
    <row r="282" spans="5:87" x14ac:dyDescent="0.2">
      <c r="E282" s="174">
        <v>66</v>
      </c>
      <c r="F282" s="221">
        <f t="shared" si="438"/>
        <v>0.2772</v>
      </c>
      <c r="G282" s="221">
        <f t="shared" si="407"/>
        <v>0.47849999999999998</v>
      </c>
      <c r="H282" s="221">
        <f t="shared" si="408"/>
        <v>4.2965999999999998</v>
      </c>
      <c r="I282" s="221">
        <f t="shared" si="409"/>
        <v>3.8279999999999998</v>
      </c>
      <c r="J282" s="551">
        <f t="shared" si="410"/>
        <v>16</v>
      </c>
      <c r="K282" s="451">
        <f t="shared" si="411"/>
        <v>16.399999999999999</v>
      </c>
      <c r="L282" s="451">
        <f t="shared" si="412"/>
        <v>32.4</v>
      </c>
      <c r="M282" s="451"/>
      <c r="N282" s="221">
        <f t="shared" si="413"/>
        <v>0.50617283950617287</v>
      </c>
      <c r="O282" s="176">
        <f t="shared" si="414"/>
        <v>7.9020200379095593</v>
      </c>
      <c r="P282" s="176">
        <f t="shared" si="415"/>
        <v>13.312578938385389</v>
      </c>
      <c r="Q282" s="221">
        <f t="shared" si="416"/>
        <v>0.50980774438126186</v>
      </c>
      <c r="R282" s="221">
        <f t="shared" si="417"/>
        <v>0.98775250473869491</v>
      </c>
      <c r="S282" s="221">
        <f t="shared" si="418"/>
        <v>15.5</v>
      </c>
      <c r="T282" s="221">
        <f t="shared" si="419"/>
        <v>2.2293109756097556</v>
      </c>
      <c r="U282" s="221">
        <f t="shared" si="420"/>
        <v>1.2539874237804876</v>
      </c>
      <c r="V282" s="221">
        <f t="shared" si="421"/>
        <v>1.2234023646638903</v>
      </c>
      <c r="W282" s="201">
        <f t="shared" si="422"/>
        <v>350</v>
      </c>
      <c r="X282" s="451">
        <f t="shared" si="423"/>
        <v>350</v>
      </c>
      <c r="Z282" s="221">
        <f t="shared" si="424"/>
        <v>2.5710366451107194</v>
      </c>
      <c r="AA282" s="177">
        <f t="shared" si="425"/>
        <v>1.4109347442680777</v>
      </c>
      <c r="AB282" s="177">
        <f t="shared" si="426"/>
        <v>0.33571919968049235</v>
      </c>
      <c r="AC282" s="177"/>
      <c r="AD282" s="177">
        <f t="shared" si="427"/>
        <v>0.45</v>
      </c>
      <c r="AE282" s="555">
        <f t="shared" si="428"/>
        <v>1502.4390243902437</v>
      </c>
      <c r="AF282" s="538">
        <f t="shared" si="429"/>
        <v>6.4574999999999994E-2</v>
      </c>
      <c r="AH282" s="177">
        <f t="shared" si="430"/>
        <v>2.2712279036847423</v>
      </c>
      <c r="AI282" s="177">
        <f t="shared" si="431"/>
        <v>2.2712279036847423</v>
      </c>
      <c r="AJ282" s="177">
        <f t="shared" si="432"/>
        <v>2.2749836323590684</v>
      </c>
      <c r="AL282" s="555">
        <f t="shared" si="433"/>
        <v>277.2</v>
      </c>
      <c r="AM282" s="469">
        <f t="shared" si="434"/>
        <v>350</v>
      </c>
      <c r="AO282">
        <f t="shared" si="435"/>
        <v>277.2</v>
      </c>
      <c r="AP282">
        <f t="shared" si="436"/>
        <v>350</v>
      </c>
      <c r="AR282" s="5">
        <f t="shared" si="406"/>
        <v>2.8571428571428572</v>
      </c>
      <c r="AS282" s="5">
        <f t="shared" si="385"/>
        <v>1.2775656958226675</v>
      </c>
      <c r="AT282" s="5">
        <f t="shared" si="386"/>
        <v>1.5795771613201897</v>
      </c>
      <c r="AU282" s="177">
        <f t="shared" si="387"/>
        <v>0.44714799353793361</v>
      </c>
      <c r="CI282" s="571">
        <f t="shared" si="437"/>
        <v>-50</v>
      </c>
    </row>
    <row r="283" spans="5:87" x14ac:dyDescent="0.2">
      <c r="E283" s="174">
        <v>67</v>
      </c>
      <c r="F283" s="221">
        <f t="shared" si="438"/>
        <v>0.28139999999999998</v>
      </c>
      <c r="G283" s="221">
        <f t="shared" si="407"/>
        <v>0.48575000000000002</v>
      </c>
      <c r="H283" s="221">
        <f t="shared" si="408"/>
        <v>4.3616999999999999</v>
      </c>
      <c r="I283" s="221">
        <f t="shared" si="409"/>
        <v>3.8860000000000001</v>
      </c>
      <c r="J283" s="551">
        <f t="shared" si="410"/>
        <v>16</v>
      </c>
      <c r="K283" s="451">
        <f t="shared" si="411"/>
        <v>16.399999999999999</v>
      </c>
      <c r="L283" s="451">
        <f t="shared" si="412"/>
        <v>32.4</v>
      </c>
      <c r="M283" s="451"/>
      <c r="N283" s="221">
        <f t="shared" si="413"/>
        <v>0.50617283950617287</v>
      </c>
      <c r="O283" s="176">
        <f t="shared" si="414"/>
        <v>7.9020200379095593</v>
      </c>
      <c r="P283" s="176">
        <f t="shared" si="415"/>
        <v>13.312578938385389</v>
      </c>
      <c r="Q283" s="221">
        <f t="shared" si="416"/>
        <v>0.50980774438126186</v>
      </c>
      <c r="R283" s="221">
        <f t="shared" si="417"/>
        <v>0.98775250473869491</v>
      </c>
      <c r="S283" s="221">
        <f t="shared" si="418"/>
        <v>15.5</v>
      </c>
      <c r="T283" s="221">
        <f t="shared" si="419"/>
        <v>2.2630884146341463</v>
      </c>
      <c r="U283" s="221">
        <f t="shared" si="420"/>
        <v>1.2729872332317074</v>
      </c>
      <c r="V283" s="221">
        <f t="shared" si="421"/>
        <v>1.2419387641284954</v>
      </c>
      <c r="W283" s="201">
        <f t="shared" si="422"/>
        <v>350</v>
      </c>
      <c r="X283" s="451">
        <f t="shared" si="423"/>
        <v>350</v>
      </c>
      <c r="Z283" s="221">
        <f t="shared" si="424"/>
        <v>2.5710366451107194</v>
      </c>
      <c r="AA283" s="177">
        <f t="shared" si="425"/>
        <v>1.4109347442680777</v>
      </c>
      <c r="AB283" s="177">
        <f t="shared" si="426"/>
        <v>0.33571919968049235</v>
      </c>
      <c r="AC283" s="177"/>
      <c r="AD283" s="177">
        <f t="shared" si="427"/>
        <v>0.45</v>
      </c>
      <c r="AE283" s="555">
        <f t="shared" si="428"/>
        <v>1525.2032520325201</v>
      </c>
      <c r="AF283" s="538">
        <f t="shared" si="429"/>
        <v>6.4574999999999994E-2</v>
      </c>
      <c r="AH283" s="177">
        <f t="shared" si="430"/>
        <v>2.2883694895350533</v>
      </c>
      <c r="AI283" s="177">
        <f t="shared" si="431"/>
        <v>2.2883694895350533</v>
      </c>
      <c r="AJ283" s="177">
        <f t="shared" si="432"/>
        <v>2.287681103359299</v>
      </c>
      <c r="AL283" s="555">
        <f t="shared" si="433"/>
        <v>281.39999999999998</v>
      </c>
      <c r="AM283" s="469">
        <f t="shared" si="434"/>
        <v>350</v>
      </c>
      <c r="AO283">
        <f t="shared" si="435"/>
        <v>281.39999999999998</v>
      </c>
      <c r="AP283">
        <f t="shared" si="436"/>
        <v>350</v>
      </c>
      <c r="AR283" s="5">
        <f t="shared" si="406"/>
        <v>2.8571428571428572</v>
      </c>
      <c r="AS283" s="5">
        <f t="shared" si="385"/>
        <v>1.2872078378634675</v>
      </c>
      <c r="AT283" s="5">
        <f t="shared" si="386"/>
        <v>1.5699350192793897</v>
      </c>
      <c r="AU283" s="177">
        <f t="shared" si="387"/>
        <v>0.45052274325221359</v>
      </c>
      <c r="CI283" s="571">
        <f t="shared" si="437"/>
        <v>-50</v>
      </c>
    </row>
    <row r="284" spans="5:87" x14ac:dyDescent="0.2">
      <c r="E284" s="174">
        <v>68</v>
      </c>
      <c r="F284" s="221">
        <f t="shared" si="438"/>
        <v>0.28560000000000002</v>
      </c>
      <c r="G284" s="221">
        <f t="shared" si="407"/>
        <v>0.49299999999999999</v>
      </c>
      <c r="H284" s="221">
        <f t="shared" si="408"/>
        <v>4.4268000000000001</v>
      </c>
      <c r="I284" s="221">
        <f t="shared" si="409"/>
        <v>3.944</v>
      </c>
      <c r="J284" s="551">
        <f t="shared" si="410"/>
        <v>16</v>
      </c>
      <c r="K284" s="451">
        <f t="shared" si="411"/>
        <v>16.399999999999999</v>
      </c>
      <c r="L284" s="451">
        <f t="shared" si="412"/>
        <v>32.4</v>
      </c>
      <c r="M284" s="451"/>
      <c r="N284" s="221">
        <f t="shared" si="413"/>
        <v>0.50617283950617287</v>
      </c>
      <c r="O284" s="176">
        <f t="shared" si="414"/>
        <v>7.9020200379095593</v>
      </c>
      <c r="P284" s="176">
        <f t="shared" si="415"/>
        <v>13.312578938385389</v>
      </c>
      <c r="Q284" s="221">
        <f t="shared" si="416"/>
        <v>0.50980774438126186</v>
      </c>
      <c r="R284" s="221">
        <f t="shared" si="417"/>
        <v>0.98775250473869491</v>
      </c>
      <c r="S284" s="221">
        <f t="shared" si="418"/>
        <v>15.5</v>
      </c>
      <c r="T284" s="221">
        <f t="shared" si="419"/>
        <v>2.2968658536585362</v>
      </c>
      <c r="U284" s="221">
        <f t="shared" si="420"/>
        <v>1.2919870426829267</v>
      </c>
      <c r="V284" s="221">
        <f t="shared" si="421"/>
        <v>1.2604751635930993</v>
      </c>
      <c r="W284" s="201">
        <f t="shared" si="422"/>
        <v>350</v>
      </c>
      <c r="X284" s="451">
        <f t="shared" si="423"/>
        <v>350</v>
      </c>
      <c r="Z284" s="221">
        <f t="shared" si="424"/>
        <v>2.5710366451107194</v>
      </c>
      <c r="AA284" s="177">
        <f t="shared" si="425"/>
        <v>1.4109347442680777</v>
      </c>
      <c r="AB284" s="177">
        <f t="shared" si="426"/>
        <v>0.33571919968049235</v>
      </c>
      <c r="AC284" s="177"/>
      <c r="AD284" s="177">
        <f t="shared" si="427"/>
        <v>0.45</v>
      </c>
      <c r="AE284" s="555">
        <f t="shared" si="428"/>
        <v>1547.967479674797</v>
      </c>
      <c r="AF284" s="538">
        <f t="shared" si="429"/>
        <v>6.4574999999999994E-2</v>
      </c>
      <c r="AH284" s="177">
        <f t="shared" si="430"/>
        <v>2.3053836233463727</v>
      </c>
      <c r="AI284" s="177">
        <f t="shared" si="431"/>
        <v>2.3053836233463727</v>
      </c>
      <c r="AJ284" s="177">
        <f t="shared" si="432"/>
        <v>2.3002841654417576</v>
      </c>
      <c r="AL284" s="555">
        <f t="shared" si="433"/>
        <v>285.60000000000002</v>
      </c>
      <c r="AM284" s="469">
        <f t="shared" si="434"/>
        <v>350</v>
      </c>
      <c r="AO284">
        <f t="shared" si="435"/>
        <v>285.60000000000002</v>
      </c>
      <c r="AP284">
        <f t="shared" si="436"/>
        <v>350</v>
      </c>
      <c r="AR284" s="5">
        <f t="shared" si="406"/>
        <v>2.8571428571428572</v>
      </c>
      <c r="AS284" s="5">
        <f t="shared" si="385"/>
        <v>1.2967782881323346</v>
      </c>
      <c r="AT284" s="5">
        <f t="shared" si="386"/>
        <v>1.5603645690105226</v>
      </c>
      <c r="AU284" s="177">
        <f t="shared" si="387"/>
        <v>0.45387240084631714</v>
      </c>
      <c r="CI284" s="571">
        <f t="shared" si="437"/>
        <v>-50</v>
      </c>
    </row>
    <row r="285" spans="5:87" x14ac:dyDescent="0.2">
      <c r="E285" s="174">
        <v>69</v>
      </c>
      <c r="F285" s="221">
        <f t="shared" si="438"/>
        <v>0.28979999999999995</v>
      </c>
      <c r="G285" s="221">
        <f t="shared" si="407"/>
        <v>0.50024999999999997</v>
      </c>
      <c r="H285" s="221">
        <f t="shared" si="408"/>
        <v>4.4918999999999993</v>
      </c>
      <c r="I285" s="221">
        <f t="shared" si="409"/>
        <v>4.0019999999999998</v>
      </c>
      <c r="J285" s="551">
        <f t="shared" si="410"/>
        <v>16</v>
      </c>
      <c r="K285" s="451">
        <f t="shared" si="411"/>
        <v>16.399999999999999</v>
      </c>
      <c r="L285" s="451">
        <f t="shared" si="412"/>
        <v>32.4</v>
      </c>
      <c r="M285" s="451"/>
      <c r="N285" s="221">
        <f t="shared" si="413"/>
        <v>0.50617283950617287</v>
      </c>
      <c r="O285" s="176">
        <f t="shared" si="414"/>
        <v>7.9020200379095593</v>
      </c>
      <c r="P285" s="176">
        <f t="shared" si="415"/>
        <v>13.312578938385389</v>
      </c>
      <c r="Q285" s="221">
        <f t="shared" si="416"/>
        <v>0.50980774438126186</v>
      </c>
      <c r="R285" s="221">
        <f t="shared" si="417"/>
        <v>0.98775250473869491</v>
      </c>
      <c r="S285" s="221">
        <f t="shared" si="418"/>
        <v>15.5</v>
      </c>
      <c r="T285" s="221">
        <f t="shared" si="419"/>
        <v>2.3306432926829266</v>
      </c>
      <c r="U285" s="221">
        <f t="shared" si="420"/>
        <v>1.3109868521341463</v>
      </c>
      <c r="V285" s="221">
        <f t="shared" si="421"/>
        <v>1.2790115630577037</v>
      </c>
      <c r="W285" s="201">
        <f t="shared" si="422"/>
        <v>350</v>
      </c>
      <c r="X285" s="451">
        <f t="shared" si="423"/>
        <v>350</v>
      </c>
      <c r="Z285" s="221">
        <f t="shared" si="424"/>
        <v>2.5710366451107194</v>
      </c>
      <c r="AA285" s="177">
        <f t="shared" si="425"/>
        <v>1.4109347442680777</v>
      </c>
      <c r="AB285" s="177">
        <f t="shared" si="426"/>
        <v>0.33571919968049235</v>
      </c>
      <c r="AC285" s="177"/>
      <c r="AD285" s="177">
        <f t="shared" si="427"/>
        <v>0.45</v>
      </c>
      <c r="AE285" s="555">
        <f t="shared" si="428"/>
        <v>1570.731707317073</v>
      </c>
      <c r="AF285" s="538">
        <f t="shared" si="429"/>
        <v>6.4574999999999994E-2</v>
      </c>
      <c r="AH285" s="177">
        <f t="shared" si="430"/>
        <v>2.3222731064524647</v>
      </c>
      <c r="AI285" s="177">
        <f t="shared" si="431"/>
        <v>2.3222731064524647</v>
      </c>
      <c r="AJ285" s="177">
        <f t="shared" si="432"/>
        <v>2.3127948936684923</v>
      </c>
      <c r="AL285" s="555">
        <f t="shared" si="433"/>
        <v>289.79999999999995</v>
      </c>
      <c r="AM285" s="469">
        <f t="shared" si="434"/>
        <v>350</v>
      </c>
      <c r="AO285">
        <f t="shared" si="435"/>
        <v>289.79999999999995</v>
      </c>
      <c r="AP285">
        <f t="shared" si="436"/>
        <v>350</v>
      </c>
      <c r="AR285" s="5">
        <f t="shared" si="406"/>
        <v>2.8571428571428572</v>
      </c>
      <c r="AS285" s="5">
        <f t="shared" si="385"/>
        <v>1.3062786223795115</v>
      </c>
      <c r="AT285" s="5">
        <f t="shared" si="386"/>
        <v>1.5508642347633457</v>
      </c>
      <c r="AU285" s="177">
        <f t="shared" si="387"/>
        <v>0.45719751783282903</v>
      </c>
      <c r="CI285" s="571">
        <f t="shared" si="437"/>
        <v>-50</v>
      </c>
    </row>
    <row r="286" spans="5:87" x14ac:dyDescent="0.2">
      <c r="E286" s="174">
        <v>70</v>
      </c>
      <c r="F286" s="221">
        <f t="shared" si="438"/>
        <v>0.29399999999999998</v>
      </c>
      <c r="G286" s="221">
        <f t="shared" si="407"/>
        <v>0.50749999999999995</v>
      </c>
      <c r="H286" s="221">
        <f t="shared" si="408"/>
        <v>4.5569999999999995</v>
      </c>
      <c r="I286" s="221">
        <f t="shared" si="409"/>
        <v>4.0599999999999996</v>
      </c>
      <c r="J286" s="551">
        <f t="shared" si="410"/>
        <v>16</v>
      </c>
      <c r="K286" s="451">
        <f t="shared" si="411"/>
        <v>16.399999999999999</v>
      </c>
      <c r="L286" s="451">
        <f t="shared" si="412"/>
        <v>32.4</v>
      </c>
      <c r="M286" s="451"/>
      <c r="N286" s="221">
        <f t="shared" si="413"/>
        <v>0.50617283950617287</v>
      </c>
      <c r="O286" s="176">
        <f t="shared" si="414"/>
        <v>7.9020200379095593</v>
      </c>
      <c r="P286" s="176">
        <f t="shared" si="415"/>
        <v>13.312578938385389</v>
      </c>
      <c r="Q286" s="221">
        <f t="shared" si="416"/>
        <v>0.50980774438126186</v>
      </c>
      <c r="R286" s="221">
        <f t="shared" si="417"/>
        <v>0.98775250473869491</v>
      </c>
      <c r="S286" s="221">
        <f t="shared" si="418"/>
        <v>15.5</v>
      </c>
      <c r="T286" s="221">
        <f t="shared" si="419"/>
        <v>2.3644207317073165</v>
      </c>
      <c r="U286" s="221">
        <f t="shared" si="420"/>
        <v>1.3299866615853655</v>
      </c>
      <c r="V286" s="221">
        <f t="shared" si="421"/>
        <v>1.2975479625223081</v>
      </c>
      <c r="W286" s="201">
        <f t="shared" si="422"/>
        <v>350</v>
      </c>
      <c r="X286" s="451">
        <f t="shared" si="423"/>
        <v>350</v>
      </c>
      <c r="Z286" s="221">
        <f t="shared" si="424"/>
        <v>2.5710366451107194</v>
      </c>
      <c r="AA286" s="177">
        <f t="shared" si="425"/>
        <v>1.4109347442680777</v>
      </c>
      <c r="AB286" s="177">
        <f t="shared" si="426"/>
        <v>0.33571919968049235</v>
      </c>
      <c r="AC286" s="177"/>
      <c r="AD286" s="177">
        <f t="shared" si="427"/>
        <v>0.45</v>
      </c>
      <c r="AE286" s="555">
        <f t="shared" si="428"/>
        <v>1593.4959349593496</v>
      </c>
      <c r="AF286" s="538">
        <f t="shared" si="429"/>
        <v>6.4574999999999994E-2</v>
      </c>
      <c r="AH286" s="177">
        <f t="shared" si="430"/>
        <v>2.339040639046511</v>
      </c>
      <c r="AI286" s="177">
        <f t="shared" si="431"/>
        <v>2.339040639046511</v>
      </c>
      <c r="AJ286" s="177">
        <f t="shared" si="432"/>
        <v>2.3252152881826009</v>
      </c>
      <c r="AL286" s="555">
        <f t="shared" si="433"/>
        <v>294</v>
      </c>
      <c r="AM286" s="469">
        <f t="shared" si="434"/>
        <v>350</v>
      </c>
      <c r="AO286">
        <f t="shared" si="435"/>
        <v>294</v>
      </c>
      <c r="AP286">
        <f t="shared" si="436"/>
        <v>350</v>
      </c>
      <c r="AR286" s="5">
        <f t="shared" si="406"/>
        <v>2.8571428571428572</v>
      </c>
      <c r="AS286" s="5">
        <f t="shared" si="385"/>
        <v>1.3157103594636623</v>
      </c>
      <c r="AT286" s="5">
        <f t="shared" si="386"/>
        <v>1.5414324976791949</v>
      </c>
      <c r="AU286" s="177">
        <f t="shared" si="387"/>
        <v>0.46049862581228179</v>
      </c>
      <c r="CI286" s="571">
        <f t="shared" si="437"/>
        <v>-50</v>
      </c>
    </row>
    <row r="287" spans="5:87" x14ac:dyDescent="0.2">
      <c r="E287" s="174">
        <v>71</v>
      </c>
      <c r="F287" s="221">
        <f t="shared" si="438"/>
        <v>0.29819999999999997</v>
      </c>
      <c r="G287" s="221">
        <f t="shared" si="407"/>
        <v>0.51474999999999993</v>
      </c>
      <c r="H287" s="221">
        <f t="shared" si="408"/>
        <v>4.6220999999999997</v>
      </c>
      <c r="I287" s="221">
        <f t="shared" si="409"/>
        <v>4.1179999999999994</v>
      </c>
      <c r="J287" s="551">
        <f t="shared" si="410"/>
        <v>16</v>
      </c>
      <c r="K287" s="451">
        <f t="shared" si="411"/>
        <v>16.399999999999999</v>
      </c>
      <c r="L287" s="451">
        <f t="shared" si="412"/>
        <v>32.4</v>
      </c>
      <c r="M287" s="451"/>
      <c r="N287" s="221">
        <f t="shared" si="413"/>
        <v>0.50617283950617287</v>
      </c>
      <c r="O287" s="176">
        <f t="shared" si="414"/>
        <v>7.9020200379095593</v>
      </c>
      <c r="P287" s="176">
        <f t="shared" si="415"/>
        <v>13.312578938385389</v>
      </c>
      <c r="Q287" s="221">
        <f t="shared" si="416"/>
        <v>0.50980774438126186</v>
      </c>
      <c r="R287" s="221">
        <f t="shared" si="417"/>
        <v>0.98775250473869491</v>
      </c>
      <c r="S287" s="221">
        <f t="shared" si="418"/>
        <v>15.5</v>
      </c>
      <c r="T287" s="221">
        <f t="shared" si="419"/>
        <v>2.3981981707317064</v>
      </c>
      <c r="U287" s="221">
        <f t="shared" si="420"/>
        <v>1.3489864710365849</v>
      </c>
      <c r="V287" s="221">
        <f t="shared" si="421"/>
        <v>1.3160843619869123</v>
      </c>
      <c r="W287" s="201">
        <f t="shared" si="422"/>
        <v>350</v>
      </c>
      <c r="X287" s="451">
        <f t="shared" si="423"/>
        <v>350</v>
      </c>
      <c r="Z287" s="221">
        <f t="shared" si="424"/>
        <v>2.5710366451107194</v>
      </c>
      <c r="AA287" s="177">
        <f t="shared" si="425"/>
        <v>1.4109347442680777</v>
      </c>
      <c r="AB287" s="177">
        <f t="shared" si="426"/>
        <v>0.33571919968049235</v>
      </c>
      <c r="AC287" s="177"/>
      <c r="AD287" s="177">
        <f t="shared" si="427"/>
        <v>0.45</v>
      </c>
      <c r="AE287" s="555">
        <f t="shared" si="428"/>
        <v>1616.260162601626</v>
      </c>
      <c r="AF287" s="538">
        <f t="shared" si="429"/>
        <v>6.4574999999999994E-2</v>
      </c>
      <c r="AH287" s="177">
        <f t="shared" si="430"/>
        <v>2.3556888252207338</v>
      </c>
      <c r="AI287" s="177">
        <f t="shared" si="431"/>
        <v>2.3556888252207338</v>
      </c>
      <c r="AJ287" s="177">
        <f t="shared" si="432"/>
        <v>2.3375472779412845</v>
      </c>
      <c r="AL287" s="555">
        <f t="shared" si="433"/>
        <v>298.2</v>
      </c>
      <c r="AM287" s="469">
        <f t="shared" si="434"/>
        <v>350</v>
      </c>
      <c r="AO287">
        <f t="shared" si="435"/>
        <v>298.2</v>
      </c>
      <c r="AP287">
        <f t="shared" si="436"/>
        <v>350</v>
      </c>
      <c r="AR287" s="5">
        <f t="shared" si="406"/>
        <v>2.8571428571428572</v>
      </c>
      <c r="AS287" s="5">
        <f t="shared" si="385"/>
        <v>1.3250749641866628</v>
      </c>
      <c r="AT287" s="5">
        <f t="shared" si="386"/>
        <v>1.5320678929561944</v>
      </c>
      <c r="AU287" s="177">
        <f t="shared" si="387"/>
        <v>0.46377623746533198</v>
      </c>
      <c r="CI287" s="571">
        <f t="shared" si="437"/>
        <v>-50</v>
      </c>
    </row>
    <row r="288" spans="5:87" x14ac:dyDescent="0.2">
      <c r="E288" s="174">
        <v>72</v>
      </c>
      <c r="F288" s="221">
        <f t="shared" si="438"/>
        <v>0.3024</v>
      </c>
      <c r="G288" s="221">
        <f t="shared" si="407"/>
        <v>0.52200000000000002</v>
      </c>
      <c r="H288" s="221">
        <f t="shared" si="408"/>
        <v>4.6871999999999998</v>
      </c>
      <c r="I288" s="221">
        <f t="shared" si="409"/>
        <v>4.1760000000000002</v>
      </c>
      <c r="J288" s="551">
        <f t="shared" si="410"/>
        <v>16</v>
      </c>
      <c r="K288" s="451">
        <f t="shared" si="411"/>
        <v>16.399999999999999</v>
      </c>
      <c r="L288" s="451">
        <f t="shared" si="412"/>
        <v>32.4</v>
      </c>
      <c r="M288" s="451"/>
      <c r="N288" s="221">
        <f t="shared" si="413"/>
        <v>0.50617283950617287</v>
      </c>
      <c r="O288" s="176">
        <f t="shared" si="414"/>
        <v>7.9020200379095593</v>
      </c>
      <c r="P288" s="176">
        <f t="shared" si="415"/>
        <v>13.312578938385389</v>
      </c>
      <c r="Q288" s="221">
        <f t="shared" si="416"/>
        <v>0.50980774438126186</v>
      </c>
      <c r="R288" s="221">
        <f t="shared" si="417"/>
        <v>0.98775250473869491</v>
      </c>
      <c r="S288" s="221">
        <f t="shared" si="418"/>
        <v>15.5</v>
      </c>
      <c r="T288" s="221">
        <f t="shared" si="419"/>
        <v>2.4319756097560972</v>
      </c>
      <c r="U288" s="221">
        <f t="shared" si="420"/>
        <v>1.3679862804878047</v>
      </c>
      <c r="V288" s="221">
        <f t="shared" si="421"/>
        <v>1.3346207614515169</v>
      </c>
      <c r="W288" s="201">
        <f t="shared" si="422"/>
        <v>350</v>
      </c>
      <c r="X288" s="451">
        <f t="shared" si="423"/>
        <v>350</v>
      </c>
      <c r="Z288" s="221">
        <f t="shared" si="424"/>
        <v>2.5710366451107194</v>
      </c>
      <c r="AA288" s="177">
        <f t="shared" si="425"/>
        <v>1.4109347442680777</v>
      </c>
      <c r="AB288" s="177">
        <f t="shared" si="426"/>
        <v>0.33571919968049235</v>
      </c>
      <c r="AC288" s="177"/>
      <c r="AD288" s="177">
        <f t="shared" si="427"/>
        <v>0.45</v>
      </c>
      <c r="AE288" s="555">
        <f t="shared" si="428"/>
        <v>1639.0243902439029</v>
      </c>
      <c r="AF288" s="538">
        <f t="shared" si="429"/>
        <v>6.4574999999999994E-2</v>
      </c>
      <c r="AH288" s="177">
        <f t="shared" si="430"/>
        <v>2.3722201776876806</v>
      </c>
      <c r="AI288" s="177">
        <f t="shared" si="431"/>
        <v>2.3722201776876806</v>
      </c>
      <c r="AJ288" s="177">
        <f t="shared" si="432"/>
        <v>2.3497927242130969</v>
      </c>
      <c r="AL288" s="555">
        <f t="shared" si="433"/>
        <v>302.39999999999998</v>
      </c>
      <c r="AM288" s="469">
        <f t="shared" si="434"/>
        <v>350</v>
      </c>
      <c r="AO288">
        <f t="shared" si="435"/>
        <v>302.39999999999998</v>
      </c>
      <c r="AP288">
        <f t="shared" si="436"/>
        <v>350</v>
      </c>
      <c r="AR288" s="5">
        <f t="shared" si="406"/>
        <v>2.8571428571428572</v>
      </c>
      <c r="AS288" s="5">
        <f t="shared" si="385"/>
        <v>1.3343738499493205</v>
      </c>
      <c r="AT288" s="5">
        <f t="shared" si="386"/>
        <v>1.5227690071935367</v>
      </c>
      <c r="AU288" s="177">
        <f t="shared" si="387"/>
        <v>0.46703084748226215</v>
      </c>
      <c r="CI288" s="571">
        <f t="shared" si="437"/>
        <v>-50</v>
      </c>
    </row>
    <row r="289" spans="5:87" x14ac:dyDescent="0.2">
      <c r="E289" s="174">
        <v>73</v>
      </c>
      <c r="F289" s="221">
        <f t="shared" si="438"/>
        <v>0.30659999999999998</v>
      </c>
      <c r="G289" s="221">
        <f t="shared" si="407"/>
        <v>0.52925</v>
      </c>
      <c r="H289" s="221">
        <f t="shared" si="408"/>
        <v>4.7523</v>
      </c>
      <c r="I289" s="221">
        <f t="shared" si="409"/>
        <v>4.234</v>
      </c>
      <c r="J289" s="551">
        <f t="shared" si="410"/>
        <v>16</v>
      </c>
      <c r="K289" s="451">
        <f t="shared" si="411"/>
        <v>16.399999999999999</v>
      </c>
      <c r="L289" s="451">
        <f t="shared" si="412"/>
        <v>32.4</v>
      </c>
      <c r="M289" s="451"/>
      <c r="N289" s="221">
        <f t="shared" si="413"/>
        <v>0.50617283950617287</v>
      </c>
      <c r="O289" s="176">
        <f t="shared" si="414"/>
        <v>7.9020200379095593</v>
      </c>
      <c r="P289" s="176">
        <f t="shared" si="415"/>
        <v>13.312578938385389</v>
      </c>
      <c r="Q289" s="221">
        <f t="shared" si="416"/>
        <v>0.50980774438126186</v>
      </c>
      <c r="R289" s="221">
        <f t="shared" si="417"/>
        <v>0.98775250473869491</v>
      </c>
      <c r="S289" s="221">
        <f t="shared" si="418"/>
        <v>15.5</v>
      </c>
      <c r="T289" s="221">
        <f t="shared" si="419"/>
        <v>2.4657530487804875</v>
      </c>
      <c r="U289" s="221">
        <f t="shared" si="420"/>
        <v>1.3869860899390243</v>
      </c>
      <c r="V289" s="221">
        <f t="shared" si="421"/>
        <v>1.3531571609161213</v>
      </c>
      <c r="W289" s="201">
        <f t="shared" si="422"/>
        <v>350</v>
      </c>
      <c r="X289" s="451">
        <f t="shared" si="423"/>
        <v>350</v>
      </c>
      <c r="Z289" s="221">
        <f t="shared" si="424"/>
        <v>2.5710366451107194</v>
      </c>
      <c r="AA289" s="177">
        <f t="shared" si="425"/>
        <v>1.4109347442680777</v>
      </c>
      <c r="AB289" s="177">
        <f t="shared" si="426"/>
        <v>0.33571919968049235</v>
      </c>
      <c r="AC289" s="177"/>
      <c r="AD289" s="177">
        <f t="shared" si="427"/>
        <v>0.45</v>
      </c>
      <c r="AE289" s="555">
        <f t="shared" si="428"/>
        <v>1661.7886178861788</v>
      </c>
      <c r="AF289" s="538">
        <f t="shared" si="429"/>
        <v>6.4574999999999994E-2</v>
      </c>
      <c r="AH289" s="177">
        <f t="shared" si="430"/>
        <v>2.388637122207411</v>
      </c>
      <c r="AI289" s="177">
        <f t="shared" si="431"/>
        <v>2.388637122207411</v>
      </c>
      <c r="AJ289" s="177">
        <f t="shared" si="432"/>
        <v>2.3619534238573414</v>
      </c>
      <c r="AL289" s="555">
        <f t="shared" si="433"/>
        <v>306.59999999999997</v>
      </c>
      <c r="AM289" s="469">
        <f t="shared" si="434"/>
        <v>350</v>
      </c>
      <c r="AO289">
        <f t="shared" si="435"/>
        <v>306.59999999999997</v>
      </c>
      <c r="AP289">
        <f t="shared" si="436"/>
        <v>350</v>
      </c>
      <c r="AR289" s="5">
        <f t="shared" si="406"/>
        <v>2.8571428571428572</v>
      </c>
      <c r="AS289" s="5">
        <f t="shared" si="385"/>
        <v>1.3436083812416686</v>
      </c>
      <c r="AT289" s="5">
        <f t="shared" si="386"/>
        <v>1.5135344759011886</v>
      </c>
      <c r="AU289" s="177">
        <f t="shared" si="387"/>
        <v>0.47026293343458397</v>
      </c>
      <c r="CI289" s="571">
        <f t="shared" si="437"/>
        <v>-50</v>
      </c>
    </row>
    <row r="290" spans="5:87" x14ac:dyDescent="0.2">
      <c r="E290" s="174">
        <v>74</v>
      </c>
      <c r="F290" s="221">
        <f t="shared" si="438"/>
        <v>0.31079999999999997</v>
      </c>
      <c r="G290" s="221">
        <f t="shared" si="407"/>
        <v>0.53649999999999998</v>
      </c>
      <c r="H290" s="221">
        <f t="shared" si="408"/>
        <v>4.8173999999999992</v>
      </c>
      <c r="I290" s="221">
        <f t="shared" si="409"/>
        <v>4.2919999999999998</v>
      </c>
      <c r="J290" s="551">
        <f t="shared" si="410"/>
        <v>16</v>
      </c>
      <c r="K290" s="451">
        <f t="shared" si="411"/>
        <v>16.399999999999999</v>
      </c>
      <c r="L290" s="451">
        <f t="shared" si="412"/>
        <v>32.4</v>
      </c>
      <c r="M290" s="451"/>
      <c r="N290" s="221">
        <f t="shared" si="413"/>
        <v>0.50617283950617287</v>
      </c>
      <c r="O290" s="176">
        <f t="shared" si="414"/>
        <v>7.9020200379095593</v>
      </c>
      <c r="P290" s="176">
        <f t="shared" si="415"/>
        <v>13.312578938385389</v>
      </c>
      <c r="Q290" s="221">
        <f t="shared" si="416"/>
        <v>0.50980774438126186</v>
      </c>
      <c r="R290" s="221">
        <f t="shared" si="417"/>
        <v>0.98775250473869491</v>
      </c>
      <c r="S290" s="221">
        <f t="shared" si="418"/>
        <v>15.5</v>
      </c>
      <c r="T290" s="221">
        <f t="shared" si="419"/>
        <v>2.4995304878048774</v>
      </c>
      <c r="U290" s="221">
        <f t="shared" si="420"/>
        <v>1.4059858993902434</v>
      </c>
      <c r="V290" s="221">
        <f t="shared" si="421"/>
        <v>1.3716935603807254</v>
      </c>
      <c r="W290" s="201">
        <f t="shared" si="422"/>
        <v>350</v>
      </c>
      <c r="X290" s="451">
        <f t="shared" si="423"/>
        <v>350</v>
      </c>
      <c r="Z290" s="221">
        <f t="shared" si="424"/>
        <v>2.5710366451107194</v>
      </c>
      <c r="AA290" s="177">
        <f t="shared" si="425"/>
        <v>1.4109347442680777</v>
      </c>
      <c r="AB290" s="177">
        <f t="shared" si="426"/>
        <v>0.33571919968049235</v>
      </c>
      <c r="AC290" s="177"/>
      <c r="AD290" s="177">
        <f t="shared" si="427"/>
        <v>0.45</v>
      </c>
      <c r="AE290" s="555">
        <f t="shared" si="428"/>
        <v>1684.5528455284552</v>
      </c>
      <c r="AF290" s="538">
        <f t="shared" si="429"/>
        <v>6.4574999999999994E-2</v>
      </c>
      <c r="AH290" s="177">
        <f t="shared" si="430"/>
        <v>2.4049420017426679</v>
      </c>
      <c r="AI290" s="177">
        <f t="shared" si="431"/>
        <v>2.4049420017426679</v>
      </c>
      <c r="AJ290" s="177">
        <f t="shared" si="432"/>
        <v>2.3740311124019762</v>
      </c>
      <c r="AL290" s="555">
        <f t="shared" si="433"/>
        <v>310.79999999999995</v>
      </c>
      <c r="AM290" s="469">
        <f t="shared" si="434"/>
        <v>350</v>
      </c>
      <c r="AO290">
        <f t="shared" si="435"/>
        <v>310.79999999999995</v>
      </c>
      <c r="AP290">
        <f t="shared" si="436"/>
        <v>350</v>
      </c>
      <c r="AR290" s="5">
        <f t="shared" si="406"/>
        <v>2.8571428571428572</v>
      </c>
      <c r="AS290" s="5">
        <f t="shared" si="385"/>
        <v>1.3527798759802507</v>
      </c>
      <c r="AT290" s="5">
        <f t="shared" si="386"/>
        <v>1.5043629811626065</v>
      </c>
      <c r="AU290" s="177">
        <f t="shared" si="387"/>
        <v>0.47347295659308775</v>
      </c>
      <c r="CI290" s="571">
        <f t="shared" si="437"/>
        <v>-50</v>
      </c>
    </row>
    <row r="291" spans="5:87" x14ac:dyDescent="0.2">
      <c r="E291" s="174">
        <v>75</v>
      </c>
      <c r="F291" s="221">
        <f t="shared" si="438"/>
        <v>0.315</v>
      </c>
      <c r="G291" s="221">
        <f t="shared" si="407"/>
        <v>0.54374999999999996</v>
      </c>
      <c r="H291" s="221">
        <f t="shared" si="408"/>
        <v>4.8825000000000003</v>
      </c>
      <c r="I291" s="221">
        <f t="shared" si="409"/>
        <v>4.3499999999999996</v>
      </c>
      <c r="J291" s="551">
        <f t="shared" si="410"/>
        <v>16</v>
      </c>
      <c r="K291" s="451">
        <f t="shared" si="411"/>
        <v>16.399999999999999</v>
      </c>
      <c r="L291" s="451">
        <f t="shared" si="412"/>
        <v>32.4</v>
      </c>
      <c r="M291" s="451"/>
      <c r="N291" s="221">
        <f t="shared" si="413"/>
        <v>0.50617283950617287</v>
      </c>
      <c r="O291" s="176">
        <f t="shared" si="414"/>
        <v>7.9020200379095593</v>
      </c>
      <c r="P291" s="176">
        <f t="shared" si="415"/>
        <v>13.312578938385389</v>
      </c>
      <c r="Q291" s="221">
        <f t="shared" si="416"/>
        <v>0.50980774438126186</v>
      </c>
      <c r="R291" s="221">
        <f t="shared" si="417"/>
        <v>0.98775250473869491</v>
      </c>
      <c r="S291" s="221">
        <f t="shared" si="418"/>
        <v>15.5</v>
      </c>
      <c r="T291" s="221">
        <f t="shared" si="419"/>
        <v>2.5333079268292682</v>
      </c>
      <c r="U291" s="221">
        <f t="shared" si="420"/>
        <v>1.4249857088414635</v>
      </c>
      <c r="V291" s="221">
        <f t="shared" si="421"/>
        <v>1.3902299598453305</v>
      </c>
      <c r="W291" s="201">
        <f t="shared" si="422"/>
        <v>350</v>
      </c>
      <c r="X291" s="451">
        <f t="shared" si="423"/>
        <v>350</v>
      </c>
      <c r="Z291" s="221">
        <f t="shared" si="424"/>
        <v>2.5710366451107194</v>
      </c>
      <c r="AA291" s="177">
        <f t="shared" si="425"/>
        <v>1.4109347442680777</v>
      </c>
      <c r="AB291" s="177">
        <f t="shared" si="426"/>
        <v>0.33571919968049235</v>
      </c>
      <c r="AC291" s="177"/>
      <c r="AD291" s="177">
        <f t="shared" si="427"/>
        <v>0.45</v>
      </c>
      <c r="AE291" s="555">
        <f t="shared" si="428"/>
        <v>1707.3170731707319</v>
      </c>
      <c r="AF291" s="538">
        <f t="shared" si="429"/>
        <v>6.4574999999999994E-2</v>
      </c>
      <c r="AH291" s="177">
        <f t="shared" si="430"/>
        <v>2.4211370803621928</v>
      </c>
      <c r="AI291" s="177">
        <f t="shared" si="431"/>
        <v>2.4211370803621928</v>
      </c>
      <c r="AJ291" s="177">
        <f t="shared" si="432"/>
        <v>2.3860274669349577</v>
      </c>
      <c r="AL291" s="555">
        <f t="shared" si="433"/>
        <v>315</v>
      </c>
      <c r="AM291" s="469">
        <f t="shared" si="434"/>
        <v>350</v>
      </c>
      <c r="AO291">
        <f t="shared" si="435"/>
        <v>315</v>
      </c>
      <c r="AP291">
        <f t="shared" si="436"/>
        <v>350</v>
      </c>
      <c r="AR291" s="5">
        <f t="shared" si="406"/>
        <v>2.8571428571428572</v>
      </c>
      <c r="AS291" s="5">
        <f t="shared" si="385"/>
        <v>1.3618896077037335</v>
      </c>
      <c r="AT291" s="5">
        <f t="shared" si="386"/>
        <v>1.4952532494391237</v>
      </c>
      <c r="AU291" s="177">
        <f t="shared" si="387"/>
        <v>0.47666136269630671</v>
      </c>
      <c r="CI291" s="571">
        <f t="shared" si="437"/>
        <v>-50</v>
      </c>
    </row>
    <row r="292" spans="5:87" x14ac:dyDescent="0.2">
      <c r="E292" s="174">
        <v>76</v>
      </c>
      <c r="F292" s="221">
        <f t="shared" si="438"/>
        <v>0.31919999999999998</v>
      </c>
      <c r="G292" s="221">
        <f t="shared" si="407"/>
        <v>0.55099999999999993</v>
      </c>
      <c r="H292" s="221">
        <f t="shared" si="408"/>
        <v>4.9475999999999996</v>
      </c>
      <c r="I292" s="221">
        <f t="shared" si="409"/>
        <v>4.4079999999999995</v>
      </c>
      <c r="J292" s="551">
        <f t="shared" si="410"/>
        <v>16</v>
      </c>
      <c r="K292" s="451">
        <f t="shared" si="411"/>
        <v>16.399999999999999</v>
      </c>
      <c r="L292" s="451">
        <f t="shared" si="412"/>
        <v>32.4</v>
      </c>
      <c r="M292" s="451"/>
      <c r="N292" s="221">
        <f t="shared" si="413"/>
        <v>0.50617283950617287</v>
      </c>
      <c r="O292" s="176">
        <f t="shared" si="414"/>
        <v>7.9020200379095593</v>
      </c>
      <c r="P292" s="176">
        <f t="shared" si="415"/>
        <v>13.312578938385389</v>
      </c>
      <c r="Q292" s="221">
        <f t="shared" si="416"/>
        <v>0.50980774438126186</v>
      </c>
      <c r="R292" s="221">
        <f t="shared" si="417"/>
        <v>0.98775250473869491</v>
      </c>
      <c r="S292" s="221">
        <f t="shared" si="418"/>
        <v>15.5</v>
      </c>
      <c r="T292" s="221">
        <f t="shared" si="419"/>
        <v>2.5670853658536581</v>
      </c>
      <c r="U292" s="221">
        <f t="shared" si="420"/>
        <v>1.4439855182926828</v>
      </c>
      <c r="V292" s="221">
        <f t="shared" si="421"/>
        <v>1.4087663593099344</v>
      </c>
      <c r="W292" s="201">
        <f t="shared" si="422"/>
        <v>350</v>
      </c>
      <c r="X292" s="451">
        <f t="shared" si="423"/>
        <v>350</v>
      </c>
      <c r="Z292" s="221">
        <f t="shared" si="424"/>
        <v>2.5710366451107194</v>
      </c>
      <c r="AA292" s="177">
        <f t="shared" si="425"/>
        <v>1.4109347442680777</v>
      </c>
      <c r="AB292" s="177">
        <f t="shared" si="426"/>
        <v>0.33571919968049235</v>
      </c>
      <c r="AC292" s="177"/>
      <c r="AD292" s="177">
        <f t="shared" si="427"/>
        <v>0.45</v>
      </c>
      <c r="AE292" s="555">
        <f t="shared" si="428"/>
        <v>1730.0813008130081</v>
      </c>
      <c r="AF292" s="538">
        <f t="shared" si="429"/>
        <v>6.4574999999999994E-2</v>
      </c>
      <c r="AH292" s="177">
        <f t="shared" si="430"/>
        <v>2.4372245469105818</v>
      </c>
      <c r="AI292" s="177">
        <f t="shared" si="431"/>
        <v>2.4372245469105818</v>
      </c>
      <c r="AJ292" s="177">
        <f t="shared" si="432"/>
        <v>2.397944108822653</v>
      </c>
      <c r="AL292" s="555">
        <f t="shared" si="433"/>
        <v>319.2</v>
      </c>
      <c r="AM292" s="469">
        <f t="shared" si="434"/>
        <v>350</v>
      </c>
      <c r="AO292">
        <f t="shared" si="435"/>
        <v>319.2</v>
      </c>
      <c r="AP292">
        <f t="shared" si="436"/>
        <v>350</v>
      </c>
      <c r="AR292" s="5">
        <f t="shared" si="406"/>
        <v>2.8571428571428572</v>
      </c>
      <c r="AS292" s="5">
        <f t="shared" si="385"/>
        <v>1.3709388076372022</v>
      </c>
      <c r="AT292" s="5">
        <f t="shared" si="386"/>
        <v>1.486204049505655</v>
      </c>
      <c r="AU292" s="177">
        <f t="shared" si="387"/>
        <v>0.47982858267302075</v>
      </c>
      <c r="CI292" s="571">
        <f t="shared" si="437"/>
        <v>-50</v>
      </c>
    </row>
    <row r="293" spans="5:87" x14ac:dyDescent="0.2">
      <c r="E293" s="174">
        <v>77</v>
      </c>
      <c r="F293" s="221">
        <f t="shared" si="438"/>
        <v>0.32340000000000002</v>
      </c>
      <c r="G293" s="221">
        <f t="shared" si="407"/>
        <v>0.55825000000000002</v>
      </c>
      <c r="H293" s="221">
        <f t="shared" si="408"/>
        <v>5.0127000000000006</v>
      </c>
      <c r="I293" s="221">
        <f t="shared" si="409"/>
        <v>4.4660000000000002</v>
      </c>
      <c r="J293" s="551">
        <f t="shared" si="410"/>
        <v>16</v>
      </c>
      <c r="K293" s="451">
        <f t="shared" si="411"/>
        <v>16.399999999999999</v>
      </c>
      <c r="L293" s="451">
        <f t="shared" si="412"/>
        <v>32.4</v>
      </c>
      <c r="M293" s="451"/>
      <c r="N293" s="221">
        <f t="shared" si="413"/>
        <v>0.50617283950617287</v>
      </c>
      <c r="O293" s="176">
        <f t="shared" si="414"/>
        <v>7.9020200379095593</v>
      </c>
      <c r="P293" s="176">
        <f t="shared" si="415"/>
        <v>13.312578938385389</v>
      </c>
      <c r="Q293" s="221">
        <f t="shared" si="416"/>
        <v>0.50980774438126186</v>
      </c>
      <c r="R293" s="221">
        <f t="shared" si="417"/>
        <v>0.98775250473869491</v>
      </c>
      <c r="S293" s="221">
        <f t="shared" si="418"/>
        <v>15.5</v>
      </c>
      <c r="T293" s="221">
        <f t="shared" si="419"/>
        <v>2.6008628048780484</v>
      </c>
      <c r="U293" s="221">
        <f t="shared" si="420"/>
        <v>1.4629853277439022</v>
      </c>
      <c r="V293" s="221">
        <f t="shared" si="421"/>
        <v>1.4273027587745388</v>
      </c>
      <c r="W293" s="201">
        <f t="shared" si="422"/>
        <v>350</v>
      </c>
      <c r="X293" s="451">
        <f t="shared" si="423"/>
        <v>345.98627197905779</v>
      </c>
      <c r="Z293" s="221">
        <f t="shared" si="424"/>
        <v>2.5710366451107194</v>
      </c>
      <c r="AA293" s="177">
        <f t="shared" si="425"/>
        <v>1.4109347442680777</v>
      </c>
      <c r="AB293" s="177">
        <f t="shared" si="426"/>
        <v>0.33571919968049235</v>
      </c>
      <c r="AC293" s="177"/>
      <c r="AD293" s="177">
        <f t="shared" si="427"/>
        <v>0.45</v>
      </c>
      <c r="AE293" s="555">
        <f t="shared" si="428"/>
        <v>1752.8455284552847</v>
      </c>
      <c r="AF293" s="538">
        <f t="shared" si="429"/>
        <v>6.4574999999999994E-2</v>
      </c>
      <c r="AH293" s="177">
        <f t="shared" si="430"/>
        <v>2.4532065184615468</v>
      </c>
      <c r="AI293" s="177">
        <f t="shared" si="431"/>
        <v>2.4532065184615468</v>
      </c>
      <c r="AJ293" s="177">
        <f t="shared" si="432"/>
        <v>2.4097826062678127</v>
      </c>
      <c r="AL293" s="555">
        <f t="shared" si="433"/>
        <v>323.40000000000003</v>
      </c>
      <c r="AM293" s="469">
        <f t="shared" si="434"/>
        <v>345.98627197905779</v>
      </c>
      <c r="AO293">
        <f t="shared" si="435"/>
        <v>323.40000000000003</v>
      </c>
      <c r="AP293">
        <f t="shared" si="436"/>
        <v>345.98627197905779</v>
      </c>
      <c r="AR293" s="5">
        <f t="shared" si="406"/>
        <v>2.8902880865184413</v>
      </c>
      <c r="AS293" s="5">
        <f t="shared" si="385"/>
        <v>1.37992866663462</v>
      </c>
      <c r="AT293" s="5">
        <f t="shared" si="386"/>
        <v>1.5103594198838213</v>
      </c>
      <c r="AU293" s="177">
        <f t="shared" si="387"/>
        <v>0.47743637496594421</v>
      </c>
      <c r="CI293" s="571">
        <f t="shared" si="437"/>
        <v>-50</v>
      </c>
    </row>
    <row r="294" spans="5:87" x14ac:dyDescent="0.2">
      <c r="E294" s="174">
        <v>78</v>
      </c>
      <c r="F294" s="221">
        <f t="shared" si="438"/>
        <v>0.3276</v>
      </c>
      <c r="G294" s="221">
        <f t="shared" si="407"/>
        <v>0.5655</v>
      </c>
      <c r="H294" s="221">
        <f t="shared" si="408"/>
        <v>5.0777999999999999</v>
      </c>
      <c r="I294" s="221">
        <f t="shared" si="409"/>
        <v>4.524</v>
      </c>
      <c r="J294" s="551">
        <f t="shared" si="410"/>
        <v>16</v>
      </c>
      <c r="K294" s="451">
        <f t="shared" si="411"/>
        <v>16.399999999999999</v>
      </c>
      <c r="L294" s="451">
        <f t="shared" si="412"/>
        <v>32.4</v>
      </c>
      <c r="M294" s="451"/>
      <c r="N294" s="221">
        <f t="shared" si="413"/>
        <v>0.50617283950617287</v>
      </c>
      <c r="O294" s="176">
        <f t="shared" si="414"/>
        <v>7.9020200379095593</v>
      </c>
      <c r="P294" s="176">
        <f t="shared" si="415"/>
        <v>13.312578938385389</v>
      </c>
      <c r="Q294" s="221">
        <f t="shared" si="416"/>
        <v>0.50980774438126186</v>
      </c>
      <c r="R294" s="221">
        <f t="shared" si="417"/>
        <v>0.98775250473869491</v>
      </c>
      <c r="S294" s="221">
        <f t="shared" si="418"/>
        <v>15.5</v>
      </c>
      <c r="T294" s="221">
        <f t="shared" si="419"/>
        <v>2.6346402439024388</v>
      </c>
      <c r="U294" s="221">
        <f t="shared" si="420"/>
        <v>1.4819851371951218</v>
      </c>
      <c r="V294" s="221">
        <f t="shared" si="421"/>
        <v>1.4458391582391434</v>
      </c>
      <c r="W294" s="201">
        <f t="shared" si="422"/>
        <v>350</v>
      </c>
      <c r="X294" s="451">
        <f t="shared" si="423"/>
        <v>341.55055054342887</v>
      </c>
      <c r="Z294" s="221">
        <f t="shared" si="424"/>
        <v>2.5710366451107194</v>
      </c>
      <c r="AA294" s="177">
        <f t="shared" si="425"/>
        <v>1.4109347442680777</v>
      </c>
      <c r="AB294" s="177">
        <f t="shared" si="426"/>
        <v>0.33571919968049235</v>
      </c>
      <c r="AC294" s="177"/>
      <c r="AD294" s="177">
        <f t="shared" si="427"/>
        <v>0.45</v>
      </c>
      <c r="AE294" s="555">
        <f t="shared" si="428"/>
        <v>1775.6097560975609</v>
      </c>
      <c r="AF294" s="538">
        <f t="shared" si="429"/>
        <v>6.4574999999999994E-2</v>
      </c>
      <c r="AH294" s="177">
        <f t="shared" si="430"/>
        <v>2.4690850435699763</v>
      </c>
      <c r="AI294" s="177">
        <f t="shared" si="431"/>
        <v>2.4690850435699763</v>
      </c>
      <c r="AJ294" s="177">
        <f t="shared" si="432"/>
        <v>2.421544476718501</v>
      </c>
      <c r="AL294" s="555">
        <f t="shared" si="433"/>
        <v>327.60000000000002</v>
      </c>
      <c r="AM294" s="469">
        <f t="shared" si="434"/>
        <v>341.55055054342887</v>
      </c>
      <c r="AO294">
        <f t="shared" si="435"/>
        <v>327.60000000000002</v>
      </c>
      <c r="AP294">
        <f t="shared" si="436"/>
        <v>341.55055054342887</v>
      </c>
      <c r="AR294" s="5">
        <f t="shared" si="406"/>
        <v>2.9278242954342653</v>
      </c>
      <c r="AS294" s="5">
        <f t="shared" si="385"/>
        <v>1.3888603370081118</v>
      </c>
      <c r="AT294" s="5">
        <f t="shared" si="386"/>
        <v>1.5389639584261534</v>
      </c>
      <c r="AU294" s="177">
        <f t="shared" si="387"/>
        <v>0.47436601273305273</v>
      </c>
      <c r="CI294" s="571">
        <f t="shared" si="437"/>
        <v>-50</v>
      </c>
    </row>
    <row r="295" spans="5:87" x14ac:dyDescent="0.2">
      <c r="E295" s="174">
        <v>79</v>
      </c>
      <c r="F295" s="221">
        <f t="shared" si="438"/>
        <v>0.33179999999999998</v>
      </c>
      <c r="G295" s="221">
        <f t="shared" si="407"/>
        <v>0.57274999999999998</v>
      </c>
      <c r="H295" s="221">
        <f t="shared" si="408"/>
        <v>5.1429</v>
      </c>
      <c r="I295" s="221">
        <f t="shared" si="409"/>
        <v>4.5819999999999999</v>
      </c>
      <c r="J295" s="551">
        <f t="shared" si="410"/>
        <v>16</v>
      </c>
      <c r="K295" s="451">
        <f t="shared" si="411"/>
        <v>16.399999999999999</v>
      </c>
      <c r="L295" s="451">
        <f t="shared" si="412"/>
        <v>32.4</v>
      </c>
      <c r="M295" s="451"/>
      <c r="N295" s="221">
        <f t="shared" si="413"/>
        <v>0.50617283950617287</v>
      </c>
      <c r="O295" s="176">
        <f t="shared" si="414"/>
        <v>7.9020200379095593</v>
      </c>
      <c r="P295" s="176">
        <f t="shared" si="415"/>
        <v>13.312578938385389</v>
      </c>
      <c r="Q295" s="221">
        <f t="shared" si="416"/>
        <v>0.50980774438126186</v>
      </c>
      <c r="R295" s="221">
        <f t="shared" si="417"/>
        <v>0.98775250473869491</v>
      </c>
      <c r="S295" s="221">
        <f t="shared" si="418"/>
        <v>15.5</v>
      </c>
      <c r="T295" s="221">
        <f t="shared" si="419"/>
        <v>2.6684176829268291</v>
      </c>
      <c r="U295" s="221">
        <f t="shared" si="420"/>
        <v>1.5009849466463414</v>
      </c>
      <c r="V295" s="221">
        <f t="shared" si="421"/>
        <v>1.4643755577037478</v>
      </c>
      <c r="W295" s="201">
        <f t="shared" si="422"/>
        <v>350</v>
      </c>
      <c r="X295" s="451">
        <f t="shared" si="423"/>
        <v>337.2271258530057</v>
      </c>
      <c r="Z295" s="221">
        <f t="shared" si="424"/>
        <v>2.5710366451107194</v>
      </c>
      <c r="AA295" s="177">
        <f t="shared" si="425"/>
        <v>1.4109347442680777</v>
      </c>
      <c r="AB295" s="177">
        <f t="shared" si="426"/>
        <v>0.33571919968049235</v>
      </c>
      <c r="AC295" s="177"/>
      <c r="AD295" s="177">
        <f t="shared" si="427"/>
        <v>0.45</v>
      </c>
      <c r="AE295" s="555">
        <f t="shared" si="428"/>
        <v>1798.3739837398373</v>
      </c>
      <c r="AF295" s="538">
        <f t="shared" si="429"/>
        <v>6.4574999999999994E-2</v>
      </c>
      <c r="AH295" s="177">
        <f t="shared" si="430"/>
        <v>2.4848621053369708</v>
      </c>
      <c r="AI295" s="177">
        <f t="shared" si="431"/>
        <v>2.4848621053369708</v>
      </c>
      <c r="AJ295" s="177">
        <f t="shared" si="432"/>
        <v>2.433231189138497</v>
      </c>
      <c r="AL295" s="555">
        <f t="shared" si="433"/>
        <v>331.8</v>
      </c>
      <c r="AM295" s="469">
        <f t="shared" si="434"/>
        <v>337.2271258530057</v>
      </c>
      <c r="AO295">
        <f t="shared" si="435"/>
        <v>331.8</v>
      </c>
      <c r="AP295">
        <f t="shared" si="436"/>
        <v>337.2271258530057</v>
      </c>
      <c r="AR295" s="5">
        <f t="shared" si="406"/>
        <v>2.9653605043500892</v>
      </c>
      <c r="AS295" s="5">
        <f t="shared" si="385"/>
        <v>1.3977349342520462</v>
      </c>
      <c r="AT295" s="5">
        <f t="shared" si="386"/>
        <v>1.567625570098043</v>
      </c>
      <c r="AU295" s="177">
        <f t="shared" si="387"/>
        <v>0.47135413458215741</v>
      </c>
      <c r="CI295" s="571">
        <f t="shared" si="437"/>
        <v>-50</v>
      </c>
    </row>
    <row r="296" spans="5:87" x14ac:dyDescent="0.2">
      <c r="E296" s="174">
        <v>80</v>
      </c>
      <c r="F296" s="221">
        <f t="shared" si="438"/>
        <v>0.33600000000000002</v>
      </c>
      <c r="G296" s="221">
        <f t="shared" si="407"/>
        <v>0.57999999999999996</v>
      </c>
      <c r="H296" s="221">
        <f t="shared" si="408"/>
        <v>5.2080000000000002</v>
      </c>
      <c r="I296" s="221">
        <f t="shared" si="409"/>
        <v>4.6399999999999997</v>
      </c>
      <c r="J296" s="551">
        <f t="shared" si="410"/>
        <v>16</v>
      </c>
      <c r="K296" s="451">
        <f t="shared" si="411"/>
        <v>16.399999999999999</v>
      </c>
      <c r="L296" s="451">
        <f t="shared" si="412"/>
        <v>32.4</v>
      </c>
      <c r="M296" s="451"/>
      <c r="N296" s="221">
        <f t="shared" si="413"/>
        <v>0.50617283950617287</v>
      </c>
      <c r="O296" s="176">
        <f t="shared" si="414"/>
        <v>7.9020200379095593</v>
      </c>
      <c r="P296" s="176">
        <f t="shared" si="415"/>
        <v>13.312578938385389</v>
      </c>
      <c r="Q296" s="221">
        <f t="shared" si="416"/>
        <v>0.50980774438126186</v>
      </c>
      <c r="R296" s="221">
        <f t="shared" si="417"/>
        <v>0.98775250473869491</v>
      </c>
      <c r="S296" s="221">
        <f t="shared" si="418"/>
        <v>15.5</v>
      </c>
      <c r="T296" s="221">
        <f t="shared" si="419"/>
        <v>2.702195121951219</v>
      </c>
      <c r="U296" s="221">
        <f t="shared" si="420"/>
        <v>1.5199847560975606</v>
      </c>
      <c r="V296" s="221">
        <f t="shared" si="421"/>
        <v>1.482911957168352</v>
      </c>
      <c r="W296" s="201">
        <f t="shared" si="422"/>
        <v>350</v>
      </c>
      <c r="X296" s="451">
        <f t="shared" si="423"/>
        <v>333.01178677984319</v>
      </c>
      <c r="Z296" s="221">
        <f t="shared" si="424"/>
        <v>2.5710366451107194</v>
      </c>
      <c r="AA296" s="177">
        <f t="shared" si="425"/>
        <v>1.4109347442680777</v>
      </c>
      <c r="AB296" s="177">
        <f t="shared" si="426"/>
        <v>0.33571919968049235</v>
      </c>
      <c r="AC296" s="177"/>
      <c r="AD296" s="177">
        <f t="shared" si="427"/>
        <v>0.45</v>
      </c>
      <c r="AE296" s="555">
        <f t="shared" si="428"/>
        <v>1821.1382113821142</v>
      </c>
      <c r="AF296" s="538">
        <f t="shared" si="429"/>
        <v>6.4574999999999994E-2</v>
      </c>
      <c r="AH296" s="177">
        <f t="shared" si="430"/>
        <v>2.5005396243008051</v>
      </c>
      <c r="AI296" s="177">
        <f t="shared" si="431"/>
        <v>2.702195121951219</v>
      </c>
      <c r="AJ296" s="177">
        <f t="shared" si="432"/>
        <v>2.594218608852755</v>
      </c>
      <c r="AL296" s="555">
        <f t="shared" si="433"/>
        <v>336</v>
      </c>
      <c r="AM296" s="469">
        <f t="shared" si="434"/>
        <v>333.01178677984319</v>
      </c>
      <c r="AO296">
        <f t="shared" si="435"/>
        <v>336</v>
      </c>
      <c r="AP296">
        <f t="shared" si="436"/>
        <v>333.01178677984319</v>
      </c>
      <c r="AR296" s="5">
        <f t="shared" si="406"/>
        <v>3.0028967132659128</v>
      </c>
      <c r="AS296" s="5">
        <f t="shared" si="385"/>
        <v>1.5199847560975606</v>
      </c>
      <c r="AT296" s="5">
        <f t="shared" si="386"/>
        <v>1.4829119571683522</v>
      </c>
      <c r="AU296" s="177">
        <f t="shared" si="387"/>
        <v>0.50617283950617276</v>
      </c>
      <c r="CI296" s="571">
        <f t="shared" si="437"/>
        <v>-50</v>
      </c>
    </row>
    <row r="297" spans="5:87" x14ac:dyDescent="0.2">
      <c r="E297" s="174">
        <v>81</v>
      </c>
      <c r="F297" s="221">
        <f t="shared" si="438"/>
        <v>0.3402</v>
      </c>
      <c r="G297" s="221">
        <f t="shared" si="407"/>
        <v>0.58725000000000005</v>
      </c>
      <c r="H297" s="221">
        <f t="shared" si="408"/>
        <v>5.2731000000000003</v>
      </c>
      <c r="I297" s="221">
        <f t="shared" si="409"/>
        <v>4.6980000000000004</v>
      </c>
      <c r="J297" s="551">
        <f t="shared" si="410"/>
        <v>16</v>
      </c>
      <c r="K297" s="451">
        <f t="shared" si="411"/>
        <v>16.399999999999999</v>
      </c>
      <c r="L297" s="451">
        <f t="shared" si="412"/>
        <v>32.4</v>
      </c>
      <c r="M297" s="451"/>
      <c r="N297" s="221">
        <f t="shared" si="413"/>
        <v>0.50617283950617287</v>
      </c>
      <c r="O297" s="176">
        <f t="shared" si="414"/>
        <v>7.9020200379095593</v>
      </c>
      <c r="P297" s="176">
        <f t="shared" si="415"/>
        <v>13.312578938385389</v>
      </c>
      <c r="Q297" s="221">
        <f t="shared" si="416"/>
        <v>0.50980774438126186</v>
      </c>
      <c r="R297" s="221">
        <f t="shared" si="417"/>
        <v>0.98775250473869491</v>
      </c>
      <c r="S297" s="221">
        <f t="shared" si="418"/>
        <v>15.5</v>
      </c>
      <c r="T297" s="221">
        <f t="shared" si="419"/>
        <v>2.7359725609756094</v>
      </c>
      <c r="U297" s="221">
        <f t="shared" si="420"/>
        <v>1.5389845655487804</v>
      </c>
      <c r="V297" s="221">
        <f t="shared" si="421"/>
        <v>1.5014483566329566</v>
      </c>
      <c r="W297" s="201">
        <f t="shared" si="422"/>
        <v>350</v>
      </c>
      <c r="X297" s="451">
        <f t="shared" si="423"/>
        <v>328.90053015293148</v>
      </c>
      <c r="Z297" s="221">
        <f t="shared" si="424"/>
        <v>2.5710366451107194</v>
      </c>
      <c r="AA297" s="177">
        <f t="shared" si="425"/>
        <v>1.4109347442680777</v>
      </c>
      <c r="AB297" s="177">
        <f t="shared" si="426"/>
        <v>0.33571919968049235</v>
      </c>
      <c r="AC297" s="177"/>
      <c r="AD297" s="177">
        <f t="shared" si="427"/>
        <v>0.45</v>
      </c>
      <c r="AE297" s="555">
        <f t="shared" si="428"/>
        <v>1843.9024390243903</v>
      </c>
      <c r="AF297" s="538">
        <f t="shared" si="429"/>
        <v>6.4574999999999994E-2</v>
      </c>
      <c r="AH297" s="177">
        <f t="shared" si="430"/>
        <v>2.5161194611657738</v>
      </c>
      <c r="AI297" s="177">
        <f t="shared" si="431"/>
        <v>2.7359725609756094</v>
      </c>
      <c r="AJ297" s="177">
        <f t="shared" si="432"/>
        <v>2.6192389340560069</v>
      </c>
      <c r="AL297" s="555">
        <f t="shared" si="433"/>
        <v>340.2</v>
      </c>
      <c r="AM297" s="469">
        <f t="shared" si="434"/>
        <v>328.90053015293148</v>
      </c>
      <c r="AO297">
        <f t="shared" si="435"/>
        <v>340.2</v>
      </c>
      <c r="AP297">
        <f t="shared" si="436"/>
        <v>328.90053015293148</v>
      </c>
      <c r="AR297" s="5">
        <f t="shared" si="406"/>
        <v>3.0404329221817372</v>
      </c>
      <c r="AS297" s="5">
        <f t="shared" si="385"/>
        <v>1.5389845655487804</v>
      </c>
      <c r="AT297" s="5">
        <f t="shared" si="386"/>
        <v>1.5014483566329568</v>
      </c>
      <c r="AU297" s="177">
        <f t="shared" si="387"/>
        <v>0.50617283950617276</v>
      </c>
      <c r="CI297" s="571">
        <f t="shared" si="437"/>
        <v>-50</v>
      </c>
    </row>
    <row r="298" spans="5:87" x14ac:dyDescent="0.2">
      <c r="E298" s="174">
        <v>82</v>
      </c>
      <c r="F298" s="221">
        <f t="shared" si="438"/>
        <v>0.34439999999999998</v>
      </c>
      <c r="G298" s="221">
        <f t="shared" si="407"/>
        <v>0.59449999999999992</v>
      </c>
      <c r="H298" s="221">
        <f t="shared" si="408"/>
        <v>5.3381999999999996</v>
      </c>
      <c r="I298" s="221">
        <f t="shared" si="409"/>
        <v>4.7559999999999993</v>
      </c>
      <c r="J298" s="551">
        <f t="shared" si="410"/>
        <v>16</v>
      </c>
      <c r="K298" s="451">
        <f t="shared" si="411"/>
        <v>16.399999999999999</v>
      </c>
      <c r="L298" s="451">
        <f t="shared" si="412"/>
        <v>32.4</v>
      </c>
      <c r="M298" s="451"/>
      <c r="N298" s="221">
        <f t="shared" si="413"/>
        <v>0.50617283950617287</v>
      </c>
      <c r="O298" s="176">
        <f t="shared" si="414"/>
        <v>7.9020200379095593</v>
      </c>
      <c r="P298" s="176">
        <f t="shared" si="415"/>
        <v>13.312578938385389</v>
      </c>
      <c r="Q298" s="221">
        <f t="shared" si="416"/>
        <v>0.50980774438126186</v>
      </c>
      <c r="R298" s="221">
        <f t="shared" si="417"/>
        <v>0.98775250473869491</v>
      </c>
      <c r="S298" s="221">
        <f t="shared" si="418"/>
        <v>15.5</v>
      </c>
      <c r="T298" s="221">
        <f t="shared" si="419"/>
        <v>2.7697499999999993</v>
      </c>
      <c r="U298" s="221">
        <f t="shared" si="420"/>
        <v>1.5579843749999998</v>
      </c>
      <c r="V298" s="221">
        <f t="shared" si="421"/>
        <v>1.5199847560975608</v>
      </c>
      <c r="W298" s="201">
        <f t="shared" si="422"/>
        <v>350</v>
      </c>
      <c r="X298" s="451">
        <f t="shared" si="423"/>
        <v>324.88954807789577</v>
      </c>
      <c r="Z298" s="221">
        <f t="shared" si="424"/>
        <v>2.5710366451107194</v>
      </c>
      <c r="AA298" s="177">
        <f t="shared" si="425"/>
        <v>1.4109347442680777</v>
      </c>
      <c r="AB298" s="177">
        <f t="shared" si="426"/>
        <v>0.33571919968049235</v>
      </c>
      <c r="AC298" s="177"/>
      <c r="AD298" s="177">
        <f t="shared" si="427"/>
        <v>0.45</v>
      </c>
      <c r="AE298" s="555">
        <f t="shared" si="428"/>
        <v>1866.6666666666667</v>
      </c>
      <c r="AF298" s="538">
        <f t="shared" si="429"/>
        <v>6.4574999999999994E-2</v>
      </c>
      <c r="AH298" s="177">
        <f t="shared" si="430"/>
        <v>2.5316034193798744</v>
      </c>
      <c r="AI298" s="177">
        <f t="shared" si="431"/>
        <v>2.7697499999999993</v>
      </c>
      <c r="AJ298" s="177">
        <f t="shared" si="432"/>
        <v>2.6442592592592589</v>
      </c>
      <c r="AL298" s="555">
        <f t="shared" si="433"/>
        <v>344.4</v>
      </c>
      <c r="AM298" s="469">
        <f t="shared" si="434"/>
        <v>324.88954807789577</v>
      </c>
      <c r="AO298">
        <f t="shared" si="435"/>
        <v>344.4</v>
      </c>
      <c r="AP298">
        <f t="shared" si="436"/>
        <v>324.88954807789577</v>
      </c>
      <c r="AR298" s="5">
        <f t="shared" si="406"/>
        <v>3.0779691310975608</v>
      </c>
      <c r="AS298" s="5">
        <f t="shared" si="385"/>
        <v>1.5579843749999998</v>
      </c>
      <c r="AT298" s="5">
        <f t="shared" si="386"/>
        <v>1.519984756097561</v>
      </c>
      <c r="AU298" s="177">
        <f t="shared" si="387"/>
        <v>0.50617283950617276</v>
      </c>
      <c r="CI298" s="571">
        <f t="shared" si="437"/>
        <v>-50</v>
      </c>
    </row>
    <row r="299" spans="5:87" x14ac:dyDescent="0.2">
      <c r="E299" s="174">
        <v>83</v>
      </c>
      <c r="F299" s="221">
        <f t="shared" si="438"/>
        <v>0.34859999999999997</v>
      </c>
      <c r="G299" s="221">
        <f t="shared" si="407"/>
        <v>0.60175000000000001</v>
      </c>
      <c r="H299" s="221">
        <f t="shared" si="408"/>
        <v>5.4032999999999998</v>
      </c>
      <c r="I299" s="221">
        <f t="shared" si="409"/>
        <v>4.8140000000000001</v>
      </c>
      <c r="J299" s="551">
        <f t="shared" si="410"/>
        <v>16</v>
      </c>
      <c r="K299" s="451">
        <f t="shared" si="411"/>
        <v>16.399999999999999</v>
      </c>
      <c r="L299" s="451">
        <f t="shared" si="412"/>
        <v>32.4</v>
      </c>
      <c r="M299" s="451"/>
      <c r="N299" s="221">
        <f t="shared" si="413"/>
        <v>0.50617283950617287</v>
      </c>
      <c r="O299" s="176">
        <f t="shared" si="414"/>
        <v>7.9020200379095593</v>
      </c>
      <c r="P299" s="176">
        <f t="shared" si="415"/>
        <v>13.312578938385389</v>
      </c>
      <c r="Q299" s="221">
        <f t="shared" si="416"/>
        <v>0.50980774438126186</v>
      </c>
      <c r="R299" s="221">
        <f t="shared" si="417"/>
        <v>0.98775250473869491</v>
      </c>
      <c r="S299" s="221">
        <f t="shared" si="418"/>
        <v>15.5</v>
      </c>
      <c r="T299" s="221">
        <f t="shared" si="419"/>
        <v>2.8035274390243901</v>
      </c>
      <c r="U299" s="221">
        <f t="shared" si="420"/>
        <v>1.5769841844512194</v>
      </c>
      <c r="V299" s="221">
        <f t="shared" si="421"/>
        <v>1.5385211555621656</v>
      </c>
      <c r="W299" s="201">
        <f t="shared" si="422"/>
        <v>350</v>
      </c>
      <c r="X299" s="451">
        <f t="shared" si="423"/>
        <v>320.97521617334274</v>
      </c>
      <c r="Z299" s="221">
        <f t="shared" si="424"/>
        <v>2.5710366451107194</v>
      </c>
      <c r="AA299" s="177">
        <f t="shared" si="425"/>
        <v>1.4109347442680777</v>
      </c>
      <c r="AB299" s="177">
        <f t="shared" si="426"/>
        <v>0.33571919968049235</v>
      </c>
      <c r="AC299" s="177"/>
      <c r="AD299" s="177">
        <f t="shared" si="427"/>
        <v>0.45</v>
      </c>
      <c r="AE299" s="555">
        <f t="shared" si="428"/>
        <v>1889.4308943089432</v>
      </c>
      <c r="AF299" s="538">
        <f t="shared" si="429"/>
        <v>6.4574999999999994E-2</v>
      </c>
      <c r="AH299" s="177">
        <f t="shared" si="430"/>
        <v>2.5469932475714581</v>
      </c>
      <c r="AI299" s="177">
        <f t="shared" si="431"/>
        <v>2.8035274390243901</v>
      </c>
      <c r="AJ299" s="177">
        <f t="shared" si="432"/>
        <v>2.6692795844625112</v>
      </c>
      <c r="AL299" s="555">
        <f t="shared" si="433"/>
        <v>348.59999999999997</v>
      </c>
      <c r="AM299" s="469">
        <f t="shared" si="434"/>
        <v>320.97521617334274</v>
      </c>
      <c r="AO299">
        <f t="shared" si="435"/>
        <v>348.59999999999997</v>
      </c>
      <c r="AP299">
        <f t="shared" si="436"/>
        <v>320.97521617334274</v>
      </c>
      <c r="AR299" s="5">
        <f t="shared" si="406"/>
        <v>3.1155053400133852</v>
      </c>
      <c r="AS299" s="5">
        <f t="shared" si="385"/>
        <v>1.5769841844512194</v>
      </c>
      <c r="AT299" s="5">
        <f t="shared" si="386"/>
        <v>1.5385211555621658</v>
      </c>
      <c r="AU299" s="177">
        <f t="shared" si="387"/>
        <v>0.50617283950617276</v>
      </c>
      <c r="CI299" s="571">
        <f t="shared" si="437"/>
        <v>-50</v>
      </c>
    </row>
    <row r="300" spans="5:87" x14ac:dyDescent="0.2">
      <c r="E300" s="174">
        <v>84</v>
      </c>
      <c r="F300" s="221">
        <f t="shared" si="438"/>
        <v>0.35279999999999995</v>
      </c>
      <c r="G300" s="221">
        <f t="shared" si="407"/>
        <v>0.60899999999999999</v>
      </c>
      <c r="H300" s="221">
        <f t="shared" si="408"/>
        <v>5.468399999999999</v>
      </c>
      <c r="I300" s="221">
        <f t="shared" si="409"/>
        <v>4.8719999999999999</v>
      </c>
      <c r="J300" s="551">
        <f t="shared" si="410"/>
        <v>16</v>
      </c>
      <c r="K300" s="451">
        <f t="shared" si="411"/>
        <v>16.399999999999999</v>
      </c>
      <c r="L300" s="451">
        <f t="shared" si="412"/>
        <v>32.4</v>
      </c>
      <c r="M300" s="451"/>
      <c r="N300" s="221">
        <f t="shared" si="413"/>
        <v>0.50617283950617287</v>
      </c>
      <c r="O300" s="176">
        <f t="shared" si="414"/>
        <v>7.9020200379095593</v>
      </c>
      <c r="P300" s="176">
        <f t="shared" si="415"/>
        <v>13.312578938385389</v>
      </c>
      <c r="Q300" s="221">
        <f t="shared" si="416"/>
        <v>0.50980774438126186</v>
      </c>
      <c r="R300" s="221">
        <f t="shared" si="417"/>
        <v>0.98775250473869491</v>
      </c>
      <c r="S300" s="221">
        <f t="shared" si="418"/>
        <v>15.5</v>
      </c>
      <c r="T300" s="221">
        <f t="shared" si="419"/>
        <v>2.83730487804878</v>
      </c>
      <c r="U300" s="221">
        <f t="shared" si="420"/>
        <v>1.5959839939024387</v>
      </c>
      <c r="V300" s="221">
        <f t="shared" si="421"/>
        <v>1.5570575550267696</v>
      </c>
      <c r="W300" s="201">
        <f t="shared" si="422"/>
        <v>350</v>
      </c>
      <c r="X300" s="451">
        <f t="shared" si="423"/>
        <v>317.15408264746969</v>
      </c>
      <c r="Z300" s="221">
        <f t="shared" si="424"/>
        <v>2.5710366451107194</v>
      </c>
      <c r="AA300" s="177">
        <f t="shared" si="425"/>
        <v>1.4109347442680777</v>
      </c>
      <c r="AB300" s="177">
        <f t="shared" si="426"/>
        <v>0.33571919968049235</v>
      </c>
      <c r="AC300" s="177"/>
      <c r="AD300" s="177">
        <f t="shared" si="427"/>
        <v>0.45</v>
      </c>
      <c r="AE300" s="555">
        <f t="shared" si="428"/>
        <v>1912.1951219512193</v>
      </c>
      <c r="AF300" s="538">
        <f t="shared" si="429"/>
        <v>6.4574999999999994E-2</v>
      </c>
      <c r="AH300" s="177">
        <f t="shared" si="430"/>
        <v>2.5622906418541462</v>
      </c>
      <c r="AI300" s="177">
        <f t="shared" si="431"/>
        <v>2.83730487804878</v>
      </c>
      <c r="AJ300" s="177">
        <f t="shared" si="432"/>
        <v>2.6942999096657632</v>
      </c>
      <c r="AL300" s="555">
        <f t="shared" si="433"/>
        <v>352.79999999999995</v>
      </c>
      <c r="AM300" s="469">
        <f t="shared" si="434"/>
        <v>317.15408264746969</v>
      </c>
      <c r="AO300">
        <f t="shared" si="435"/>
        <v>352.79999999999995</v>
      </c>
      <c r="AP300">
        <f t="shared" si="436"/>
        <v>317.15408264746969</v>
      </c>
      <c r="AR300" s="5">
        <f t="shared" si="406"/>
        <v>3.1530415489292083</v>
      </c>
      <c r="AS300" s="5">
        <f t="shared" si="385"/>
        <v>1.5959839939024387</v>
      </c>
      <c r="AT300" s="5">
        <f t="shared" si="386"/>
        <v>1.5570575550267696</v>
      </c>
      <c r="AU300" s="177">
        <f t="shared" si="387"/>
        <v>0.50617283950617287</v>
      </c>
      <c r="CI300" s="571">
        <f t="shared" si="437"/>
        <v>-50</v>
      </c>
    </row>
    <row r="301" spans="5:87" x14ac:dyDescent="0.2">
      <c r="E301" s="174">
        <v>85</v>
      </c>
      <c r="F301" s="221">
        <f t="shared" si="438"/>
        <v>0.35699999999999998</v>
      </c>
      <c r="G301" s="221">
        <f t="shared" si="407"/>
        <v>0.61624999999999996</v>
      </c>
      <c r="H301" s="221">
        <f t="shared" si="408"/>
        <v>5.5335000000000001</v>
      </c>
      <c r="I301" s="221">
        <f t="shared" si="409"/>
        <v>4.93</v>
      </c>
      <c r="J301" s="551">
        <f t="shared" si="410"/>
        <v>16</v>
      </c>
      <c r="K301" s="451">
        <f t="shared" si="411"/>
        <v>16.399999999999999</v>
      </c>
      <c r="L301" s="451">
        <f t="shared" si="412"/>
        <v>32.4</v>
      </c>
      <c r="M301" s="451"/>
      <c r="N301" s="221">
        <f t="shared" si="413"/>
        <v>0.50617283950617287</v>
      </c>
      <c r="O301" s="176">
        <f t="shared" si="414"/>
        <v>7.9020200379095593</v>
      </c>
      <c r="P301" s="176">
        <f t="shared" si="415"/>
        <v>13.312578938385389</v>
      </c>
      <c r="Q301" s="221">
        <f t="shared" si="416"/>
        <v>0.50980774438126186</v>
      </c>
      <c r="R301" s="221">
        <f t="shared" si="417"/>
        <v>0.98775250473869491</v>
      </c>
      <c r="S301" s="221">
        <f t="shared" si="418"/>
        <v>15.5</v>
      </c>
      <c r="T301" s="221">
        <f t="shared" si="419"/>
        <v>2.8710823170731703</v>
      </c>
      <c r="U301" s="221">
        <f t="shared" si="420"/>
        <v>1.6149838033536583</v>
      </c>
      <c r="V301" s="221">
        <f t="shared" si="421"/>
        <v>1.575593954491374</v>
      </c>
      <c r="W301" s="201">
        <f t="shared" si="422"/>
        <v>350</v>
      </c>
      <c r="X301" s="451">
        <f t="shared" si="423"/>
        <v>313.42285814573472</v>
      </c>
      <c r="Z301" s="221">
        <f t="shared" si="424"/>
        <v>2.5710366451107194</v>
      </c>
      <c r="AA301" s="177">
        <f t="shared" si="425"/>
        <v>1.4109347442680777</v>
      </c>
      <c r="AB301" s="177">
        <f t="shared" si="426"/>
        <v>0.33571919968049235</v>
      </c>
      <c r="AC301" s="177"/>
      <c r="AD301" s="177">
        <f t="shared" si="427"/>
        <v>0.45</v>
      </c>
      <c r="AE301" s="555">
        <f t="shared" si="428"/>
        <v>1934.959349593496</v>
      </c>
      <c r="AF301" s="538">
        <f t="shared" si="429"/>
        <v>6.4574999999999994E-2</v>
      </c>
      <c r="AH301" s="177">
        <f t="shared" si="430"/>
        <v>2.5774972480086302</v>
      </c>
      <c r="AI301" s="177">
        <f t="shared" si="431"/>
        <v>2.8710823170731703</v>
      </c>
      <c r="AJ301" s="177">
        <f t="shared" si="432"/>
        <v>2.7193202348690151</v>
      </c>
      <c r="AL301" s="555">
        <f t="shared" si="433"/>
        <v>357</v>
      </c>
      <c r="AM301" s="469">
        <f t="shared" si="434"/>
        <v>313.42285814573472</v>
      </c>
      <c r="AO301">
        <f t="shared" si="435"/>
        <v>357</v>
      </c>
      <c r="AP301">
        <f t="shared" si="436"/>
        <v>313.42285814573472</v>
      </c>
      <c r="AR301" s="5">
        <f t="shared" si="406"/>
        <v>3.1905777578450323</v>
      </c>
      <c r="AS301" s="5">
        <f t="shared" si="385"/>
        <v>1.6149838033536583</v>
      </c>
      <c r="AT301" s="5">
        <f t="shared" si="386"/>
        <v>1.575593954491374</v>
      </c>
      <c r="AU301" s="177">
        <f t="shared" si="387"/>
        <v>0.50617283950617287</v>
      </c>
      <c r="CI301" s="571">
        <f t="shared" si="437"/>
        <v>-50</v>
      </c>
    </row>
    <row r="302" spans="5:87" x14ac:dyDescent="0.2">
      <c r="E302" s="174">
        <v>86</v>
      </c>
      <c r="F302" s="221">
        <f t="shared" si="438"/>
        <v>0.36119999999999997</v>
      </c>
      <c r="G302" s="221">
        <f t="shared" si="407"/>
        <v>0.62349999999999994</v>
      </c>
      <c r="H302" s="221">
        <f t="shared" si="408"/>
        <v>5.5985999999999994</v>
      </c>
      <c r="I302" s="221">
        <f t="shared" si="409"/>
        <v>4.9879999999999995</v>
      </c>
      <c r="J302" s="551">
        <f t="shared" si="410"/>
        <v>16</v>
      </c>
      <c r="K302" s="451">
        <f t="shared" si="411"/>
        <v>16.399999999999999</v>
      </c>
      <c r="L302" s="451">
        <f t="shared" si="412"/>
        <v>32.4</v>
      </c>
      <c r="M302" s="451"/>
      <c r="N302" s="221">
        <f t="shared" si="413"/>
        <v>0.50617283950617287</v>
      </c>
      <c r="O302" s="176">
        <f t="shared" si="414"/>
        <v>7.9020200379095593</v>
      </c>
      <c r="P302" s="176">
        <f t="shared" si="415"/>
        <v>13.312578938385389</v>
      </c>
      <c r="Q302" s="221">
        <f t="shared" si="416"/>
        <v>0.50980774438126186</v>
      </c>
      <c r="R302" s="221">
        <f t="shared" si="417"/>
        <v>0.98775250473869491</v>
      </c>
      <c r="S302" s="221">
        <f t="shared" si="418"/>
        <v>15.5</v>
      </c>
      <c r="T302" s="221">
        <f t="shared" si="419"/>
        <v>2.9048597560975602</v>
      </c>
      <c r="U302" s="221">
        <f t="shared" si="420"/>
        <v>1.6339836128048777</v>
      </c>
      <c r="V302" s="221">
        <f t="shared" si="421"/>
        <v>1.5941303539559784</v>
      </c>
      <c r="W302" s="201">
        <f t="shared" si="422"/>
        <v>350</v>
      </c>
      <c r="X302" s="451">
        <f t="shared" si="423"/>
        <v>309.7784063068309</v>
      </c>
      <c r="Z302" s="221">
        <f t="shared" si="424"/>
        <v>2.5710366451107194</v>
      </c>
      <c r="AA302" s="177">
        <f t="shared" si="425"/>
        <v>1.4109347442680777</v>
      </c>
      <c r="AB302" s="177">
        <f t="shared" si="426"/>
        <v>0.33571919968049235</v>
      </c>
      <c r="AC302" s="177"/>
      <c r="AD302" s="177">
        <f t="shared" si="427"/>
        <v>0.45</v>
      </c>
      <c r="AE302" s="555">
        <f t="shared" si="428"/>
        <v>1957.7235772357724</v>
      </c>
      <c r="AF302" s="538">
        <f t="shared" si="429"/>
        <v>6.4574999999999994E-2</v>
      </c>
      <c r="AH302" s="177">
        <f t="shared" si="430"/>
        <v>2.592614663549289</v>
      </c>
      <c r="AI302" s="177">
        <f t="shared" si="431"/>
        <v>2.9048597560975602</v>
      </c>
      <c r="AJ302" s="177">
        <f t="shared" si="432"/>
        <v>2.744340560072267</v>
      </c>
      <c r="AL302" s="555">
        <f t="shared" si="433"/>
        <v>361.2</v>
      </c>
      <c r="AM302" s="469">
        <f t="shared" si="434"/>
        <v>309.7784063068309</v>
      </c>
      <c r="AO302">
        <f t="shared" si="435"/>
        <v>361.2</v>
      </c>
      <c r="AP302">
        <f t="shared" si="436"/>
        <v>309.7784063068309</v>
      </c>
      <c r="AR302" s="5">
        <f t="shared" si="406"/>
        <v>3.2281139667608558</v>
      </c>
      <c r="AS302" s="5">
        <f t="shared" si="385"/>
        <v>1.6339836128048777</v>
      </c>
      <c r="AT302" s="5">
        <f t="shared" si="386"/>
        <v>1.5941303539559781</v>
      </c>
      <c r="AU302" s="177">
        <f t="shared" si="387"/>
        <v>0.50617283950617287</v>
      </c>
      <c r="CI302" s="571">
        <f t="shared" si="437"/>
        <v>-50</v>
      </c>
    </row>
    <row r="303" spans="5:87" x14ac:dyDescent="0.2">
      <c r="E303" s="174">
        <v>87</v>
      </c>
      <c r="F303" s="221">
        <f t="shared" si="438"/>
        <v>0.3654</v>
      </c>
      <c r="G303" s="221">
        <f t="shared" si="407"/>
        <v>0.63075000000000003</v>
      </c>
      <c r="H303" s="221">
        <f t="shared" si="408"/>
        <v>5.6637000000000004</v>
      </c>
      <c r="I303" s="221">
        <f t="shared" si="409"/>
        <v>5.0460000000000003</v>
      </c>
      <c r="J303" s="551">
        <f t="shared" si="410"/>
        <v>16</v>
      </c>
      <c r="K303" s="451">
        <f t="shared" si="411"/>
        <v>16.399999999999999</v>
      </c>
      <c r="L303" s="451">
        <f t="shared" si="412"/>
        <v>32.4</v>
      </c>
      <c r="M303" s="451"/>
      <c r="N303" s="221">
        <f t="shared" si="413"/>
        <v>0.50617283950617287</v>
      </c>
      <c r="O303" s="176">
        <f t="shared" si="414"/>
        <v>7.9020200379095593</v>
      </c>
      <c r="P303" s="176">
        <f t="shared" si="415"/>
        <v>13.312578938385389</v>
      </c>
      <c r="Q303" s="221">
        <f t="shared" si="416"/>
        <v>0.50980774438126186</v>
      </c>
      <c r="R303" s="221">
        <f t="shared" si="417"/>
        <v>0.98775250473869491</v>
      </c>
      <c r="S303" s="221">
        <f t="shared" si="418"/>
        <v>15.5</v>
      </c>
      <c r="T303" s="221">
        <f t="shared" si="419"/>
        <v>2.9386371951219514</v>
      </c>
      <c r="U303" s="221">
        <f t="shared" si="420"/>
        <v>1.6529834222560977</v>
      </c>
      <c r="V303" s="221">
        <f t="shared" si="421"/>
        <v>1.6126667534205832</v>
      </c>
      <c r="W303" s="201">
        <f t="shared" si="422"/>
        <v>350</v>
      </c>
      <c r="X303" s="451">
        <f t="shared" si="423"/>
        <v>306.21773496997065</v>
      </c>
      <c r="Z303" s="221">
        <f t="shared" si="424"/>
        <v>2.5710366451107194</v>
      </c>
      <c r="AA303" s="177">
        <f t="shared" si="425"/>
        <v>1.4109347442680777</v>
      </c>
      <c r="AB303" s="177">
        <f t="shared" si="426"/>
        <v>0.33571919968049235</v>
      </c>
      <c r="AC303" s="177"/>
      <c r="AD303" s="177">
        <f t="shared" si="427"/>
        <v>0.45</v>
      </c>
      <c r="AE303" s="555">
        <f t="shared" si="428"/>
        <v>1980.4878048780488</v>
      </c>
      <c r="AF303" s="538">
        <f t="shared" si="429"/>
        <v>6.4574999999999994E-2</v>
      </c>
      <c r="AH303" s="177">
        <f t="shared" si="430"/>
        <v>2.6076444396829728</v>
      </c>
      <c r="AI303" s="177">
        <f t="shared" si="431"/>
        <v>2.9386371951219514</v>
      </c>
      <c r="AJ303" s="177">
        <f t="shared" si="432"/>
        <v>2.7693608852755194</v>
      </c>
      <c r="AL303" s="555">
        <f t="shared" si="433"/>
        <v>365.4</v>
      </c>
      <c r="AM303" s="469">
        <f t="shared" si="434"/>
        <v>306.21773496997065</v>
      </c>
      <c r="AO303">
        <f t="shared" si="435"/>
        <v>365.4</v>
      </c>
      <c r="AP303">
        <f t="shared" si="436"/>
        <v>306.21773496997065</v>
      </c>
      <c r="AR303" s="5">
        <f t="shared" si="406"/>
        <v>3.2656501756766807</v>
      </c>
      <c r="AS303" s="5">
        <f t="shared" si="385"/>
        <v>1.6529834222560977</v>
      </c>
      <c r="AT303" s="5">
        <f t="shared" si="386"/>
        <v>1.612666753420583</v>
      </c>
      <c r="AU303" s="177">
        <f t="shared" si="387"/>
        <v>0.50617283950617287</v>
      </c>
      <c r="CI303" s="571">
        <f t="shared" si="437"/>
        <v>-50</v>
      </c>
    </row>
    <row r="304" spans="5:87" x14ac:dyDescent="0.2">
      <c r="E304" s="174">
        <v>88</v>
      </c>
      <c r="F304" s="221">
        <f t="shared" si="438"/>
        <v>0.36959999999999998</v>
      </c>
      <c r="G304" s="221">
        <f t="shared" si="407"/>
        <v>0.63800000000000001</v>
      </c>
      <c r="H304" s="221">
        <f t="shared" si="408"/>
        <v>5.7287999999999997</v>
      </c>
      <c r="I304" s="221">
        <f t="shared" si="409"/>
        <v>5.1040000000000001</v>
      </c>
      <c r="J304" s="551">
        <f t="shared" si="410"/>
        <v>16</v>
      </c>
      <c r="K304" s="451">
        <f t="shared" si="411"/>
        <v>16.399999999999999</v>
      </c>
      <c r="L304" s="451">
        <f t="shared" si="412"/>
        <v>32.4</v>
      </c>
      <c r="M304" s="451"/>
      <c r="N304" s="221">
        <f t="shared" si="413"/>
        <v>0.50617283950617287</v>
      </c>
      <c r="O304" s="176">
        <f t="shared" si="414"/>
        <v>7.9020200379095593</v>
      </c>
      <c r="P304" s="176">
        <f t="shared" si="415"/>
        <v>13.312578938385389</v>
      </c>
      <c r="Q304" s="221">
        <f t="shared" si="416"/>
        <v>0.50980774438126186</v>
      </c>
      <c r="R304" s="221">
        <f t="shared" si="417"/>
        <v>0.98775250473869491</v>
      </c>
      <c r="S304" s="221">
        <f t="shared" si="418"/>
        <v>15.5</v>
      </c>
      <c r="T304" s="221">
        <f t="shared" si="419"/>
        <v>2.9724146341463409</v>
      </c>
      <c r="U304" s="221">
        <f t="shared" si="420"/>
        <v>1.6719832317073169</v>
      </c>
      <c r="V304" s="221">
        <f t="shared" si="421"/>
        <v>1.6312031528851874</v>
      </c>
      <c r="W304" s="201">
        <f t="shared" si="422"/>
        <v>350</v>
      </c>
      <c r="X304" s="451">
        <f t="shared" si="423"/>
        <v>302.73798798167559</v>
      </c>
      <c r="Z304" s="221">
        <f t="shared" si="424"/>
        <v>2.5710366451107194</v>
      </c>
      <c r="AA304" s="177">
        <f t="shared" si="425"/>
        <v>1.4109347442680777</v>
      </c>
      <c r="AB304" s="177">
        <f t="shared" si="426"/>
        <v>0.33571919968049235</v>
      </c>
      <c r="AC304" s="177"/>
      <c r="AD304" s="177">
        <f t="shared" si="427"/>
        <v>0.45</v>
      </c>
      <c r="AE304" s="555">
        <f t="shared" si="428"/>
        <v>2003.2520325203252</v>
      </c>
      <c r="AF304" s="538">
        <f t="shared" si="429"/>
        <v>6.4574999999999994E-2</v>
      </c>
      <c r="AH304" s="177">
        <f t="shared" si="430"/>
        <v>2.6225880831667512</v>
      </c>
      <c r="AI304" s="177">
        <f t="shared" si="431"/>
        <v>2.9724146341463409</v>
      </c>
      <c r="AJ304" s="177">
        <f t="shared" si="432"/>
        <v>2.7943812104787709</v>
      </c>
      <c r="AL304" s="555">
        <f t="shared" si="433"/>
        <v>369.59999999999997</v>
      </c>
      <c r="AM304" s="469">
        <f t="shared" si="434"/>
        <v>302.73798798167559</v>
      </c>
      <c r="AO304">
        <f t="shared" si="435"/>
        <v>369.59999999999997</v>
      </c>
      <c r="AP304">
        <f t="shared" si="436"/>
        <v>302.73798798167559</v>
      </c>
      <c r="AR304" s="5">
        <f t="shared" si="406"/>
        <v>3.3031863845925042</v>
      </c>
      <c r="AS304" s="5">
        <f t="shared" si="385"/>
        <v>1.6719832317073169</v>
      </c>
      <c r="AT304" s="5">
        <f t="shared" si="386"/>
        <v>1.6312031528851874</v>
      </c>
      <c r="AU304" s="177">
        <f t="shared" si="387"/>
        <v>0.50617283950617287</v>
      </c>
      <c r="CI304" s="571">
        <f t="shared" si="437"/>
        <v>-50</v>
      </c>
    </row>
    <row r="305" spans="4:87" x14ac:dyDescent="0.2">
      <c r="E305" s="174">
        <v>89</v>
      </c>
      <c r="F305" s="221">
        <f t="shared" si="438"/>
        <v>0.37379999999999997</v>
      </c>
      <c r="G305" s="221">
        <f t="shared" si="407"/>
        <v>0.64524999999999999</v>
      </c>
      <c r="H305" s="221">
        <f t="shared" si="408"/>
        <v>5.7938999999999998</v>
      </c>
      <c r="I305" s="221">
        <f t="shared" si="409"/>
        <v>5.1619999999999999</v>
      </c>
      <c r="J305" s="551">
        <f t="shared" si="410"/>
        <v>16</v>
      </c>
      <c r="K305" s="451">
        <f t="shared" si="411"/>
        <v>16.399999999999999</v>
      </c>
      <c r="L305" s="451">
        <f t="shared" si="412"/>
        <v>32.4</v>
      </c>
      <c r="M305" s="451"/>
      <c r="N305" s="221">
        <f t="shared" si="413"/>
        <v>0.50617283950617287</v>
      </c>
      <c r="O305" s="176">
        <f t="shared" si="414"/>
        <v>7.9020200379095593</v>
      </c>
      <c r="P305" s="176">
        <f t="shared" si="415"/>
        <v>13.312578938385389</v>
      </c>
      <c r="Q305" s="221">
        <f t="shared" si="416"/>
        <v>0.50980774438126186</v>
      </c>
      <c r="R305" s="221">
        <f t="shared" si="417"/>
        <v>0.98775250473869491</v>
      </c>
      <c r="S305" s="221">
        <f t="shared" si="418"/>
        <v>15.5</v>
      </c>
      <c r="T305" s="221">
        <f t="shared" si="419"/>
        <v>3.0061920731707312</v>
      </c>
      <c r="U305" s="221">
        <f t="shared" si="420"/>
        <v>1.6909830411585365</v>
      </c>
      <c r="V305" s="221">
        <f t="shared" si="421"/>
        <v>1.6497395523497917</v>
      </c>
      <c r="W305" s="201">
        <f t="shared" si="422"/>
        <v>350</v>
      </c>
      <c r="X305" s="451">
        <f t="shared" si="423"/>
        <v>299.33643755491516</v>
      </c>
      <c r="Z305" s="221">
        <f t="shared" si="424"/>
        <v>2.5710366451107194</v>
      </c>
      <c r="AA305" s="177">
        <f t="shared" si="425"/>
        <v>1.4109347442680777</v>
      </c>
      <c r="AB305" s="177">
        <f t="shared" si="426"/>
        <v>0.33571919968049235</v>
      </c>
      <c r="AC305" s="177"/>
      <c r="AD305" s="177">
        <f t="shared" si="427"/>
        <v>0.45</v>
      </c>
      <c r="AE305" s="555">
        <f t="shared" si="428"/>
        <v>2026.0162601626016</v>
      </c>
      <c r="AF305" s="538">
        <f t="shared" si="429"/>
        <v>6.4574999999999994E-2</v>
      </c>
      <c r="AH305" s="177">
        <f t="shared" si="430"/>
        <v>2.6374470580709266</v>
      </c>
      <c r="AI305" s="177">
        <f t="shared" si="431"/>
        <v>3.0061920731707312</v>
      </c>
      <c r="AJ305" s="177">
        <f t="shared" si="432"/>
        <v>2.8194015356820232</v>
      </c>
      <c r="AL305" s="555">
        <f t="shared" si="433"/>
        <v>373.79999999999995</v>
      </c>
      <c r="AM305" s="469">
        <f t="shared" si="434"/>
        <v>299.33643755491516</v>
      </c>
      <c r="AO305">
        <f t="shared" si="435"/>
        <v>373.79999999999995</v>
      </c>
      <c r="AP305">
        <f t="shared" si="436"/>
        <v>299.33643755491516</v>
      </c>
      <c r="AR305" s="5">
        <f t="shared" si="406"/>
        <v>3.3407225935083282</v>
      </c>
      <c r="AS305" s="5">
        <f t="shared" si="385"/>
        <v>1.6909830411585365</v>
      </c>
      <c r="AT305" s="5">
        <f t="shared" si="386"/>
        <v>1.6497395523497917</v>
      </c>
      <c r="AU305" s="177">
        <f t="shared" si="387"/>
        <v>0.50617283950617287</v>
      </c>
      <c r="CI305" s="571">
        <f t="shared" si="437"/>
        <v>-50</v>
      </c>
    </row>
    <row r="306" spans="4:87" x14ac:dyDescent="0.2">
      <c r="E306" s="174">
        <v>90</v>
      </c>
      <c r="F306" s="221">
        <f t="shared" si="438"/>
        <v>0.378</v>
      </c>
      <c r="G306" s="221">
        <f t="shared" si="407"/>
        <v>0.65249999999999997</v>
      </c>
      <c r="H306" s="221">
        <f t="shared" si="408"/>
        <v>5.859</v>
      </c>
      <c r="I306" s="221">
        <f t="shared" si="409"/>
        <v>5.22</v>
      </c>
      <c r="J306" s="551">
        <f t="shared" si="410"/>
        <v>16</v>
      </c>
      <c r="K306" s="451">
        <f t="shared" si="411"/>
        <v>16.399999999999999</v>
      </c>
      <c r="L306" s="451">
        <f t="shared" si="412"/>
        <v>32.4</v>
      </c>
      <c r="M306" s="451"/>
      <c r="N306" s="221">
        <f t="shared" si="413"/>
        <v>0.50617283950617287</v>
      </c>
      <c r="O306" s="176">
        <f t="shared" si="414"/>
        <v>7.9020200379095593</v>
      </c>
      <c r="P306" s="176">
        <f t="shared" si="415"/>
        <v>13.312578938385389</v>
      </c>
      <c r="Q306" s="221">
        <f t="shared" si="416"/>
        <v>0.50980774438126186</v>
      </c>
      <c r="R306" s="221">
        <f t="shared" si="417"/>
        <v>0.98775250473869491</v>
      </c>
      <c r="S306" s="221">
        <f t="shared" si="418"/>
        <v>15.5</v>
      </c>
      <c r="T306" s="221">
        <f t="shared" si="419"/>
        <v>3.039969512195122</v>
      </c>
      <c r="U306" s="221">
        <f t="shared" si="420"/>
        <v>1.7099828506097561</v>
      </c>
      <c r="V306" s="221">
        <f t="shared" si="421"/>
        <v>1.6682759518143964</v>
      </c>
      <c r="W306" s="201">
        <f t="shared" si="422"/>
        <v>350</v>
      </c>
      <c r="X306" s="451">
        <f t="shared" si="423"/>
        <v>296.0104771376383</v>
      </c>
      <c r="Z306" s="221">
        <f t="shared" si="424"/>
        <v>2.5710366451107194</v>
      </c>
      <c r="AA306" s="177">
        <f t="shared" si="425"/>
        <v>1.4109347442680777</v>
      </c>
      <c r="AB306" s="177">
        <f t="shared" si="426"/>
        <v>0.33571919968049235</v>
      </c>
      <c r="AC306" s="177"/>
      <c r="AD306" s="177">
        <f t="shared" si="427"/>
        <v>0.45</v>
      </c>
      <c r="AE306" s="555">
        <f t="shared" si="428"/>
        <v>2048.7804878048782</v>
      </c>
      <c r="AF306" s="538">
        <f t="shared" si="429"/>
        <v>6.4574999999999994E-2</v>
      </c>
      <c r="AH306" s="177">
        <f t="shared" si="430"/>
        <v>2.6522227874531419</v>
      </c>
      <c r="AI306" s="177">
        <f t="shared" si="431"/>
        <v>3.039969512195122</v>
      </c>
      <c r="AJ306" s="177">
        <f t="shared" si="432"/>
        <v>2.8444218608852756</v>
      </c>
      <c r="AL306" s="555">
        <f t="shared" si="433"/>
        <v>378</v>
      </c>
      <c r="AM306" s="469">
        <f t="shared" si="434"/>
        <v>296.0104771376383</v>
      </c>
      <c r="AO306">
        <f t="shared" si="435"/>
        <v>378</v>
      </c>
      <c r="AP306">
        <f t="shared" si="436"/>
        <v>296.0104771376383</v>
      </c>
      <c r="AR306" s="5">
        <f t="shared" si="406"/>
        <v>3.3782588024241527</v>
      </c>
      <c r="AS306" s="5">
        <f t="shared" si="385"/>
        <v>1.7099828506097561</v>
      </c>
      <c r="AT306" s="5">
        <f t="shared" si="386"/>
        <v>1.6682759518143966</v>
      </c>
      <c r="AU306" s="177">
        <f t="shared" si="387"/>
        <v>0.50617283950617276</v>
      </c>
      <c r="CI306" s="571">
        <f t="shared" si="437"/>
        <v>-50</v>
      </c>
    </row>
    <row r="307" spans="4:87" x14ac:dyDescent="0.2">
      <c r="E307" s="174">
        <v>91</v>
      </c>
      <c r="F307" s="221">
        <f t="shared" si="438"/>
        <v>0.38219999999999998</v>
      </c>
      <c r="G307" s="221">
        <f t="shared" si="407"/>
        <v>0.65974999999999995</v>
      </c>
      <c r="H307" s="221">
        <f t="shared" si="408"/>
        <v>5.9241000000000001</v>
      </c>
      <c r="I307" s="221">
        <f t="shared" si="409"/>
        <v>5.2779999999999996</v>
      </c>
      <c r="J307" s="551">
        <f t="shared" si="410"/>
        <v>16</v>
      </c>
      <c r="K307" s="451">
        <f t="shared" si="411"/>
        <v>16.399999999999999</v>
      </c>
      <c r="L307" s="451">
        <f t="shared" si="412"/>
        <v>32.4</v>
      </c>
      <c r="M307" s="451"/>
      <c r="N307" s="221">
        <f t="shared" si="413"/>
        <v>0.50617283950617287</v>
      </c>
      <c r="O307" s="176">
        <f t="shared" si="414"/>
        <v>7.9020200379095593</v>
      </c>
      <c r="P307" s="176">
        <f t="shared" si="415"/>
        <v>13.312578938385389</v>
      </c>
      <c r="Q307" s="221">
        <f t="shared" si="416"/>
        <v>0.50980774438126186</v>
      </c>
      <c r="R307" s="221">
        <f t="shared" si="417"/>
        <v>0.98775250473869491</v>
      </c>
      <c r="S307" s="221">
        <f t="shared" si="418"/>
        <v>15.5</v>
      </c>
      <c r="T307" s="221">
        <f t="shared" si="419"/>
        <v>3.0737469512195119</v>
      </c>
      <c r="U307" s="221">
        <f t="shared" si="420"/>
        <v>1.7289826600609755</v>
      </c>
      <c r="V307" s="221">
        <f t="shared" si="421"/>
        <v>1.6868123512790005</v>
      </c>
      <c r="W307" s="201">
        <f t="shared" si="422"/>
        <v>350</v>
      </c>
      <c r="X307" s="451">
        <f t="shared" si="423"/>
        <v>292.75761475151046</v>
      </c>
      <c r="Z307" s="221">
        <f t="shared" si="424"/>
        <v>2.5710366451107194</v>
      </c>
      <c r="AA307" s="177">
        <f t="shared" si="425"/>
        <v>1.4109347442680777</v>
      </c>
      <c r="AB307" s="177">
        <f t="shared" si="426"/>
        <v>0.33571919968049235</v>
      </c>
      <c r="AC307" s="177"/>
      <c r="AD307" s="177">
        <f t="shared" si="427"/>
        <v>0.45</v>
      </c>
      <c r="AE307" s="555">
        <f t="shared" si="428"/>
        <v>2071.5447154471544</v>
      </c>
      <c r="AF307" s="538">
        <f t="shared" si="429"/>
        <v>6.4574999999999994E-2</v>
      </c>
      <c r="AH307" s="177">
        <f t="shared" si="430"/>
        <v>2.6669166549490151</v>
      </c>
      <c r="AI307" s="177">
        <f t="shared" si="431"/>
        <v>3.0737469512195119</v>
      </c>
      <c r="AJ307" s="177">
        <f t="shared" si="432"/>
        <v>2.8694421860885275</v>
      </c>
      <c r="AL307" s="555">
        <f t="shared" si="433"/>
        <v>382.2</v>
      </c>
      <c r="AM307" s="469">
        <f t="shared" si="434"/>
        <v>292.75761475151046</v>
      </c>
      <c r="AO307">
        <f t="shared" si="435"/>
        <v>382.2</v>
      </c>
      <c r="AP307">
        <f t="shared" si="436"/>
        <v>292.75761475151046</v>
      </c>
      <c r="AR307" s="5">
        <f t="shared" si="406"/>
        <v>3.4157950113399758</v>
      </c>
      <c r="AS307" s="5">
        <f t="shared" ref="AS307:AS316" si="439">L*AI307/J307*1000000</f>
        <v>1.7289826600609755</v>
      </c>
      <c r="AT307" s="5">
        <f t="shared" ref="AT307:AT316" si="440">AR307-AS307</f>
        <v>1.6868123512790003</v>
      </c>
      <c r="AU307" s="177">
        <f t="shared" ref="AU307:AU316" si="441">AS307/AR307</f>
        <v>0.50617283950617287</v>
      </c>
      <c r="CI307" s="571">
        <f t="shared" si="437"/>
        <v>-50</v>
      </c>
    </row>
    <row r="308" spans="4:87" x14ac:dyDescent="0.2">
      <c r="E308" s="174">
        <v>92</v>
      </c>
      <c r="F308" s="221">
        <f t="shared" si="438"/>
        <v>0.38640000000000002</v>
      </c>
      <c r="G308" s="221">
        <f t="shared" si="407"/>
        <v>0.66700000000000004</v>
      </c>
      <c r="H308" s="221">
        <f t="shared" si="408"/>
        <v>5.9892000000000003</v>
      </c>
      <c r="I308" s="221">
        <f t="shared" si="409"/>
        <v>5.3360000000000003</v>
      </c>
      <c r="J308" s="551">
        <f t="shared" si="410"/>
        <v>16</v>
      </c>
      <c r="K308" s="451">
        <f t="shared" si="411"/>
        <v>16.399999999999999</v>
      </c>
      <c r="L308" s="451">
        <f t="shared" si="412"/>
        <v>32.4</v>
      </c>
      <c r="M308" s="451"/>
      <c r="N308" s="221">
        <f t="shared" si="413"/>
        <v>0.50617283950617287</v>
      </c>
      <c r="O308" s="176">
        <f t="shared" si="414"/>
        <v>7.9020200379095593</v>
      </c>
      <c r="P308" s="176">
        <f t="shared" si="415"/>
        <v>13.312578938385389</v>
      </c>
      <c r="Q308" s="221">
        <f t="shared" si="416"/>
        <v>0.50980774438126186</v>
      </c>
      <c r="R308" s="221">
        <f t="shared" si="417"/>
        <v>0.98775250473869491</v>
      </c>
      <c r="S308" s="221">
        <f t="shared" si="418"/>
        <v>15.5</v>
      </c>
      <c r="T308" s="221">
        <f t="shared" si="419"/>
        <v>3.1075243902439023</v>
      </c>
      <c r="U308" s="221">
        <f t="shared" si="420"/>
        <v>1.747982469512195</v>
      </c>
      <c r="V308" s="221">
        <f t="shared" si="421"/>
        <v>1.7053487507436049</v>
      </c>
      <c r="W308" s="201">
        <f t="shared" si="422"/>
        <v>350</v>
      </c>
      <c r="X308" s="451">
        <f t="shared" si="423"/>
        <v>289.57546676508099</v>
      </c>
      <c r="Z308" s="221">
        <f t="shared" si="424"/>
        <v>2.5710366451107194</v>
      </c>
      <c r="AA308" s="177">
        <f t="shared" si="425"/>
        <v>1.4109347442680777</v>
      </c>
      <c r="AB308" s="177">
        <f t="shared" si="426"/>
        <v>0.33571919968049235</v>
      </c>
      <c r="AC308" s="177"/>
      <c r="AD308" s="177">
        <f t="shared" si="427"/>
        <v>0.45</v>
      </c>
      <c r="AE308" s="555">
        <f t="shared" si="428"/>
        <v>2094.3089430894311</v>
      </c>
      <c r="AF308" s="538">
        <f t="shared" si="429"/>
        <v>6.4574999999999994E-2</v>
      </c>
      <c r="AH308" s="177">
        <f t="shared" si="430"/>
        <v>2.6815300062843179</v>
      </c>
      <c r="AI308" s="177">
        <f t="shared" si="431"/>
        <v>3.1075243902439023</v>
      </c>
      <c r="AJ308" s="177">
        <f t="shared" si="432"/>
        <v>2.8944625112917794</v>
      </c>
      <c r="AL308" s="555">
        <f t="shared" si="433"/>
        <v>386.40000000000003</v>
      </c>
      <c r="AM308" s="469">
        <f t="shared" si="434"/>
        <v>289.57546676508099</v>
      </c>
      <c r="AO308">
        <f t="shared" si="435"/>
        <v>386.40000000000003</v>
      </c>
      <c r="AP308">
        <f t="shared" si="436"/>
        <v>289.57546676508099</v>
      </c>
      <c r="AR308" s="5">
        <f t="shared" si="406"/>
        <v>3.4533312202558002</v>
      </c>
      <c r="AS308" s="5">
        <f t="shared" si="439"/>
        <v>1.747982469512195</v>
      </c>
      <c r="AT308" s="5">
        <f t="shared" si="440"/>
        <v>1.7053487507436051</v>
      </c>
      <c r="AU308" s="177">
        <f t="shared" si="441"/>
        <v>0.50617283950617276</v>
      </c>
      <c r="CI308" s="571">
        <f t="shared" si="437"/>
        <v>-50</v>
      </c>
    </row>
    <row r="309" spans="4:87" x14ac:dyDescent="0.2">
      <c r="E309" s="174">
        <v>93</v>
      </c>
      <c r="F309" s="221">
        <f t="shared" si="438"/>
        <v>0.3906</v>
      </c>
      <c r="G309" s="221">
        <f t="shared" si="407"/>
        <v>0.67425000000000002</v>
      </c>
      <c r="H309" s="221">
        <f t="shared" si="408"/>
        <v>6.0543000000000005</v>
      </c>
      <c r="I309" s="221">
        <f t="shared" si="409"/>
        <v>5.3940000000000001</v>
      </c>
      <c r="J309" s="551">
        <f t="shared" si="410"/>
        <v>16</v>
      </c>
      <c r="K309" s="451">
        <f t="shared" si="411"/>
        <v>16.399999999999999</v>
      </c>
      <c r="L309" s="451">
        <f t="shared" si="412"/>
        <v>32.4</v>
      </c>
      <c r="M309" s="451"/>
      <c r="N309" s="221">
        <f t="shared" si="413"/>
        <v>0.50617283950617287</v>
      </c>
      <c r="O309" s="176">
        <f t="shared" si="414"/>
        <v>7.9020200379095593</v>
      </c>
      <c r="P309" s="176">
        <f t="shared" si="415"/>
        <v>13.312578938385389</v>
      </c>
      <c r="Q309" s="221">
        <f t="shared" si="416"/>
        <v>0.50980774438126186</v>
      </c>
      <c r="R309" s="221">
        <f t="shared" si="417"/>
        <v>0.98775250473869491</v>
      </c>
      <c r="S309" s="221">
        <f t="shared" si="418"/>
        <v>15.5</v>
      </c>
      <c r="T309" s="221">
        <f t="shared" si="419"/>
        <v>3.1413018292682922</v>
      </c>
      <c r="U309" s="221">
        <f t="shared" si="420"/>
        <v>1.7669822789634142</v>
      </c>
      <c r="V309" s="221">
        <f t="shared" si="421"/>
        <v>1.7238851502082093</v>
      </c>
      <c r="W309" s="201">
        <f t="shared" si="422"/>
        <v>350</v>
      </c>
      <c r="X309" s="451">
        <f t="shared" si="423"/>
        <v>286.4617520686823</v>
      </c>
      <c r="Z309" s="221">
        <f t="shared" si="424"/>
        <v>2.5710366451107194</v>
      </c>
      <c r="AA309" s="177">
        <f t="shared" si="425"/>
        <v>1.4109347442680777</v>
      </c>
      <c r="AB309" s="177">
        <f t="shared" si="426"/>
        <v>0.33571919968049235</v>
      </c>
      <c r="AC309" s="177"/>
      <c r="AD309" s="177">
        <f t="shared" si="427"/>
        <v>0.45</v>
      </c>
      <c r="AE309" s="555">
        <f t="shared" si="428"/>
        <v>2117.0731707317073</v>
      </c>
      <c r="AF309" s="538">
        <f t="shared" si="429"/>
        <v>6.4574999999999994E-2</v>
      </c>
      <c r="AH309" s="177">
        <f t="shared" si="430"/>
        <v>2.6960641507133887</v>
      </c>
      <c r="AI309" s="177">
        <f t="shared" si="431"/>
        <v>3.1413018292682922</v>
      </c>
      <c r="AJ309" s="177">
        <f t="shared" si="432"/>
        <v>2.9194828364950309</v>
      </c>
      <c r="AL309" s="555">
        <f t="shared" si="433"/>
        <v>390.6</v>
      </c>
      <c r="AM309" s="469">
        <f t="shared" si="434"/>
        <v>286.4617520686823</v>
      </c>
      <c r="AO309">
        <f t="shared" si="435"/>
        <v>390.6</v>
      </c>
      <c r="AP309">
        <f t="shared" si="436"/>
        <v>286.4617520686823</v>
      </c>
      <c r="AR309" s="5">
        <f t="shared" si="406"/>
        <v>3.4908674291716233</v>
      </c>
      <c r="AS309" s="5">
        <f t="shared" si="439"/>
        <v>1.7669822789634142</v>
      </c>
      <c r="AT309" s="5">
        <f t="shared" si="440"/>
        <v>1.7238851502082091</v>
      </c>
      <c r="AU309" s="177">
        <f t="shared" si="441"/>
        <v>0.50617283950617287</v>
      </c>
      <c r="CI309" s="571">
        <f t="shared" si="437"/>
        <v>-50</v>
      </c>
    </row>
    <row r="310" spans="4:87" x14ac:dyDescent="0.2">
      <c r="E310" s="174">
        <v>94</v>
      </c>
      <c r="F310" s="221">
        <f t="shared" si="438"/>
        <v>0.39479999999999998</v>
      </c>
      <c r="G310" s="221">
        <f t="shared" si="407"/>
        <v>0.68149999999999999</v>
      </c>
      <c r="H310" s="221">
        <f t="shared" si="408"/>
        <v>6.1193999999999997</v>
      </c>
      <c r="I310" s="221">
        <f t="shared" si="409"/>
        <v>5.452</v>
      </c>
      <c r="J310" s="551">
        <f t="shared" si="410"/>
        <v>16</v>
      </c>
      <c r="K310" s="451">
        <f t="shared" si="411"/>
        <v>16.399999999999999</v>
      </c>
      <c r="L310" s="451">
        <f t="shared" si="412"/>
        <v>32.4</v>
      </c>
      <c r="M310" s="451"/>
      <c r="N310" s="221">
        <f t="shared" si="413"/>
        <v>0.50617283950617287</v>
      </c>
      <c r="O310" s="176">
        <f t="shared" si="414"/>
        <v>7.9020200379095593</v>
      </c>
      <c r="P310" s="176">
        <f t="shared" si="415"/>
        <v>13.312578938385389</v>
      </c>
      <c r="Q310" s="221">
        <f t="shared" si="416"/>
        <v>0.50980774438126186</v>
      </c>
      <c r="R310" s="221">
        <f t="shared" si="417"/>
        <v>0.98775250473869491</v>
      </c>
      <c r="S310" s="221">
        <f t="shared" si="418"/>
        <v>15.5</v>
      </c>
      <c r="T310" s="221">
        <f t="shared" si="419"/>
        <v>3.1750792682926829</v>
      </c>
      <c r="U310" s="221">
        <f t="shared" si="420"/>
        <v>1.7859820884146342</v>
      </c>
      <c r="V310" s="221">
        <f t="shared" si="421"/>
        <v>1.7424215496728142</v>
      </c>
      <c r="W310" s="201">
        <f t="shared" si="422"/>
        <v>350</v>
      </c>
      <c r="X310" s="451">
        <f t="shared" si="423"/>
        <v>283.41428662114305</v>
      </c>
      <c r="Z310" s="221">
        <f t="shared" si="424"/>
        <v>2.5710366451107194</v>
      </c>
      <c r="AA310" s="177">
        <f t="shared" si="425"/>
        <v>1.4109347442680777</v>
      </c>
      <c r="AB310" s="177">
        <f t="shared" si="426"/>
        <v>0.33571919968049235</v>
      </c>
      <c r="AC310" s="177"/>
      <c r="AD310" s="177">
        <f t="shared" si="427"/>
        <v>0.45</v>
      </c>
      <c r="AE310" s="555">
        <f t="shared" si="428"/>
        <v>2139.8373983739839</v>
      </c>
      <c r="AF310" s="538">
        <f t="shared" si="429"/>
        <v>6.4574999999999994E-2</v>
      </c>
      <c r="AH310" s="177">
        <f t="shared" si="430"/>
        <v>2.710520362388122</v>
      </c>
      <c r="AI310" s="177">
        <f t="shared" si="431"/>
        <v>3.1750792682926829</v>
      </c>
      <c r="AJ310" s="177">
        <f t="shared" si="432"/>
        <v>2.9445031616982842</v>
      </c>
      <c r="AL310" s="555">
        <f t="shared" si="433"/>
        <v>394.8</v>
      </c>
      <c r="AM310" s="469">
        <f t="shared" si="434"/>
        <v>283.41428662114305</v>
      </c>
      <c r="AO310">
        <f t="shared" si="435"/>
        <v>394.8</v>
      </c>
      <c r="AP310">
        <f t="shared" si="436"/>
        <v>283.41428662114305</v>
      </c>
      <c r="AR310" s="5">
        <f t="shared" si="406"/>
        <v>3.5284036380874486</v>
      </c>
      <c r="AS310" s="5">
        <f t="shared" si="439"/>
        <v>1.7859820884146342</v>
      </c>
      <c r="AT310" s="5">
        <f t="shared" si="440"/>
        <v>1.7424215496728144</v>
      </c>
      <c r="AU310" s="177">
        <f t="shared" si="441"/>
        <v>0.50617283950617276</v>
      </c>
      <c r="CI310" s="571">
        <f t="shared" si="437"/>
        <v>-50</v>
      </c>
    </row>
    <row r="311" spans="4:87" x14ac:dyDescent="0.2">
      <c r="E311" s="174">
        <v>95</v>
      </c>
      <c r="F311" s="221">
        <f t="shared" si="438"/>
        <v>0.39899999999999997</v>
      </c>
      <c r="G311" s="221">
        <f t="shared" si="407"/>
        <v>0.68874999999999997</v>
      </c>
      <c r="H311" s="221">
        <f t="shared" si="408"/>
        <v>6.1844999999999999</v>
      </c>
      <c r="I311" s="221">
        <f t="shared" si="409"/>
        <v>5.51</v>
      </c>
      <c r="J311" s="551">
        <f t="shared" si="410"/>
        <v>16</v>
      </c>
      <c r="K311" s="451">
        <f t="shared" si="411"/>
        <v>16.399999999999999</v>
      </c>
      <c r="L311" s="451">
        <f t="shared" si="412"/>
        <v>32.4</v>
      </c>
      <c r="M311" s="451"/>
      <c r="N311" s="221">
        <f t="shared" si="413"/>
        <v>0.50617283950617287</v>
      </c>
      <c r="O311" s="176">
        <f t="shared" si="414"/>
        <v>7.9020200379095593</v>
      </c>
      <c r="P311" s="176">
        <f t="shared" si="415"/>
        <v>13.312578938385389</v>
      </c>
      <c r="Q311" s="221">
        <f t="shared" si="416"/>
        <v>0.50980774438126186</v>
      </c>
      <c r="R311" s="221">
        <f t="shared" si="417"/>
        <v>0.98775250473869491</v>
      </c>
      <c r="S311" s="221">
        <f t="shared" si="418"/>
        <v>15.5</v>
      </c>
      <c r="T311" s="221">
        <f t="shared" si="419"/>
        <v>3.2088567073170728</v>
      </c>
      <c r="U311" s="221">
        <f t="shared" si="420"/>
        <v>1.8049818978658536</v>
      </c>
      <c r="V311" s="221">
        <f t="shared" si="421"/>
        <v>1.7609579491374181</v>
      </c>
      <c r="W311" s="201">
        <f t="shared" si="422"/>
        <v>350</v>
      </c>
      <c r="X311" s="451">
        <f t="shared" si="423"/>
        <v>280.43097834092055</v>
      </c>
      <c r="Z311" s="221">
        <f t="shared" si="424"/>
        <v>2.5710366451107194</v>
      </c>
      <c r="AA311" s="177">
        <f t="shared" si="425"/>
        <v>1.4109347442680777</v>
      </c>
      <c r="AB311" s="177">
        <f t="shared" si="426"/>
        <v>0.33571919968049235</v>
      </c>
      <c r="AC311" s="177"/>
      <c r="AD311" s="177">
        <f t="shared" si="427"/>
        <v>0.45</v>
      </c>
      <c r="AE311" s="555">
        <f t="shared" si="428"/>
        <v>2162.6016260162601</v>
      </c>
      <c r="AF311" s="538">
        <f t="shared" si="429"/>
        <v>6.4574999999999994E-2</v>
      </c>
      <c r="AH311" s="177">
        <f t="shared" si="430"/>
        <v>2.7248998816615932</v>
      </c>
      <c r="AI311" s="177">
        <f t="shared" si="431"/>
        <v>3.2088567073170728</v>
      </c>
      <c r="AJ311" s="177">
        <f t="shared" si="432"/>
        <v>2.9695234869015357</v>
      </c>
      <c r="AL311" s="555">
        <f t="shared" si="433"/>
        <v>398.99999999999994</v>
      </c>
      <c r="AM311" s="469">
        <f t="shared" si="434"/>
        <v>280.43097834092055</v>
      </c>
      <c r="AO311">
        <f t="shared" si="435"/>
        <v>398.99999999999994</v>
      </c>
      <c r="AP311">
        <f t="shared" si="436"/>
        <v>280.43097834092055</v>
      </c>
      <c r="AR311" s="5">
        <f t="shared" si="406"/>
        <v>3.5659398470032717</v>
      </c>
      <c r="AS311" s="5">
        <f t="shared" si="439"/>
        <v>1.8049818978658536</v>
      </c>
      <c r="AT311" s="5">
        <f t="shared" si="440"/>
        <v>1.7609579491374181</v>
      </c>
      <c r="AU311" s="177">
        <f t="shared" si="441"/>
        <v>0.50617283950617287</v>
      </c>
      <c r="CI311" s="571">
        <f t="shared" si="437"/>
        <v>-50</v>
      </c>
    </row>
    <row r="312" spans="4:87" x14ac:dyDescent="0.2">
      <c r="E312" s="174">
        <v>96</v>
      </c>
      <c r="F312" s="221">
        <f t="shared" si="438"/>
        <v>0.40319999999999995</v>
      </c>
      <c r="G312" s="221">
        <f t="shared" si="407"/>
        <v>0.69599999999999995</v>
      </c>
      <c r="H312" s="221">
        <f t="shared" si="408"/>
        <v>6.2495999999999992</v>
      </c>
      <c r="I312" s="221">
        <f t="shared" si="409"/>
        <v>5.5679999999999996</v>
      </c>
      <c r="J312" s="551">
        <f t="shared" si="410"/>
        <v>16</v>
      </c>
      <c r="K312" s="451">
        <f t="shared" si="411"/>
        <v>16.399999999999999</v>
      </c>
      <c r="L312" s="451">
        <f t="shared" si="412"/>
        <v>32.4</v>
      </c>
      <c r="M312" s="451"/>
      <c r="N312" s="221">
        <f t="shared" si="413"/>
        <v>0.50617283950617287</v>
      </c>
      <c r="O312" s="176">
        <f t="shared" ref="O312:O316" si="442">N312*J312*Isw_max*0.5*Efficiency*Pout/(Pout+Pout2)</f>
        <v>7.9020200379095593</v>
      </c>
      <c r="P312" s="176">
        <f t="shared" si="415"/>
        <v>13.312578938385389</v>
      </c>
      <c r="Q312" s="221">
        <f t="shared" si="416"/>
        <v>0.50980774438126186</v>
      </c>
      <c r="R312" s="221">
        <f t="shared" si="417"/>
        <v>0.98775250473869491</v>
      </c>
      <c r="S312" s="221">
        <f t="shared" si="418"/>
        <v>15.5</v>
      </c>
      <c r="T312" s="221">
        <f t="shared" si="419"/>
        <v>3.2426341463414627</v>
      </c>
      <c r="U312" s="221">
        <f t="shared" si="420"/>
        <v>1.8239817073170728</v>
      </c>
      <c r="V312" s="221">
        <f t="shared" si="421"/>
        <v>1.7794943486020225</v>
      </c>
      <c r="W312" s="201">
        <f t="shared" si="422"/>
        <v>350</v>
      </c>
      <c r="X312" s="451">
        <f t="shared" si="423"/>
        <v>277.50982231653597</v>
      </c>
      <c r="Z312" s="221">
        <f t="shared" si="424"/>
        <v>2.5710366451107194</v>
      </c>
      <c r="AA312" s="177">
        <f t="shared" si="425"/>
        <v>1.4109347442680777</v>
      </c>
      <c r="AB312" s="177">
        <f t="shared" ref="AB312:AB316" si="443">0.5*AA312*Z312*Nps*W312/1000*(Pout/(Pout+Pout2))</f>
        <v>0.33571919968049235</v>
      </c>
      <c r="AC312" s="177"/>
      <c r="AD312" s="177">
        <f t="shared" si="427"/>
        <v>0.45</v>
      </c>
      <c r="AE312" s="555">
        <f t="shared" ref="AE312:AE316" si="444">MAX(10, F312/(0.5*AD312/1000000*Isw_min*Nps)/1000*Pout_total/Pout)</f>
        <v>2185.3658536585363</v>
      </c>
      <c r="AF312" s="538">
        <f t="shared" si="429"/>
        <v>6.4574999999999994E-2</v>
      </c>
      <c r="AH312" s="177">
        <f t="shared" si="430"/>
        <v>2.7392039163300885</v>
      </c>
      <c r="AI312" s="177">
        <f t="shared" ref="AI312:AI316" si="445">MAX(IF(F312&gt;AB312,T312,AH312),Isw_min)</f>
        <v>3.2426341463414627</v>
      </c>
      <c r="AJ312" s="177">
        <f t="shared" ref="AJ312:AJ316" si="446">IF(F312&gt;AF312, (AI312-Isw_min)/1.08*0.8+1.2, AE312*0.2/350+1)</f>
        <v>2.9945438121047872</v>
      </c>
      <c r="AL312" s="555">
        <f t="shared" si="433"/>
        <v>403.19999999999993</v>
      </c>
      <c r="AM312" s="469">
        <f t="shared" si="434"/>
        <v>277.50982231653597</v>
      </c>
      <c r="AO312">
        <f t="shared" si="435"/>
        <v>403.19999999999993</v>
      </c>
      <c r="AP312">
        <f t="shared" si="436"/>
        <v>277.50982231653597</v>
      </c>
      <c r="AR312" s="5">
        <f t="shared" si="406"/>
        <v>3.6034760559190953</v>
      </c>
      <c r="AS312" s="5">
        <f t="shared" si="439"/>
        <v>1.8239817073170728</v>
      </c>
      <c r="AT312" s="5">
        <f t="shared" si="440"/>
        <v>1.7794943486020225</v>
      </c>
      <c r="AU312" s="177">
        <f t="shared" si="441"/>
        <v>0.50617283950617276</v>
      </c>
      <c r="CI312" s="571">
        <f t="shared" si="437"/>
        <v>-50</v>
      </c>
    </row>
    <row r="313" spans="4:87" x14ac:dyDescent="0.2">
      <c r="E313" s="174">
        <v>97</v>
      </c>
      <c r="F313" s="221">
        <f t="shared" ref="F313:F316" si="447">IF(PLOT_TYPE=1, E313/100*Iout_max, min_I*EXP(O313*rr/100))</f>
        <v>0.40739999999999998</v>
      </c>
      <c r="G313" s="221">
        <f t="shared" si="407"/>
        <v>0.70324999999999993</v>
      </c>
      <c r="H313" s="221">
        <f t="shared" si="408"/>
        <v>6.3147000000000002</v>
      </c>
      <c r="I313" s="221">
        <f t="shared" si="409"/>
        <v>5.6259999999999994</v>
      </c>
      <c r="J313" s="551">
        <f t="shared" si="410"/>
        <v>16</v>
      </c>
      <c r="K313" s="451">
        <f t="shared" si="411"/>
        <v>16.399999999999999</v>
      </c>
      <c r="L313" s="451">
        <f t="shared" si="412"/>
        <v>32.4</v>
      </c>
      <c r="M313" s="451"/>
      <c r="N313" s="221">
        <f t="shared" si="413"/>
        <v>0.50617283950617287</v>
      </c>
      <c r="O313" s="176">
        <f t="shared" si="442"/>
        <v>7.9020200379095593</v>
      </c>
      <c r="P313" s="176">
        <f t="shared" si="415"/>
        <v>13.312578938385389</v>
      </c>
      <c r="Q313" s="221">
        <f t="shared" si="416"/>
        <v>0.50980774438126186</v>
      </c>
      <c r="R313" s="221">
        <f t="shared" si="417"/>
        <v>0.98775250473869491</v>
      </c>
      <c r="S313" s="221">
        <f t="shared" si="418"/>
        <v>15.5</v>
      </c>
      <c r="T313" s="221">
        <f t="shared" si="419"/>
        <v>3.2764115853658531</v>
      </c>
      <c r="U313" s="221">
        <f t="shared" si="420"/>
        <v>1.8429815167682924</v>
      </c>
      <c r="V313" s="221">
        <f t="shared" si="421"/>
        <v>1.7980307480666269</v>
      </c>
      <c r="W313" s="201">
        <f t="shared" si="422"/>
        <v>350</v>
      </c>
      <c r="X313" s="451">
        <f t="shared" si="423"/>
        <v>274.6488963132727</v>
      </c>
      <c r="Z313" s="221">
        <f t="shared" si="424"/>
        <v>2.5710366451107194</v>
      </c>
      <c r="AA313" s="177">
        <f t="shared" si="425"/>
        <v>1.4109347442680777</v>
      </c>
      <c r="AB313" s="177">
        <f t="shared" si="443"/>
        <v>0.33571919968049235</v>
      </c>
      <c r="AC313" s="177"/>
      <c r="AD313" s="177">
        <f t="shared" si="427"/>
        <v>0.45</v>
      </c>
      <c r="AE313" s="555">
        <f t="shared" si="444"/>
        <v>2208.1300813008133</v>
      </c>
      <c r="AF313" s="538">
        <f t="shared" si="429"/>
        <v>6.4574999999999994E-2</v>
      </c>
      <c r="AH313" s="177">
        <f t="shared" si="430"/>
        <v>2.7534336428170598</v>
      </c>
      <c r="AI313" s="177">
        <f t="shared" si="445"/>
        <v>3.2764115853658531</v>
      </c>
      <c r="AJ313" s="177">
        <f t="shared" si="446"/>
        <v>3.0195641373080395</v>
      </c>
      <c r="AL313" s="555">
        <f t="shared" si="433"/>
        <v>407.4</v>
      </c>
      <c r="AM313" s="469">
        <f t="shared" si="434"/>
        <v>274.6488963132727</v>
      </c>
      <c r="AO313">
        <f t="shared" si="435"/>
        <v>407.4</v>
      </c>
      <c r="AP313">
        <f t="shared" si="436"/>
        <v>274.6488963132727</v>
      </c>
      <c r="AR313" s="5">
        <f t="shared" si="406"/>
        <v>3.6410122648349197</v>
      </c>
      <c r="AS313" s="5">
        <f t="shared" si="439"/>
        <v>1.8429815167682924</v>
      </c>
      <c r="AT313" s="5">
        <f t="shared" si="440"/>
        <v>1.7980307480666273</v>
      </c>
      <c r="AU313" s="177">
        <f t="shared" si="441"/>
        <v>0.50617283950617276</v>
      </c>
      <c r="CI313" s="571">
        <f t="shared" si="437"/>
        <v>-50</v>
      </c>
    </row>
    <row r="314" spans="4:87" x14ac:dyDescent="0.2">
      <c r="E314" s="174">
        <v>98</v>
      </c>
      <c r="F314" s="221">
        <f t="shared" si="447"/>
        <v>0.41159999999999997</v>
      </c>
      <c r="G314" s="221">
        <f t="shared" si="407"/>
        <v>0.71050000000000002</v>
      </c>
      <c r="H314" s="221">
        <f t="shared" si="408"/>
        <v>6.3797999999999995</v>
      </c>
      <c r="I314" s="221">
        <f t="shared" si="409"/>
        <v>5.6840000000000002</v>
      </c>
      <c r="J314" s="551">
        <f t="shared" si="410"/>
        <v>16</v>
      </c>
      <c r="K314" s="451">
        <f t="shared" si="411"/>
        <v>16.399999999999999</v>
      </c>
      <c r="L314" s="451">
        <f t="shared" si="412"/>
        <v>32.4</v>
      </c>
      <c r="M314" s="451"/>
      <c r="N314" s="221">
        <f t="shared" si="413"/>
        <v>0.50617283950617287</v>
      </c>
      <c r="O314" s="176">
        <f t="shared" si="442"/>
        <v>7.9020200379095593</v>
      </c>
      <c r="P314" s="176">
        <f t="shared" si="415"/>
        <v>13.312578938385389</v>
      </c>
      <c r="Q314" s="221">
        <f t="shared" si="416"/>
        <v>0.50980774438126186</v>
      </c>
      <c r="R314" s="221">
        <f t="shared" si="417"/>
        <v>0.98775250473869491</v>
      </c>
      <c r="S314" s="221">
        <f t="shared" si="418"/>
        <v>15.5</v>
      </c>
      <c r="T314" s="221">
        <f t="shared" si="419"/>
        <v>3.3101890243902439</v>
      </c>
      <c r="U314" s="221">
        <f t="shared" si="420"/>
        <v>1.8619813262195122</v>
      </c>
      <c r="V314" s="221">
        <f t="shared" si="421"/>
        <v>1.8165671475312315</v>
      </c>
      <c r="W314" s="201">
        <f t="shared" si="422"/>
        <v>350</v>
      </c>
      <c r="X314" s="451">
        <f t="shared" si="423"/>
        <v>271.84635655497397</v>
      </c>
      <c r="Z314" s="221">
        <f t="shared" si="424"/>
        <v>2.5710366451107194</v>
      </c>
      <c r="AA314" s="177">
        <f t="shared" si="425"/>
        <v>1.4109347442680777</v>
      </c>
      <c r="AB314" s="177">
        <f t="shared" si="443"/>
        <v>0.33571919968049235</v>
      </c>
      <c r="AC314" s="177"/>
      <c r="AD314" s="177">
        <f t="shared" si="427"/>
        <v>0.45</v>
      </c>
      <c r="AE314" s="555">
        <f t="shared" si="444"/>
        <v>2230.8943089430895</v>
      </c>
      <c r="AF314" s="538">
        <f t="shared" si="429"/>
        <v>6.4574999999999994E-2</v>
      </c>
      <c r="AH314" s="177">
        <f t="shared" si="430"/>
        <v>2.7675902073022942</v>
      </c>
      <c r="AI314" s="177">
        <f t="shared" si="445"/>
        <v>3.3101890243902439</v>
      </c>
      <c r="AJ314" s="177">
        <f t="shared" si="446"/>
        <v>3.0445844625112919</v>
      </c>
      <c r="AL314" s="555">
        <f t="shared" si="433"/>
        <v>411.59999999999997</v>
      </c>
      <c r="AM314" s="469">
        <f t="shared" si="434"/>
        <v>271.84635655497397</v>
      </c>
      <c r="AO314">
        <f t="shared" si="435"/>
        <v>411.59999999999997</v>
      </c>
      <c r="AP314">
        <f t="shared" si="436"/>
        <v>271.84635655497397</v>
      </c>
      <c r="AR314" s="5">
        <f t="shared" si="406"/>
        <v>3.6785484737507437</v>
      </c>
      <c r="AS314" s="5">
        <f t="shared" si="439"/>
        <v>1.8619813262195122</v>
      </c>
      <c r="AT314" s="5">
        <f t="shared" si="440"/>
        <v>1.8165671475312315</v>
      </c>
      <c r="AU314" s="177">
        <f t="shared" si="441"/>
        <v>0.50617283950617287</v>
      </c>
      <c r="CI314" s="571">
        <f t="shared" si="437"/>
        <v>-50</v>
      </c>
    </row>
    <row r="315" spans="4:87" x14ac:dyDescent="0.2">
      <c r="E315" s="174">
        <v>99</v>
      </c>
      <c r="F315" s="221">
        <f t="shared" si="447"/>
        <v>0.4158</v>
      </c>
      <c r="G315" s="221">
        <f t="shared" si="407"/>
        <v>0.71775</v>
      </c>
      <c r="H315" s="221">
        <f t="shared" si="408"/>
        <v>6.4448999999999996</v>
      </c>
      <c r="I315" s="221">
        <f t="shared" si="409"/>
        <v>5.742</v>
      </c>
      <c r="J315" s="551">
        <f t="shared" si="410"/>
        <v>16</v>
      </c>
      <c r="K315" s="451">
        <f t="shared" si="411"/>
        <v>16.399999999999999</v>
      </c>
      <c r="L315" s="451">
        <f t="shared" si="412"/>
        <v>32.4</v>
      </c>
      <c r="M315" s="451"/>
      <c r="N315" s="221">
        <f t="shared" si="413"/>
        <v>0.50617283950617287</v>
      </c>
      <c r="O315" s="176">
        <f t="shared" si="442"/>
        <v>7.9020200379095593</v>
      </c>
      <c r="P315" s="176">
        <f t="shared" si="415"/>
        <v>13.312578938385389</v>
      </c>
      <c r="Q315" s="221">
        <f t="shared" si="416"/>
        <v>0.50980774438126186</v>
      </c>
      <c r="R315" s="221">
        <f t="shared" si="417"/>
        <v>0.98775250473869491</v>
      </c>
      <c r="S315" s="221">
        <f t="shared" si="418"/>
        <v>15.5</v>
      </c>
      <c r="T315" s="221">
        <f t="shared" si="419"/>
        <v>3.3439664634146338</v>
      </c>
      <c r="U315" s="221">
        <f t="shared" si="420"/>
        <v>1.8809811356707316</v>
      </c>
      <c r="V315" s="221">
        <f t="shared" si="421"/>
        <v>1.8351035469958357</v>
      </c>
      <c r="W315" s="201">
        <f t="shared" si="422"/>
        <v>350</v>
      </c>
      <c r="X315" s="451">
        <f t="shared" si="423"/>
        <v>269.1004337614894</v>
      </c>
      <c r="Z315" s="221">
        <f t="shared" si="424"/>
        <v>2.5710366451107194</v>
      </c>
      <c r="AA315" s="177">
        <f t="shared" si="425"/>
        <v>1.4109347442680777</v>
      </c>
      <c r="AB315" s="177">
        <f t="shared" si="443"/>
        <v>0.33571919968049235</v>
      </c>
      <c r="AC315" s="177"/>
      <c r="AD315" s="177">
        <f t="shared" si="427"/>
        <v>0.45</v>
      </c>
      <c r="AE315" s="555">
        <f t="shared" si="444"/>
        <v>2253.6585365853657</v>
      </c>
      <c r="AF315" s="538">
        <f t="shared" si="429"/>
        <v>6.4574999999999994E-2</v>
      </c>
      <c r="AH315" s="177">
        <f t="shared" si="430"/>
        <v>2.7816747267993587</v>
      </c>
      <c r="AI315" s="177">
        <f t="shared" si="445"/>
        <v>3.3439664634146338</v>
      </c>
      <c r="AJ315" s="177">
        <f t="shared" si="446"/>
        <v>3.0696047877145434</v>
      </c>
      <c r="AL315" s="555">
        <f t="shared" si="433"/>
        <v>415.8</v>
      </c>
      <c r="AM315" s="469">
        <f t="shared" si="434"/>
        <v>269.1004337614894</v>
      </c>
      <c r="AO315">
        <f t="shared" si="435"/>
        <v>415.8</v>
      </c>
      <c r="AP315">
        <f t="shared" si="436"/>
        <v>269.1004337614894</v>
      </c>
      <c r="AR315" s="5">
        <f t="shared" si="406"/>
        <v>3.7160846826665677</v>
      </c>
      <c r="AS315" s="5">
        <f t="shared" si="439"/>
        <v>1.8809811356707316</v>
      </c>
      <c r="AT315" s="5">
        <f t="shared" si="440"/>
        <v>1.8351035469958361</v>
      </c>
      <c r="AU315" s="177">
        <f t="shared" si="441"/>
        <v>0.50617283950617276</v>
      </c>
      <c r="CI315" s="571">
        <f t="shared" si="437"/>
        <v>-50</v>
      </c>
    </row>
    <row r="316" spans="4:87" x14ac:dyDescent="0.2">
      <c r="E316" s="174">
        <v>100</v>
      </c>
      <c r="F316" s="221">
        <f t="shared" si="447"/>
        <v>0.42</v>
      </c>
      <c r="G316" s="221">
        <f t="shared" si="407"/>
        <v>0.72499999999999998</v>
      </c>
      <c r="H316" s="221">
        <f t="shared" si="408"/>
        <v>6.51</v>
      </c>
      <c r="I316" s="221">
        <f t="shared" si="409"/>
        <v>5.8</v>
      </c>
      <c r="J316" s="551">
        <f t="shared" si="410"/>
        <v>16</v>
      </c>
      <c r="K316" s="451">
        <f t="shared" si="411"/>
        <v>16.399999999999999</v>
      </c>
      <c r="L316" s="451">
        <f t="shared" si="412"/>
        <v>32.4</v>
      </c>
      <c r="M316" s="451"/>
      <c r="N316" s="221">
        <f t="shared" si="413"/>
        <v>0.50617283950617287</v>
      </c>
      <c r="O316" s="176">
        <f t="shared" si="442"/>
        <v>7.9020200379095593</v>
      </c>
      <c r="P316" s="176">
        <f t="shared" si="415"/>
        <v>13.312578938385389</v>
      </c>
      <c r="Q316" s="221">
        <f t="shared" si="416"/>
        <v>0.50980774438126186</v>
      </c>
      <c r="R316" s="221">
        <f t="shared" si="417"/>
        <v>0.98775250473869491</v>
      </c>
      <c r="S316" s="221">
        <f t="shared" si="418"/>
        <v>15.5</v>
      </c>
      <c r="T316" s="221">
        <f t="shared" si="419"/>
        <v>3.3777439024390237</v>
      </c>
      <c r="U316" s="221">
        <f t="shared" si="420"/>
        <v>1.8999809451219507</v>
      </c>
      <c r="V316" s="221">
        <f t="shared" si="421"/>
        <v>1.8536399464604398</v>
      </c>
      <c r="W316" s="201">
        <f t="shared" si="422"/>
        <v>350</v>
      </c>
      <c r="X316" s="451">
        <f t="shared" si="423"/>
        <v>266.4094294238746</v>
      </c>
      <c r="Z316" s="221">
        <f t="shared" si="424"/>
        <v>2.5710366451107194</v>
      </c>
      <c r="AA316" s="177">
        <f t="shared" si="425"/>
        <v>1.4109347442680777</v>
      </c>
      <c r="AB316" s="177">
        <f t="shared" si="443"/>
        <v>0.33571919968049235</v>
      </c>
      <c r="AC316" s="177"/>
      <c r="AD316" s="177">
        <f t="shared" si="427"/>
        <v>0.45</v>
      </c>
      <c r="AE316" s="555">
        <f t="shared" si="444"/>
        <v>2276.4227642276423</v>
      </c>
      <c r="AF316" s="538">
        <f t="shared" si="429"/>
        <v>6.4574999999999994E-2</v>
      </c>
      <c r="AH316" s="177">
        <f t="shared" si="430"/>
        <v>2.7956882901841928</v>
      </c>
      <c r="AI316" s="177">
        <f t="shared" si="445"/>
        <v>3.3777439024390237</v>
      </c>
      <c r="AJ316" s="177">
        <f t="shared" si="446"/>
        <v>3.0946251129177953</v>
      </c>
      <c r="AL316" s="555">
        <f t="shared" si="433"/>
        <v>420</v>
      </c>
      <c r="AM316" s="469">
        <f t="shared" si="434"/>
        <v>266.4094294238746</v>
      </c>
      <c r="AO316">
        <f t="shared" si="435"/>
        <v>420</v>
      </c>
      <c r="AP316">
        <f t="shared" si="436"/>
        <v>266.4094294238746</v>
      </c>
      <c r="AR316" s="5">
        <f t="shared" si="406"/>
        <v>3.7536208915823899</v>
      </c>
      <c r="AS316" s="5">
        <f t="shared" si="439"/>
        <v>1.8999809451219507</v>
      </c>
      <c r="AT316" s="5">
        <f t="shared" si="440"/>
        <v>1.8536399464604392</v>
      </c>
      <c r="AU316" s="177">
        <f t="shared" si="441"/>
        <v>0.50617283950617287</v>
      </c>
      <c r="CI316" s="571">
        <f t="shared" si="437"/>
        <v>-50</v>
      </c>
    </row>
    <row r="317" spans="4:87" x14ac:dyDescent="0.2">
      <c r="E317" s="174"/>
      <c r="F317" s="221"/>
      <c r="G317" s="221"/>
    </row>
    <row r="319" spans="4:87" x14ac:dyDescent="0.2">
      <c r="D319" s="77" t="s">
        <v>824</v>
      </c>
    </row>
    <row r="320" spans="4:87" x14ac:dyDescent="0.2">
      <c r="E320" s="77" t="s">
        <v>840</v>
      </c>
      <c r="K320" s="77"/>
      <c r="L320" s="77" t="s">
        <v>844</v>
      </c>
    </row>
    <row r="321" spans="5:16" x14ac:dyDescent="0.2">
      <c r="F321" s="77" t="s">
        <v>841</v>
      </c>
      <c r="G321" s="77" t="s">
        <v>842</v>
      </c>
      <c r="M321" s="77" t="s">
        <v>845</v>
      </c>
      <c r="N321" s="77" t="s">
        <v>846</v>
      </c>
    </row>
    <row r="322" spans="5:16" x14ac:dyDescent="0.2">
      <c r="F322">
        <f>'LM(2)518x PSR flyback converter'!E57</f>
        <v>1E-3</v>
      </c>
      <c r="G322" s="772">
        <f>F322*Vout</f>
        <v>1.55E-2</v>
      </c>
      <c r="M322">
        <f>'LM(2)518x PSR flyback converter'!L57</f>
        <v>1E-3</v>
      </c>
      <c r="N322" s="772">
        <f>M322*Vout2</f>
        <v>8.0000000000000002E-3</v>
      </c>
    </row>
    <row r="323" spans="5:16" x14ac:dyDescent="0.2">
      <c r="E323" t="s">
        <v>832</v>
      </c>
      <c r="L323" t="s">
        <v>832</v>
      </c>
    </row>
    <row r="324" spans="5:16" x14ac:dyDescent="0.2">
      <c r="F324" t="s">
        <v>833</v>
      </c>
      <c r="G324" t="s">
        <v>834</v>
      </c>
      <c r="H324" t="s">
        <v>835</v>
      </c>
      <c r="I324" s="77" t="s">
        <v>676</v>
      </c>
      <c r="M324" t="s">
        <v>833</v>
      </c>
      <c r="N324" t="s">
        <v>834</v>
      </c>
      <c r="O324" t="s">
        <v>835</v>
      </c>
      <c r="P324" s="77" t="s">
        <v>676</v>
      </c>
    </row>
    <row r="325" spans="5:16" x14ac:dyDescent="0.2">
      <c r="F325" s="771">
        <v>1.9999999999999999E-7</v>
      </c>
      <c r="G325">
        <f>VIN_max</f>
        <v>16</v>
      </c>
      <c r="H325">
        <f>15000</f>
        <v>15000</v>
      </c>
      <c r="I325">
        <f>L*0.9</f>
        <v>8.1000000000000004E-6</v>
      </c>
      <c r="M325" s="771">
        <v>1.9999999999999999E-7</v>
      </c>
      <c r="N325">
        <f>VIN_max</f>
        <v>16</v>
      </c>
      <c r="O325">
        <f>15000</f>
        <v>15000</v>
      </c>
      <c r="P325">
        <f>L*0.9</f>
        <v>8.1000000000000004E-6</v>
      </c>
    </row>
    <row r="326" spans="5:16" x14ac:dyDescent="0.2">
      <c r="G326" s="77" t="s">
        <v>836</v>
      </c>
      <c r="N326" s="77" t="s">
        <v>836</v>
      </c>
    </row>
    <row r="327" spans="5:16" x14ac:dyDescent="0.2">
      <c r="G327" s="772">
        <f>0.5*(G325/I325*F325)^2*H325*I325</f>
        <v>9.4814814814814814E-3</v>
      </c>
      <c r="N327" s="772">
        <f>0.5*(N325/P325*M325)^2*O325*P325</f>
        <v>9.4814814814814814E-3</v>
      </c>
    </row>
    <row r="328" spans="5:16" x14ac:dyDescent="0.2">
      <c r="E328" s="77" t="s">
        <v>843</v>
      </c>
      <c r="K328" s="77"/>
      <c r="L328" s="77" t="s">
        <v>847</v>
      </c>
    </row>
    <row r="329" spans="5:16" x14ac:dyDescent="0.2">
      <c r="G329" t="str">
        <f>IF(G322+N322&lt;G327, "Yes", IF(G322&lt;G327, "Yes", "No"))</f>
        <v>No</v>
      </c>
      <c r="H329">
        <f>(Vout*1.05)^2/(G327-N322)</f>
        <v>178791.04687500009</v>
      </c>
      <c r="N329" t="str">
        <f>IF(G322+N322&lt;N327, "Yes", IF(N322&lt;N327, "Yes", "No"))</f>
        <v>Yes</v>
      </c>
      <c r="O329">
        <f>(Vout2*1.05)^2/(N327-N322)</f>
        <v>47628.000000000007</v>
      </c>
    </row>
    <row r="332" spans="5:16" x14ac:dyDescent="0.2">
      <c r="E332" s="77"/>
    </row>
    <row r="333" spans="5:16" x14ac:dyDescent="0.2">
      <c r="F333" s="77"/>
      <c r="G333" s="77"/>
    </row>
    <row r="334" spans="5:16" x14ac:dyDescent="0.2">
      <c r="G334" s="772"/>
    </row>
    <row r="336" spans="5:16" x14ac:dyDescent="0.2">
      <c r="I336" s="77"/>
    </row>
    <row r="337" spans="5:7" x14ac:dyDescent="0.2">
      <c r="F337" s="771"/>
    </row>
    <row r="338" spans="5:7" x14ac:dyDescent="0.2">
      <c r="G338" s="77"/>
    </row>
    <row r="339" spans="5:7" x14ac:dyDescent="0.2">
      <c r="G339" s="772"/>
    </row>
    <row r="340" spans="5:7" x14ac:dyDescent="0.2">
      <c r="E340" s="77"/>
    </row>
  </sheetData>
  <sheetProtection algorithmName="SHA-512" hashValue="10KL6DDE4vaT0BRtjXx765MlqOLcyHsLy5HHp7+wd6Gi0wA+gra1WqA+YoePit3Myve9fHM4Bd0KMbj8sxR3zg==" saltValue="R45vW5DOKPmgmdvOc+tQK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0000"/>
  </sheetPr>
  <dimension ref="C3:S106"/>
  <sheetViews>
    <sheetView workbookViewId="0">
      <selection activeCell="V6" sqref="V6"/>
    </sheetView>
  </sheetViews>
  <sheetFormatPr defaultRowHeight="12.75" x14ac:dyDescent="0.2"/>
  <cols>
    <col min="3" max="3" width="7.7109375" customWidth="1"/>
    <col min="5" max="5" width="10.28515625" customWidth="1"/>
    <col min="7" max="7" width="10.7109375" customWidth="1"/>
    <col min="8" max="8" width="9.7109375" customWidth="1"/>
    <col min="9" max="9" width="9.5703125" customWidth="1"/>
    <col min="10" max="10" width="8.7109375" customWidth="1"/>
    <col min="11" max="11" width="9.7109375" customWidth="1"/>
    <col min="12" max="12" width="10.7109375" customWidth="1"/>
    <col min="13" max="13" width="15" customWidth="1"/>
    <col min="14" max="14" width="11.42578125" customWidth="1"/>
    <col min="15" max="16" width="11" customWidth="1"/>
    <col min="17" max="18" width="11.28515625" customWidth="1"/>
    <col min="19" max="19" width="5.28515625" customWidth="1"/>
  </cols>
  <sheetData>
    <row r="3" spans="3:19" ht="13.5" thickBot="1" x14ac:dyDescent="0.25"/>
    <row r="4" spans="3:19" x14ac:dyDescent="0.2">
      <c r="C4" s="224" t="s">
        <v>428</v>
      </c>
      <c r="D4" s="225"/>
      <c r="E4" s="226"/>
      <c r="F4" s="849" t="s">
        <v>189</v>
      </c>
      <c r="G4" s="850"/>
      <c r="H4" s="849"/>
      <c r="I4" s="849"/>
      <c r="J4" s="849"/>
      <c r="K4" s="850"/>
      <c r="L4" s="850"/>
      <c r="M4" s="850"/>
      <c r="N4" s="849"/>
      <c r="O4" s="852"/>
      <c r="P4" s="543"/>
      <c r="Q4" s="543"/>
      <c r="R4" s="543"/>
      <c r="S4" s="543"/>
    </row>
    <row r="5" spans="3:19" ht="45" customHeight="1" thickBot="1" x14ac:dyDescent="0.25">
      <c r="C5" s="245" t="s">
        <v>25</v>
      </c>
      <c r="D5" s="246" t="s">
        <v>419</v>
      </c>
      <c r="E5" s="247" t="s">
        <v>425</v>
      </c>
      <c r="F5" s="248" t="s">
        <v>48</v>
      </c>
      <c r="G5" s="537" t="s">
        <v>409</v>
      </c>
      <c r="H5" s="537" t="s">
        <v>410</v>
      </c>
      <c r="I5" s="537" t="s">
        <v>420</v>
      </c>
      <c r="J5" s="537" t="s">
        <v>421</v>
      </c>
      <c r="K5" s="537" t="s">
        <v>422</v>
      </c>
      <c r="L5" s="537" t="s">
        <v>423</v>
      </c>
      <c r="M5" s="250" t="s">
        <v>426</v>
      </c>
      <c r="N5" s="249" t="s">
        <v>427</v>
      </c>
      <c r="O5" s="249" t="s">
        <v>424</v>
      </c>
      <c r="P5" s="249" t="s">
        <v>429</v>
      </c>
      <c r="Q5" s="249" t="s">
        <v>430</v>
      </c>
      <c r="R5" s="249" t="s">
        <v>431</v>
      </c>
      <c r="S5" s="249"/>
    </row>
    <row r="6" spans="3:19" x14ac:dyDescent="0.2">
      <c r="C6" s="174">
        <v>0.1</v>
      </c>
      <c r="D6" s="539">
        <f>VIN_min</f>
        <v>9</v>
      </c>
      <c r="E6" s="451">
        <f t="shared" ref="E6:E37" si="0">(Vout+Vfwd1)*Nps</f>
        <v>16.399999999999999</v>
      </c>
      <c r="F6" s="221">
        <f t="shared" ref="F6:F37" si="1">(Vout+Vfwd1)*Nps/((Vout+Vfwd1)*Nps+D6)</f>
        <v>0.64566929133858264</v>
      </c>
      <c r="G6" s="176">
        <f t="shared" ref="G6:G37" si="2">F6*D6*Isw_max*0.5*Efficiency</f>
        <v>10.721338582677163</v>
      </c>
      <c r="H6" s="221">
        <f t="shared" ref="H6:H37" si="3">G6/Vout</f>
        <v>0.69169926339852661</v>
      </c>
      <c r="I6" s="451">
        <f t="shared" ref="I6:I37" si="4">(Vout+Vfwd1)*Nps+D6</f>
        <v>25.4</v>
      </c>
      <c r="J6" s="176">
        <f t="shared" ref="J6:J37" si="5">MIN(2*Vout*Iout/(Efficiency*D6*F6), 1.35)</f>
        <v>1.35</v>
      </c>
      <c r="K6" s="176">
        <f t="shared" ref="K6:K37" si="6">L*J6/D6*1000000</f>
        <v>1.35</v>
      </c>
      <c r="L6" s="176">
        <f t="shared" ref="L6:L37" si="7">L*J6/((Vout+Vfwd1)*Nps)*1000000</f>
        <v>0.74085365853658547</v>
      </c>
      <c r="M6" s="451">
        <f>MIN(1/(K6+L6)*1000, 350)</f>
        <v>350</v>
      </c>
      <c r="N6" s="201">
        <f t="shared" ref="N6:N37" si="8">IF(1/((350000*L)*(1/D6+1/E6))&gt;Isw_min, 350, 0.001/((Isw_min*L)*(1/D6+1/E6)))</f>
        <v>350</v>
      </c>
      <c r="O6" s="221">
        <f t="shared" ref="O6:O37" si="9">1/((N6*1000*L)*(1/D6+1/E6))</f>
        <v>1.8447694038245221</v>
      </c>
      <c r="P6" s="177">
        <f t="shared" ref="P6:P37" si="10">L*O6/E6*1000000</f>
        <v>1.0123734533183355</v>
      </c>
      <c r="Q6" s="177">
        <f t="shared" ref="Q6:Q37" si="11">0.5*P6*O6*Nps*N6/1000</f>
        <v>0.32682922508702178</v>
      </c>
      <c r="R6" s="177">
        <f t="shared" ref="R6:R37" si="12">L*Isw_min/E6*1000000</f>
        <v>0.45</v>
      </c>
    </row>
    <row r="7" spans="3:19" x14ac:dyDescent="0.2">
      <c r="C7" s="174">
        <v>1</v>
      </c>
      <c r="D7" s="5">
        <f t="shared" ref="D7:D38" si="13">C7/100*(VIN_max-VIN_min)+VIN_min</f>
        <v>9.07</v>
      </c>
      <c r="E7" s="451">
        <f t="shared" si="0"/>
        <v>16.399999999999999</v>
      </c>
      <c r="F7" s="221">
        <f t="shared" si="1"/>
        <v>0.64389477817039653</v>
      </c>
      <c r="G7" s="176">
        <f t="shared" si="2"/>
        <v>10.775031802120141</v>
      </c>
      <c r="H7" s="221">
        <f t="shared" si="3"/>
        <v>0.69516334207226715</v>
      </c>
      <c r="I7" s="451">
        <f t="shared" si="4"/>
        <v>25.47</v>
      </c>
      <c r="J7" s="176">
        <f t="shared" si="5"/>
        <v>1.35</v>
      </c>
      <c r="K7" s="176">
        <f t="shared" si="6"/>
        <v>1.3395810363836824</v>
      </c>
      <c r="L7" s="176">
        <f t="shared" si="7"/>
        <v>0.74085365853658547</v>
      </c>
      <c r="M7" s="451">
        <f t="shared" ref="M7:M70" si="14">MIN(1/(K7+L7)*1000, 350)</f>
        <v>350</v>
      </c>
      <c r="N7" s="201">
        <f t="shared" si="8"/>
        <v>350</v>
      </c>
      <c r="O7" s="221">
        <f t="shared" si="9"/>
        <v>1.8540081390493641</v>
      </c>
      <c r="P7" s="177">
        <f t="shared" si="10"/>
        <v>1.0174434909417243</v>
      </c>
      <c r="Q7" s="177">
        <f t="shared" si="11"/>
        <v>0.33011098981503212</v>
      </c>
      <c r="R7" s="177">
        <f t="shared" si="12"/>
        <v>0.45</v>
      </c>
    </row>
    <row r="8" spans="3:19" x14ac:dyDescent="0.2">
      <c r="C8" s="174">
        <v>2</v>
      </c>
      <c r="D8" s="5">
        <f t="shared" si="13"/>
        <v>9.14</v>
      </c>
      <c r="E8" s="451">
        <f t="shared" si="0"/>
        <v>16.399999999999999</v>
      </c>
      <c r="F8" s="221">
        <f t="shared" si="1"/>
        <v>0.64212999216914646</v>
      </c>
      <c r="G8" s="176">
        <f t="shared" si="2"/>
        <v>10.828430696945968</v>
      </c>
      <c r="H8" s="221">
        <f t="shared" si="3"/>
        <v>0.69860843206103018</v>
      </c>
      <c r="I8" s="451">
        <f t="shared" si="4"/>
        <v>25.54</v>
      </c>
      <c r="J8" s="176">
        <f t="shared" si="5"/>
        <v>1.35</v>
      </c>
      <c r="K8" s="176">
        <f t="shared" si="6"/>
        <v>1.3293216630196936</v>
      </c>
      <c r="L8" s="176">
        <f t="shared" si="7"/>
        <v>0.74085365853658547</v>
      </c>
      <c r="M8" s="451">
        <f t="shared" si="14"/>
        <v>350</v>
      </c>
      <c r="N8" s="201">
        <f t="shared" si="8"/>
        <v>350</v>
      </c>
      <c r="O8" s="221">
        <f t="shared" si="9"/>
        <v>1.8631962312463484</v>
      </c>
      <c r="P8" s="177">
        <f t="shared" si="10"/>
        <v>1.0224857366595814</v>
      </c>
      <c r="Q8" s="177">
        <f t="shared" si="11"/>
        <v>0.33339102493327366</v>
      </c>
      <c r="R8" s="177">
        <f t="shared" si="12"/>
        <v>0.45</v>
      </c>
    </row>
    <row r="9" spans="3:19" x14ac:dyDescent="0.2">
      <c r="C9" s="174">
        <v>3</v>
      </c>
      <c r="D9" s="5">
        <f t="shared" si="13"/>
        <v>9.2100000000000009</v>
      </c>
      <c r="E9" s="451">
        <f t="shared" si="0"/>
        <v>16.399999999999999</v>
      </c>
      <c r="F9" s="221">
        <f t="shared" si="1"/>
        <v>0.64037485357282309</v>
      </c>
      <c r="G9" s="176">
        <f t="shared" si="2"/>
        <v>10.881537680593517</v>
      </c>
      <c r="H9" s="221">
        <f t="shared" si="3"/>
        <v>0.70203468907054956</v>
      </c>
      <c r="I9" s="451">
        <f t="shared" si="4"/>
        <v>25.61</v>
      </c>
      <c r="J9" s="176">
        <f t="shared" si="5"/>
        <v>1.35</v>
      </c>
      <c r="K9" s="176">
        <f t="shared" si="6"/>
        <v>1.3192182410423452</v>
      </c>
      <c r="L9" s="176">
        <f t="shared" si="7"/>
        <v>0.74085365853658547</v>
      </c>
      <c r="M9" s="451">
        <f t="shared" si="14"/>
        <v>350</v>
      </c>
      <c r="N9" s="201">
        <f t="shared" si="8"/>
        <v>350</v>
      </c>
      <c r="O9" s="221">
        <f t="shared" si="9"/>
        <v>1.8723340956843495</v>
      </c>
      <c r="P9" s="177">
        <f t="shared" si="10"/>
        <v>1.0275004183633625</v>
      </c>
      <c r="Q9" s="177">
        <f t="shared" si="11"/>
        <v>0.33666921166053998</v>
      </c>
      <c r="R9" s="177">
        <f t="shared" si="12"/>
        <v>0.45</v>
      </c>
    </row>
    <row r="10" spans="3:19" x14ac:dyDescent="0.2">
      <c r="C10" s="174">
        <v>4</v>
      </c>
      <c r="D10" s="5">
        <f t="shared" si="13"/>
        <v>9.2799999999999994</v>
      </c>
      <c r="E10" s="451">
        <f t="shared" si="0"/>
        <v>16.399999999999999</v>
      </c>
      <c r="F10" s="221">
        <f t="shared" si="1"/>
        <v>0.63862928348909653</v>
      </c>
      <c r="G10" s="176">
        <f t="shared" si="2"/>
        <v>10.934355140186915</v>
      </c>
      <c r="H10" s="221">
        <f t="shared" si="3"/>
        <v>0.70544226710883318</v>
      </c>
      <c r="I10" s="451">
        <f t="shared" si="4"/>
        <v>25.68</v>
      </c>
      <c r="J10" s="176">
        <f t="shared" si="5"/>
        <v>1.35</v>
      </c>
      <c r="K10" s="176">
        <f t="shared" si="6"/>
        <v>1.3092672413793105</v>
      </c>
      <c r="L10" s="176">
        <f t="shared" si="7"/>
        <v>0.74085365853658547</v>
      </c>
      <c r="M10" s="451">
        <f t="shared" si="14"/>
        <v>350</v>
      </c>
      <c r="N10" s="201">
        <f t="shared" si="8"/>
        <v>350</v>
      </c>
      <c r="O10" s="221">
        <f t="shared" si="9"/>
        <v>1.8814221431043858</v>
      </c>
      <c r="P10" s="177">
        <f t="shared" si="10"/>
        <v>1.0324877614597241</v>
      </c>
      <c r="Q10" s="177">
        <f t="shared" si="11"/>
        <v>0.33994543395655569</v>
      </c>
      <c r="R10" s="177">
        <f t="shared" si="12"/>
        <v>0.45</v>
      </c>
    </row>
    <row r="11" spans="3:19" x14ac:dyDescent="0.2">
      <c r="C11" s="174">
        <v>5</v>
      </c>
      <c r="D11" s="5">
        <f t="shared" si="13"/>
        <v>9.35</v>
      </c>
      <c r="E11" s="451">
        <f t="shared" si="0"/>
        <v>16.399999999999999</v>
      </c>
      <c r="F11" s="221">
        <f t="shared" si="1"/>
        <v>0.63689320388349513</v>
      </c>
      <c r="G11" s="176">
        <f t="shared" si="2"/>
        <v>10.986885436893203</v>
      </c>
      <c r="H11" s="221">
        <f t="shared" si="3"/>
        <v>0.70883131850923897</v>
      </c>
      <c r="I11" s="451">
        <f t="shared" si="4"/>
        <v>25.75</v>
      </c>
      <c r="J11" s="176">
        <f t="shared" si="5"/>
        <v>1.35</v>
      </c>
      <c r="K11" s="176">
        <f t="shared" si="6"/>
        <v>1.2994652406417115</v>
      </c>
      <c r="L11" s="176">
        <f t="shared" si="7"/>
        <v>0.74085365853658547</v>
      </c>
      <c r="M11" s="451">
        <f t="shared" si="14"/>
        <v>350</v>
      </c>
      <c r="N11" s="201">
        <f t="shared" si="8"/>
        <v>350</v>
      </c>
      <c r="O11" s="221">
        <f t="shared" si="9"/>
        <v>1.8904607797811683</v>
      </c>
      <c r="P11" s="177">
        <f t="shared" si="10"/>
        <v>1.0374479889042998</v>
      </c>
      <c r="Q11" s="177">
        <f t="shared" si="11"/>
        <v>0.3432195784651248</v>
      </c>
      <c r="R11" s="177">
        <f t="shared" si="12"/>
        <v>0.45</v>
      </c>
    </row>
    <row r="12" spans="3:19" x14ac:dyDescent="0.2">
      <c r="C12" s="174">
        <v>6</v>
      </c>
      <c r="D12" s="5">
        <f t="shared" si="13"/>
        <v>9.42</v>
      </c>
      <c r="E12" s="451">
        <f t="shared" si="0"/>
        <v>16.399999999999999</v>
      </c>
      <c r="F12" s="221">
        <f t="shared" si="1"/>
        <v>0.63516653756777686</v>
      </c>
      <c r="G12" s="176">
        <f t="shared" si="2"/>
        <v>11.039130906274204</v>
      </c>
      <c r="H12" s="221">
        <f t="shared" si="3"/>
        <v>0.71220199395317452</v>
      </c>
      <c r="I12" s="451">
        <f t="shared" si="4"/>
        <v>25.82</v>
      </c>
      <c r="J12" s="176">
        <f t="shared" si="5"/>
        <v>1.35</v>
      </c>
      <c r="K12" s="176">
        <f t="shared" si="6"/>
        <v>1.2898089171974523</v>
      </c>
      <c r="L12" s="176">
        <f t="shared" si="7"/>
        <v>0.74085365853658547</v>
      </c>
      <c r="M12" s="451">
        <f t="shared" si="14"/>
        <v>350</v>
      </c>
      <c r="N12" s="201">
        <f t="shared" si="8"/>
        <v>350</v>
      </c>
      <c r="O12" s="221">
        <f t="shared" si="9"/>
        <v>1.8994504075836376</v>
      </c>
      <c r="P12" s="177">
        <f t="shared" si="10"/>
        <v>1.0423813212349231</v>
      </c>
      <c r="Q12" s="177">
        <f t="shared" si="11"/>
        <v>0.34649153445851794</v>
      </c>
      <c r="R12" s="177">
        <f t="shared" si="12"/>
        <v>0.45</v>
      </c>
    </row>
    <row r="13" spans="3:19" x14ac:dyDescent="0.2">
      <c r="C13" s="174">
        <v>7</v>
      </c>
      <c r="D13" s="5">
        <f t="shared" si="13"/>
        <v>9.49</v>
      </c>
      <c r="E13" s="451">
        <f t="shared" si="0"/>
        <v>16.399999999999999</v>
      </c>
      <c r="F13" s="221">
        <f t="shared" si="1"/>
        <v>0.63344920818848971</v>
      </c>
      <c r="G13" s="176">
        <f t="shared" si="2"/>
        <v>11.091093858632675</v>
      </c>
      <c r="H13" s="221">
        <f t="shared" si="3"/>
        <v>0.71555444249243061</v>
      </c>
      <c r="I13" s="451">
        <f t="shared" si="4"/>
        <v>25.89</v>
      </c>
      <c r="J13" s="176">
        <f t="shared" si="5"/>
        <v>1.35</v>
      </c>
      <c r="K13" s="176">
        <f t="shared" si="6"/>
        <v>1.2802950474183352</v>
      </c>
      <c r="L13" s="176">
        <f t="shared" si="7"/>
        <v>0.74085365853658547</v>
      </c>
      <c r="M13" s="451">
        <f t="shared" si="14"/>
        <v>350</v>
      </c>
      <c r="N13" s="201">
        <f t="shared" si="8"/>
        <v>350</v>
      </c>
      <c r="O13" s="221">
        <f t="shared" si="9"/>
        <v>1.9083914240345294</v>
      </c>
      <c r="P13" s="177">
        <f t="shared" si="10"/>
        <v>1.0472879766043151</v>
      </c>
      <c r="Q13" s="177">
        <f t="shared" si="11"/>
        <v>0.34976119378307624</v>
      </c>
      <c r="R13" s="177">
        <f t="shared" si="12"/>
        <v>0.45</v>
      </c>
    </row>
    <row r="14" spans="3:19" s="77" customFormat="1" x14ac:dyDescent="0.2">
      <c r="C14" s="193">
        <v>8</v>
      </c>
      <c r="D14" s="544">
        <f t="shared" si="13"/>
        <v>9.56</v>
      </c>
      <c r="E14" s="545">
        <f t="shared" si="0"/>
        <v>16.399999999999999</v>
      </c>
      <c r="F14" s="333">
        <f t="shared" si="1"/>
        <v>0.63174114021571637</v>
      </c>
      <c r="G14" s="546">
        <f t="shared" si="2"/>
        <v>11.142776579352848</v>
      </c>
      <c r="H14" s="333">
        <f t="shared" si="3"/>
        <v>0.71888881157115148</v>
      </c>
      <c r="I14" s="545">
        <f t="shared" si="4"/>
        <v>25.96</v>
      </c>
      <c r="J14" s="176">
        <f t="shared" si="5"/>
        <v>1.35</v>
      </c>
      <c r="K14" s="546">
        <f t="shared" si="6"/>
        <v>1.2709205020920502</v>
      </c>
      <c r="L14" s="546">
        <f t="shared" si="7"/>
        <v>0.74085365853658547</v>
      </c>
      <c r="M14" s="545">
        <f t="shared" si="14"/>
        <v>350</v>
      </c>
      <c r="N14" s="547">
        <f t="shared" si="8"/>
        <v>350</v>
      </c>
      <c r="O14" s="333">
        <f t="shared" si="9"/>
        <v>1.9172842223689681</v>
      </c>
      <c r="P14" s="177">
        <f t="shared" si="10"/>
        <v>1.0521681708122388</v>
      </c>
      <c r="Q14" s="548">
        <f t="shared" si="11"/>
        <v>0.35302845080599649</v>
      </c>
      <c r="R14" s="177">
        <f t="shared" si="12"/>
        <v>0.45</v>
      </c>
    </row>
    <row r="15" spans="3:19" x14ac:dyDescent="0.2">
      <c r="C15" s="174">
        <v>9</v>
      </c>
      <c r="D15" s="5">
        <f t="shared" si="13"/>
        <v>9.6300000000000008</v>
      </c>
      <c r="E15" s="451">
        <f t="shared" si="0"/>
        <v>16.399999999999999</v>
      </c>
      <c r="F15" s="221">
        <f t="shared" si="1"/>
        <v>0.6300422589320015</v>
      </c>
      <c r="G15" s="176">
        <f t="shared" si="2"/>
        <v>11.194181329235496</v>
      </c>
      <c r="H15" s="221">
        <f t="shared" si="3"/>
        <v>0.72220524704745137</v>
      </c>
      <c r="I15" s="451">
        <f t="shared" si="4"/>
        <v>26.03</v>
      </c>
      <c r="J15" s="176">
        <f t="shared" si="5"/>
        <v>1.35</v>
      </c>
      <c r="K15" s="176">
        <f t="shared" si="6"/>
        <v>1.2616822429906542</v>
      </c>
      <c r="L15" s="176">
        <f t="shared" si="7"/>
        <v>0.74085365853658547</v>
      </c>
      <c r="M15" s="451">
        <f t="shared" si="14"/>
        <v>350</v>
      </c>
      <c r="N15" s="201">
        <f t="shared" si="8"/>
        <v>350</v>
      </c>
      <c r="O15" s="221">
        <f t="shared" si="9"/>
        <v>1.926129191592119</v>
      </c>
      <c r="P15" s="177">
        <f t="shared" si="10"/>
        <v>1.0570221173371384</v>
      </c>
      <c r="Q15" s="177">
        <f t="shared" si="11"/>
        <v>0.35629320236327522</v>
      </c>
      <c r="R15" s="177">
        <f t="shared" si="12"/>
        <v>0.45</v>
      </c>
    </row>
    <row r="16" spans="3:19" x14ac:dyDescent="0.2">
      <c r="C16" s="174">
        <v>10</v>
      </c>
      <c r="D16" s="5">
        <f t="shared" si="13"/>
        <v>9.6999999999999993</v>
      </c>
      <c r="E16" s="451">
        <f t="shared" si="0"/>
        <v>16.399999999999999</v>
      </c>
      <c r="F16" s="221">
        <f t="shared" si="1"/>
        <v>0.62835249042145591</v>
      </c>
      <c r="G16" s="176">
        <f t="shared" si="2"/>
        <v>11.245310344827585</v>
      </c>
      <c r="H16" s="221">
        <f t="shared" si="3"/>
        <v>0.72550389321468289</v>
      </c>
      <c r="I16" s="451">
        <f t="shared" si="4"/>
        <v>26.099999999999998</v>
      </c>
      <c r="J16" s="176">
        <f t="shared" si="5"/>
        <v>1.35</v>
      </c>
      <c r="K16" s="176">
        <f t="shared" si="6"/>
        <v>1.2525773195876291</v>
      </c>
      <c r="L16" s="176">
        <f t="shared" si="7"/>
        <v>0.74085365853658547</v>
      </c>
      <c r="M16" s="451">
        <f t="shared" si="14"/>
        <v>350</v>
      </c>
      <c r="N16" s="201">
        <f t="shared" si="8"/>
        <v>350</v>
      </c>
      <c r="O16" s="221">
        <f t="shared" si="9"/>
        <v>1.9349267165359119</v>
      </c>
      <c r="P16" s="177">
        <f t="shared" si="10"/>
        <v>1.0618500273672686</v>
      </c>
      <c r="Q16" s="177">
        <f t="shared" si="11"/>
        <v>0.3595553477087805</v>
      </c>
      <c r="R16" s="177">
        <f t="shared" si="12"/>
        <v>0.45</v>
      </c>
    </row>
    <row r="17" spans="3:18" x14ac:dyDescent="0.2">
      <c r="C17" s="174">
        <v>11</v>
      </c>
      <c r="D17" s="5">
        <f t="shared" si="13"/>
        <v>9.77</v>
      </c>
      <c r="E17" s="451">
        <f t="shared" si="0"/>
        <v>16.399999999999999</v>
      </c>
      <c r="F17" s="221">
        <f t="shared" si="1"/>
        <v>0.62667176155903703</v>
      </c>
      <c r="G17" s="176">
        <f t="shared" si="2"/>
        <v>11.296165838746655</v>
      </c>
      <c r="H17" s="221">
        <f t="shared" si="3"/>
        <v>0.7287848928223648</v>
      </c>
      <c r="I17" s="451">
        <f t="shared" si="4"/>
        <v>26.169999999999998</v>
      </c>
      <c r="J17" s="176">
        <f t="shared" si="5"/>
        <v>1.35</v>
      </c>
      <c r="K17" s="176">
        <f t="shared" si="6"/>
        <v>1.2436028659160696</v>
      </c>
      <c r="L17" s="176">
        <f t="shared" si="7"/>
        <v>0.74085365853658547</v>
      </c>
      <c r="M17" s="451">
        <f t="shared" si="14"/>
        <v>350</v>
      </c>
      <c r="N17" s="201">
        <f t="shared" si="8"/>
        <v>350</v>
      </c>
      <c r="O17" s="221">
        <f t="shared" si="9"/>
        <v>1.9436771779148547</v>
      </c>
      <c r="P17" s="177">
        <f t="shared" si="10"/>
        <v>1.0666521098313229</v>
      </c>
      <c r="Q17" s="177">
        <f t="shared" si="11"/>
        <v>0.36281478846442744</v>
      </c>
      <c r="R17" s="177">
        <f t="shared" si="12"/>
        <v>0.45</v>
      </c>
    </row>
    <row r="18" spans="3:18" x14ac:dyDescent="0.2">
      <c r="C18" s="174">
        <v>12</v>
      </c>
      <c r="D18" s="5">
        <f t="shared" si="13"/>
        <v>9.84</v>
      </c>
      <c r="E18" s="451">
        <f t="shared" si="0"/>
        <v>16.399999999999999</v>
      </c>
      <c r="F18" s="221">
        <f t="shared" si="1"/>
        <v>0.625</v>
      </c>
      <c r="G18" s="176">
        <f t="shared" si="2"/>
        <v>11.34675</v>
      </c>
      <c r="H18" s="221">
        <f t="shared" si="3"/>
        <v>0.73204838709677422</v>
      </c>
      <c r="I18" s="451">
        <f t="shared" si="4"/>
        <v>26.24</v>
      </c>
      <c r="J18" s="176">
        <f t="shared" si="5"/>
        <v>1.35</v>
      </c>
      <c r="K18" s="176">
        <f t="shared" si="6"/>
        <v>1.2347560975609757</v>
      </c>
      <c r="L18" s="176">
        <f t="shared" si="7"/>
        <v>0.74085365853658547</v>
      </c>
      <c r="M18" s="451">
        <f t="shared" si="14"/>
        <v>350</v>
      </c>
      <c r="N18" s="201">
        <f t="shared" si="8"/>
        <v>350</v>
      </c>
      <c r="O18" s="221">
        <f t="shared" si="9"/>
        <v>1.9523809523809523</v>
      </c>
      <c r="P18" s="177">
        <f t="shared" si="10"/>
        <v>1.0714285714285716</v>
      </c>
      <c r="Q18" s="177">
        <f t="shared" si="11"/>
        <v>0.36607142857142866</v>
      </c>
      <c r="R18" s="177">
        <f t="shared" si="12"/>
        <v>0.45</v>
      </c>
    </row>
    <row r="19" spans="3:18" x14ac:dyDescent="0.2">
      <c r="C19" s="174">
        <v>13</v>
      </c>
      <c r="D19" s="5">
        <f t="shared" si="13"/>
        <v>9.91</v>
      </c>
      <c r="E19" s="451">
        <f t="shared" si="0"/>
        <v>16.399999999999999</v>
      </c>
      <c r="F19" s="221">
        <f t="shared" si="1"/>
        <v>0.6233371341695173</v>
      </c>
      <c r="G19" s="176">
        <f t="shared" si="2"/>
        <v>11.397064994298745</v>
      </c>
      <c r="H19" s="221">
        <f t="shared" si="3"/>
        <v>0.7352945157612093</v>
      </c>
      <c r="I19" s="451">
        <f t="shared" si="4"/>
        <v>26.31</v>
      </c>
      <c r="J19" s="176">
        <f t="shared" si="5"/>
        <v>1.35</v>
      </c>
      <c r="K19" s="176">
        <f t="shared" si="6"/>
        <v>1.2260343087790111</v>
      </c>
      <c r="L19" s="176">
        <f t="shared" si="7"/>
        <v>0.74085365853658547</v>
      </c>
      <c r="M19" s="451">
        <f t="shared" si="14"/>
        <v>350</v>
      </c>
      <c r="N19" s="201">
        <f t="shared" si="8"/>
        <v>350</v>
      </c>
      <c r="O19" s="221">
        <f t="shared" si="9"/>
        <v>1.9610384125777514</v>
      </c>
      <c r="P19" s="177">
        <f t="shared" si="10"/>
        <v>1.0761796166585222</v>
      </c>
      <c r="Q19" s="177">
        <f t="shared" si="11"/>
        <v>0.36932517424259825</v>
      </c>
      <c r="R19" s="177">
        <f t="shared" si="12"/>
        <v>0.45</v>
      </c>
    </row>
    <row r="20" spans="3:18" x14ac:dyDescent="0.2">
      <c r="C20" s="174">
        <v>14</v>
      </c>
      <c r="D20" s="5">
        <f t="shared" si="13"/>
        <v>9.98</v>
      </c>
      <c r="E20" s="451">
        <f t="shared" si="0"/>
        <v>16.399999999999999</v>
      </c>
      <c r="F20" s="221">
        <f t="shared" si="1"/>
        <v>0.62168309325246396</v>
      </c>
      <c r="G20" s="176">
        <f t="shared" si="2"/>
        <v>11.447112964366944</v>
      </c>
      <c r="H20" s="221">
        <f t="shared" si="3"/>
        <v>0.73852341705593194</v>
      </c>
      <c r="I20" s="451">
        <f t="shared" si="4"/>
        <v>26.38</v>
      </c>
      <c r="J20" s="176">
        <f t="shared" si="5"/>
        <v>1.35</v>
      </c>
      <c r="K20" s="176">
        <f t="shared" si="6"/>
        <v>1.217434869739479</v>
      </c>
      <c r="L20" s="176">
        <f t="shared" si="7"/>
        <v>0.74085365853658547</v>
      </c>
      <c r="M20" s="451">
        <f t="shared" si="14"/>
        <v>350</v>
      </c>
      <c r="N20" s="201">
        <f t="shared" si="8"/>
        <v>350</v>
      </c>
      <c r="O20" s="221">
        <f t="shared" si="9"/>
        <v>1.9696499271935208</v>
      </c>
      <c r="P20" s="177">
        <f t="shared" si="10"/>
        <v>1.0809054478501028</v>
      </c>
      <c r="Q20" s="177">
        <f t="shared" si="11"/>
        <v>0.37257593391568111</v>
      </c>
      <c r="R20" s="177">
        <f t="shared" si="12"/>
        <v>0.45</v>
      </c>
    </row>
    <row r="21" spans="3:18" x14ac:dyDescent="0.2">
      <c r="C21" s="174">
        <v>15</v>
      </c>
      <c r="D21" s="5">
        <f t="shared" si="13"/>
        <v>10.050000000000001</v>
      </c>
      <c r="E21" s="451">
        <f t="shared" si="0"/>
        <v>16.399999999999999</v>
      </c>
      <c r="F21" s="221">
        <f t="shared" si="1"/>
        <v>0.62003780718336476</v>
      </c>
      <c r="G21" s="176">
        <f t="shared" si="2"/>
        <v>11.496896030245747</v>
      </c>
      <c r="H21" s="221">
        <f t="shared" si="3"/>
        <v>0.74173522775779011</v>
      </c>
      <c r="I21" s="451">
        <f t="shared" si="4"/>
        <v>26.45</v>
      </c>
      <c r="J21" s="176">
        <f t="shared" si="5"/>
        <v>1.35</v>
      </c>
      <c r="K21" s="176">
        <f t="shared" si="6"/>
        <v>1.208955223880597</v>
      </c>
      <c r="L21" s="176">
        <f t="shared" si="7"/>
        <v>0.74085365853658547</v>
      </c>
      <c r="M21" s="451">
        <f t="shared" si="14"/>
        <v>350</v>
      </c>
      <c r="N21" s="201">
        <f t="shared" si="8"/>
        <v>350</v>
      </c>
      <c r="O21" s="221">
        <f t="shared" si="9"/>
        <v>1.9782158610135927</v>
      </c>
      <c r="P21" s="177">
        <f t="shared" si="10"/>
        <v>1.0856062651903864</v>
      </c>
      <c r="Q21" s="177">
        <f t="shared" si="11"/>
        <v>0.37582361820768645</v>
      </c>
      <c r="R21" s="177">
        <f t="shared" si="12"/>
        <v>0.45</v>
      </c>
    </row>
    <row r="22" spans="3:18" s="3" customFormat="1" x14ac:dyDescent="0.2">
      <c r="C22" s="337">
        <v>16</v>
      </c>
      <c r="D22" s="540">
        <f t="shared" si="13"/>
        <v>10.120000000000001</v>
      </c>
      <c r="E22" s="541">
        <f t="shared" si="0"/>
        <v>16.399999999999999</v>
      </c>
      <c r="F22" s="542">
        <f t="shared" si="1"/>
        <v>0.61840120663650067</v>
      </c>
      <c r="G22" s="336">
        <f t="shared" si="2"/>
        <v>11.546416289592759</v>
      </c>
      <c r="H22" s="542">
        <f t="shared" si="3"/>
        <v>0.74493008319953291</v>
      </c>
      <c r="I22" s="541">
        <f t="shared" si="4"/>
        <v>26.52</v>
      </c>
      <c r="J22" s="176">
        <f t="shared" si="5"/>
        <v>1.35</v>
      </c>
      <c r="K22" s="336">
        <f t="shared" si="6"/>
        <v>1.2005928853754941</v>
      </c>
      <c r="L22" s="336">
        <f t="shared" si="7"/>
        <v>0.74085365853658547</v>
      </c>
      <c r="M22" s="541">
        <f t="shared" si="14"/>
        <v>350</v>
      </c>
      <c r="N22" s="339">
        <f t="shared" si="8"/>
        <v>350</v>
      </c>
      <c r="O22" s="542">
        <f t="shared" si="9"/>
        <v>1.9867365749718693</v>
      </c>
      <c r="P22" s="177">
        <f t="shared" si="10"/>
        <v>1.0902822667528551</v>
      </c>
      <c r="Q22" s="549">
        <f t="shared" si="11"/>
        <v>0.37906813987019833</v>
      </c>
      <c r="R22" s="177">
        <f t="shared" si="12"/>
        <v>0.45</v>
      </c>
    </row>
    <row r="23" spans="3:18" x14ac:dyDescent="0.2">
      <c r="C23" s="174">
        <v>17</v>
      </c>
      <c r="D23" s="5">
        <f t="shared" si="13"/>
        <v>10.19</v>
      </c>
      <c r="E23" s="451">
        <f t="shared" si="0"/>
        <v>16.399999999999999</v>
      </c>
      <c r="F23" s="221">
        <f t="shared" si="1"/>
        <v>0.61677322301617155</v>
      </c>
      <c r="G23" s="176">
        <f t="shared" si="2"/>
        <v>11.595675817976684</v>
      </c>
      <c r="H23" s="221">
        <f t="shared" si="3"/>
        <v>0.74810811728881832</v>
      </c>
      <c r="I23" s="451">
        <f t="shared" si="4"/>
        <v>26.589999999999996</v>
      </c>
      <c r="J23" s="176">
        <f t="shared" si="5"/>
        <v>1.35</v>
      </c>
      <c r="K23" s="176">
        <f t="shared" si="6"/>
        <v>1.1923454367026496</v>
      </c>
      <c r="L23" s="176">
        <f t="shared" si="7"/>
        <v>0.74085365853658547</v>
      </c>
      <c r="M23" s="451">
        <f t="shared" si="14"/>
        <v>350</v>
      </c>
      <c r="N23" s="201">
        <f t="shared" si="8"/>
        <v>350</v>
      </c>
      <c r="O23" s="221">
        <f t="shared" si="9"/>
        <v>1.9952124262015196</v>
      </c>
      <c r="P23" s="177">
        <f t="shared" si="10"/>
        <v>1.0949336485252243</v>
      </c>
      <c r="Q23" s="177">
        <f t="shared" si="11"/>
        <v>0.38230941374564664</v>
      </c>
      <c r="R23" s="177">
        <f t="shared" si="12"/>
        <v>0.45</v>
      </c>
    </row>
    <row r="24" spans="3:18" x14ac:dyDescent="0.2">
      <c r="C24" s="174">
        <v>18</v>
      </c>
      <c r="D24" s="5">
        <f t="shared" si="13"/>
        <v>10.26</v>
      </c>
      <c r="E24" s="451">
        <f t="shared" si="0"/>
        <v>16.399999999999999</v>
      </c>
      <c r="F24" s="221">
        <f t="shared" si="1"/>
        <v>0.61515378844711177</v>
      </c>
      <c r="G24" s="176">
        <f t="shared" si="2"/>
        <v>11.644676669167291</v>
      </c>
      <c r="H24" s="221">
        <f t="shared" si="3"/>
        <v>0.75126946252692195</v>
      </c>
      <c r="I24" s="451">
        <f t="shared" si="4"/>
        <v>26.659999999999997</v>
      </c>
      <c r="J24" s="176">
        <f t="shared" si="5"/>
        <v>1.35</v>
      </c>
      <c r="K24" s="176">
        <f t="shared" si="6"/>
        <v>1.1842105263157896</v>
      </c>
      <c r="L24" s="176">
        <f t="shared" si="7"/>
        <v>0.74085365853658547</v>
      </c>
      <c r="M24" s="451">
        <f t="shared" si="14"/>
        <v>350</v>
      </c>
      <c r="N24" s="201">
        <f t="shared" si="8"/>
        <v>350</v>
      </c>
      <c r="O24" s="221">
        <f t="shared" si="9"/>
        <v>2.0036437680848782</v>
      </c>
      <c r="P24" s="177">
        <f t="shared" si="10"/>
        <v>1.0995606044368236</v>
      </c>
      <c r="Q24" s="177">
        <f t="shared" si="11"/>
        <v>0.38554735672450968</v>
      </c>
      <c r="R24" s="177">
        <f t="shared" si="12"/>
        <v>0.45</v>
      </c>
    </row>
    <row r="25" spans="3:18" x14ac:dyDescent="0.2">
      <c r="C25" s="174">
        <v>19</v>
      </c>
      <c r="D25" s="5">
        <f t="shared" si="13"/>
        <v>10.33</v>
      </c>
      <c r="E25" s="451">
        <f t="shared" si="0"/>
        <v>16.399999999999999</v>
      </c>
      <c r="F25" s="221">
        <f t="shared" si="1"/>
        <v>0.61354283576505797</v>
      </c>
      <c r="G25" s="176">
        <f t="shared" si="2"/>
        <v>11.693420875420875</v>
      </c>
      <c r="H25" s="221">
        <f t="shared" si="3"/>
        <v>0.75441425002715323</v>
      </c>
      <c r="I25" s="451">
        <f t="shared" si="4"/>
        <v>26.729999999999997</v>
      </c>
      <c r="J25" s="176">
        <f t="shared" si="5"/>
        <v>1.35</v>
      </c>
      <c r="K25" s="176">
        <f t="shared" si="6"/>
        <v>1.176185866408519</v>
      </c>
      <c r="L25" s="176">
        <f t="shared" si="7"/>
        <v>0.74085365853658547</v>
      </c>
      <c r="M25" s="451">
        <f t="shared" si="14"/>
        <v>350</v>
      </c>
      <c r="N25" s="201">
        <f t="shared" si="8"/>
        <v>350</v>
      </c>
      <c r="O25" s="221">
        <f t="shared" si="9"/>
        <v>2.0120309503025551</v>
      </c>
      <c r="P25" s="177">
        <f t="shared" si="10"/>
        <v>1.1041633263855486</v>
      </c>
      <c r="Q25" s="177">
        <f t="shared" si="11"/>
        <v>0.38878188770343047</v>
      </c>
      <c r="R25" s="177">
        <f t="shared" si="12"/>
        <v>0.45</v>
      </c>
    </row>
    <row r="26" spans="3:18" x14ac:dyDescent="0.2">
      <c r="C26" s="174">
        <v>20</v>
      </c>
      <c r="D26" s="5">
        <f t="shared" si="13"/>
        <v>10.4</v>
      </c>
      <c r="E26" s="451">
        <f t="shared" si="0"/>
        <v>16.399999999999999</v>
      </c>
      <c r="F26" s="221">
        <f t="shared" si="1"/>
        <v>0.61194029850746268</v>
      </c>
      <c r="G26" s="176">
        <f t="shared" si="2"/>
        <v>11.741910447761194</v>
      </c>
      <c r="H26" s="221">
        <f t="shared" si="3"/>
        <v>0.75754260953298025</v>
      </c>
      <c r="I26" s="451">
        <f t="shared" si="4"/>
        <v>26.799999999999997</v>
      </c>
      <c r="J26" s="176">
        <f t="shared" si="5"/>
        <v>1.35</v>
      </c>
      <c r="K26" s="176">
        <f t="shared" si="6"/>
        <v>1.1682692307692306</v>
      </c>
      <c r="L26" s="176">
        <f t="shared" si="7"/>
        <v>0.74085365853658547</v>
      </c>
      <c r="M26" s="451">
        <f t="shared" si="14"/>
        <v>350</v>
      </c>
      <c r="N26" s="201">
        <f t="shared" si="8"/>
        <v>350</v>
      </c>
      <c r="O26" s="221">
        <f t="shared" si="9"/>
        <v>2.0203743188817818</v>
      </c>
      <c r="P26" s="177">
        <f t="shared" si="10"/>
        <v>1.1087420042643925</v>
      </c>
      <c r="Q26" s="177">
        <f t="shared" si="11"/>
        <v>0.3920129275442264</v>
      </c>
      <c r="R26" s="177">
        <f t="shared" si="12"/>
        <v>0.45</v>
      </c>
    </row>
    <row r="27" spans="3:18" x14ac:dyDescent="0.2">
      <c r="C27" s="174">
        <v>21</v>
      </c>
      <c r="D27" s="5">
        <f t="shared" si="13"/>
        <v>10.47</v>
      </c>
      <c r="E27" s="451">
        <f t="shared" si="0"/>
        <v>16.399999999999999</v>
      </c>
      <c r="F27" s="221">
        <f t="shared" si="1"/>
        <v>0.61034611090435431</v>
      </c>
      <c r="G27" s="176">
        <f t="shared" si="2"/>
        <v>11.790147376256046</v>
      </c>
      <c r="H27" s="221">
        <f t="shared" si="3"/>
        <v>0.7606546694358739</v>
      </c>
      <c r="I27" s="451">
        <f t="shared" si="4"/>
        <v>26.869999999999997</v>
      </c>
      <c r="J27" s="176">
        <f t="shared" si="5"/>
        <v>1.35</v>
      </c>
      <c r="K27" s="176">
        <f t="shared" si="6"/>
        <v>1.1604584527220629</v>
      </c>
      <c r="L27" s="176">
        <f t="shared" si="7"/>
        <v>0.74085365853658547</v>
      </c>
      <c r="M27" s="451">
        <f t="shared" si="14"/>
        <v>350</v>
      </c>
      <c r="N27" s="201">
        <f t="shared" si="8"/>
        <v>350</v>
      </c>
      <c r="O27" s="221">
        <f t="shared" si="9"/>
        <v>2.0286742162439966</v>
      </c>
      <c r="P27" s="177">
        <f t="shared" si="10"/>
        <v>1.1132968259875591</v>
      </c>
      <c r="Q27" s="177">
        <f t="shared" si="11"/>
        <v>0.39524039903376706</v>
      </c>
      <c r="R27" s="177">
        <f t="shared" si="12"/>
        <v>0.45</v>
      </c>
    </row>
    <row r="28" spans="3:18" x14ac:dyDescent="0.2">
      <c r="C28" s="174">
        <v>22</v>
      </c>
      <c r="D28" s="5">
        <f t="shared" si="13"/>
        <v>10.54</v>
      </c>
      <c r="E28" s="451">
        <f t="shared" si="0"/>
        <v>16.399999999999999</v>
      </c>
      <c r="F28" s="221">
        <f t="shared" si="1"/>
        <v>0.60876020786933926</v>
      </c>
      <c r="G28" s="176">
        <f t="shared" si="2"/>
        <v>11.838133630289532</v>
      </c>
      <c r="H28" s="221">
        <f t="shared" si="3"/>
        <v>0.76375055679287296</v>
      </c>
      <c r="I28" s="451">
        <f t="shared" si="4"/>
        <v>26.939999999999998</v>
      </c>
      <c r="J28" s="176">
        <f t="shared" si="5"/>
        <v>1.35</v>
      </c>
      <c r="K28" s="176">
        <f t="shared" si="6"/>
        <v>1.1527514231499052</v>
      </c>
      <c r="L28" s="176">
        <f t="shared" si="7"/>
        <v>0.74085365853658547</v>
      </c>
      <c r="M28" s="451">
        <f t="shared" si="14"/>
        <v>350</v>
      </c>
      <c r="N28" s="201">
        <f t="shared" si="8"/>
        <v>350</v>
      </c>
      <c r="O28" s="221">
        <f t="shared" si="9"/>
        <v>2.036930981251694</v>
      </c>
      <c r="P28" s="177">
        <f t="shared" si="10"/>
        <v>1.1178279775161737</v>
      </c>
      <c r="Q28" s="177">
        <f t="shared" si="11"/>
        <v>0.39846422684470789</v>
      </c>
      <c r="R28" s="177">
        <f t="shared" si="12"/>
        <v>0.45</v>
      </c>
    </row>
    <row r="29" spans="3:18" x14ac:dyDescent="0.2">
      <c r="C29" s="174">
        <v>23</v>
      </c>
      <c r="D29" s="5">
        <f t="shared" si="13"/>
        <v>10.61</v>
      </c>
      <c r="E29" s="451">
        <f t="shared" si="0"/>
        <v>16.399999999999999</v>
      </c>
      <c r="F29" s="221">
        <f t="shared" si="1"/>
        <v>0.60718252499074421</v>
      </c>
      <c r="G29" s="176">
        <f t="shared" si="2"/>
        <v>11.885871158830062</v>
      </c>
      <c r="H29" s="221">
        <f t="shared" si="3"/>
        <v>0.76683039734387493</v>
      </c>
      <c r="I29" s="451">
        <f t="shared" si="4"/>
        <v>27.009999999999998</v>
      </c>
      <c r="J29" s="176">
        <f t="shared" si="5"/>
        <v>1.35</v>
      </c>
      <c r="K29" s="176">
        <f t="shared" si="6"/>
        <v>1.1451460885956646</v>
      </c>
      <c r="L29" s="176">
        <f t="shared" si="7"/>
        <v>0.74085365853658547</v>
      </c>
      <c r="M29" s="451">
        <f t="shared" si="14"/>
        <v>350</v>
      </c>
      <c r="N29" s="201">
        <f t="shared" si="8"/>
        <v>350</v>
      </c>
      <c r="O29" s="221">
        <f t="shared" si="9"/>
        <v>2.0451449492545382</v>
      </c>
      <c r="P29" s="177">
        <f t="shared" si="10"/>
        <v>1.122335642883588</v>
      </c>
      <c r="Q29" s="177">
        <f t="shared" si="11"/>
        <v>0.40168433749705013</v>
      </c>
      <c r="R29" s="177">
        <f t="shared" si="12"/>
        <v>0.45</v>
      </c>
    </row>
    <row r="30" spans="3:18" x14ac:dyDescent="0.2">
      <c r="C30" s="174">
        <v>24</v>
      </c>
      <c r="D30" s="5">
        <f t="shared" si="13"/>
        <v>10.68</v>
      </c>
      <c r="E30" s="451">
        <f t="shared" si="0"/>
        <v>16.399999999999999</v>
      </c>
      <c r="F30" s="221">
        <f t="shared" si="1"/>
        <v>0.60561299852289507</v>
      </c>
      <c r="G30" s="176">
        <f t="shared" si="2"/>
        <v>11.933361890694236</v>
      </c>
      <c r="H30" s="221">
        <f t="shared" si="3"/>
        <v>0.76989431552866039</v>
      </c>
      <c r="I30" s="451">
        <f t="shared" si="4"/>
        <v>27.08</v>
      </c>
      <c r="J30" s="176">
        <f t="shared" si="5"/>
        <v>1.35</v>
      </c>
      <c r="K30" s="176">
        <f t="shared" si="6"/>
        <v>1.1376404494382024</v>
      </c>
      <c r="L30" s="176">
        <f t="shared" si="7"/>
        <v>0.74085365853658547</v>
      </c>
      <c r="M30" s="451">
        <f t="shared" si="14"/>
        <v>350</v>
      </c>
      <c r="N30" s="201">
        <f t="shared" si="8"/>
        <v>350</v>
      </c>
      <c r="O30" s="221">
        <f t="shared" si="9"/>
        <v>2.0533164521347684</v>
      </c>
      <c r="P30" s="177">
        <f t="shared" si="10"/>
        <v>1.1268200042202998</v>
      </c>
      <c r="Q30" s="177">
        <f t="shared" si="11"/>
        <v>0.40490065932051938</v>
      </c>
      <c r="R30" s="177">
        <f t="shared" si="12"/>
        <v>0.45</v>
      </c>
    </row>
    <row r="31" spans="3:18" x14ac:dyDescent="0.2">
      <c r="C31" s="174">
        <v>25</v>
      </c>
      <c r="D31" s="5">
        <f t="shared" si="13"/>
        <v>10.75</v>
      </c>
      <c r="E31" s="451">
        <f t="shared" si="0"/>
        <v>16.399999999999999</v>
      </c>
      <c r="F31" s="221">
        <f t="shared" si="1"/>
        <v>0.60405156537753224</v>
      </c>
      <c r="G31" s="176">
        <f t="shared" si="2"/>
        <v>11.980607734806629</v>
      </c>
      <c r="H31" s="221">
        <f t="shared" si="3"/>
        <v>0.77294243450365352</v>
      </c>
      <c r="I31" s="451">
        <f t="shared" si="4"/>
        <v>27.15</v>
      </c>
      <c r="J31" s="176">
        <f t="shared" si="5"/>
        <v>1.35</v>
      </c>
      <c r="K31" s="176">
        <f t="shared" si="6"/>
        <v>1.1302325581395349</v>
      </c>
      <c r="L31" s="176">
        <f t="shared" si="7"/>
        <v>0.74085365853658547</v>
      </c>
      <c r="M31" s="451">
        <f t="shared" si="14"/>
        <v>350</v>
      </c>
      <c r="N31" s="201">
        <f t="shared" si="8"/>
        <v>350</v>
      </c>
      <c r="O31" s="221">
        <f t="shared" si="9"/>
        <v>2.061445818351896</v>
      </c>
      <c r="P31" s="177">
        <f t="shared" si="10"/>
        <v>1.1312812417784794</v>
      </c>
      <c r="Q31" s="177">
        <f t="shared" si="11"/>
        <v>0.40811312241773268</v>
      </c>
      <c r="R31" s="177">
        <f t="shared" si="12"/>
        <v>0.45</v>
      </c>
    </row>
    <row r="32" spans="3:18" x14ac:dyDescent="0.2">
      <c r="C32" s="174">
        <v>26</v>
      </c>
      <c r="D32" s="5">
        <f t="shared" si="13"/>
        <v>10.82</v>
      </c>
      <c r="E32" s="451">
        <f t="shared" si="0"/>
        <v>16.399999999999999</v>
      </c>
      <c r="F32" s="221">
        <f t="shared" si="1"/>
        <v>0.60249816311535631</v>
      </c>
      <c r="G32" s="176">
        <f t="shared" si="2"/>
        <v>12.027610580455546</v>
      </c>
      <c r="H32" s="221">
        <f t="shared" si="3"/>
        <v>0.77597487615842231</v>
      </c>
      <c r="I32" s="451">
        <f t="shared" si="4"/>
        <v>27.22</v>
      </c>
      <c r="J32" s="176">
        <f t="shared" si="5"/>
        <v>1.35</v>
      </c>
      <c r="K32" s="176">
        <f t="shared" si="6"/>
        <v>1.1229205175600738</v>
      </c>
      <c r="L32" s="176">
        <f t="shared" si="7"/>
        <v>0.74085365853658547</v>
      </c>
      <c r="M32" s="451">
        <f t="shared" si="14"/>
        <v>350</v>
      </c>
      <c r="N32" s="201">
        <f t="shared" si="8"/>
        <v>350</v>
      </c>
      <c r="O32" s="221">
        <f t="shared" si="9"/>
        <v>2.0695333729867165</v>
      </c>
      <c r="P32" s="177">
        <f t="shared" si="10"/>
        <v>1.135719533956125</v>
      </c>
      <c r="Q32" s="177">
        <f t="shared" si="11"/>
        <v>0.41132165862814624</v>
      </c>
      <c r="R32" s="177">
        <f t="shared" si="12"/>
        <v>0.45</v>
      </c>
    </row>
    <row r="33" spans="3:18" x14ac:dyDescent="0.2">
      <c r="C33" s="174">
        <v>27</v>
      </c>
      <c r="D33" s="5">
        <f t="shared" si="13"/>
        <v>10.89</v>
      </c>
      <c r="E33" s="451">
        <f t="shared" si="0"/>
        <v>16.399999999999999</v>
      </c>
      <c r="F33" s="221">
        <f t="shared" si="1"/>
        <v>0.6009527299377061</v>
      </c>
      <c r="G33" s="176">
        <f t="shared" si="2"/>
        <v>12.074372297544889</v>
      </c>
      <c r="H33" s="221">
        <f t="shared" si="3"/>
        <v>0.77899176113192825</v>
      </c>
      <c r="I33" s="451">
        <f t="shared" si="4"/>
        <v>27.29</v>
      </c>
      <c r="J33" s="176">
        <f t="shared" si="5"/>
        <v>1.35</v>
      </c>
      <c r="K33" s="176">
        <f t="shared" si="6"/>
        <v>1.115702479338843</v>
      </c>
      <c r="L33" s="176">
        <f t="shared" si="7"/>
        <v>0.74085365853658547</v>
      </c>
      <c r="M33" s="451">
        <f t="shared" si="14"/>
        <v>350</v>
      </c>
      <c r="N33" s="201">
        <f t="shared" si="8"/>
        <v>350</v>
      </c>
      <c r="O33" s="221">
        <f t="shared" si="9"/>
        <v>2.077579437784641</v>
      </c>
      <c r="P33" s="177">
        <f t="shared" si="10"/>
        <v>1.14013505732084</v>
      </c>
      <c r="Q33" s="177">
        <f t="shared" si="11"/>
        <v>0.41452620149275826</v>
      </c>
      <c r="R33" s="177">
        <f t="shared" si="12"/>
        <v>0.45</v>
      </c>
    </row>
    <row r="34" spans="3:18" x14ac:dyDescent="0.2">
      <c r="C34" s="174">
        <v>28</v>
      </c>
      <c r="D34" s="5">
        <f t="shared" si="13"/>
        <v>10.96</v>
      </c>
      <c r="E34" s="451">
        <f t="shared" si="0"/>
        <v>16.399999999999999</v>
      </c>
      <c r="F34" s="221">
        <f t="shared" si="1"/>
        <v>0.59941520467836251</v>
      </c>
      <c r="G34" s="176">
        <f t="shared" si="2"/>
        <v>12.120894736842105</v>
      </c>
      <c r="H34" s="221">
        <f t="shared" si="3"/>
        <v>0.78199320882852297</v>
      </c>
      <c r="I34" s="451">
        <f t="shared" si="4"/>
        <v>27.36</v>
      </c>
      <c r="J34" s="176">
        <f t="shared" si="5"/>
        <v>1.35</v>
      </c>
      <c r="K34" s="176">
        <f t="shared" si="6"/>
        <v>1.1085766423357664</v>
      </c>
      <c r="L34" s="176">
        <f t="shared" si="7"/>
        <v>0.74085365853658547</v>
      </c>
      <c r="M34" s="451">
        <f t="shared" si="14"/>
        <v>350</v>
      </c>
      <c r="N34" s="201">
        <f t="shared" si="8"/>
        <v>350</v>
      </c>
      <c r="O34" s="221">
        <f t="shared" si="9"/>
        <v>2.0855843311983664</v>
      </c>
      <c r="P34" s="177">
        <f t="shared" si="10"/>
        <v>1.1445279866332501</v>
      </c>
      <c r="Q34" s="177">
        <f t="shared" si="11"/>
        <v>0.417726686219556</v>
      </c>
      <c r="R34" s="177">
        <f t="shared" si="12"/>
        <v>0.45</v>
      </c>
    </row>
    <row r="35" spans="3:18" x14ac:dyDescent="0.2">
      <c r="C35" s="174">
        <v>29</v>
      </c>
      <c r="D35" s="5">
        <f t="shared" si="13"/>
        <v>11.03</v>
      </c>
      <c r="E35" s="451">
        <f t="shared" si="0"/>
        <v>16.399999999999999</v>
      </c>
      <c r="F35" s="221">
        <f t="shared" si="1"/>
        <v>0.59788552679547935</v>
      </c>
      <c r="G35" s="176">
        <f t="shared" si="2"/>
        <v>12.167179730222381</v>
      </c>
      <c r="H35" s="221">
        <f t="shared" si="3"/>
        <v>0.78497933743370196</v>
      </c>
      <c r="I35" s="451">
        <f t="shared" si="4"/>
        <v>27.43</v>
      </c>
      <c r="J35" s="176">
        <f t="shared" si="5"/>
        <v>1.35</v>
      </c>
      <c r="K35" s="176">
        <f t="shared" si="6"/>
        <v>1.1015412511332729</v>
      </c>
      <c r="L35" s="176">
        <f t="shared" si="7"/>
        <v>0.74085365853658547</v>
      </c>
      <c r="M35" s="451">
        <f t="shared" si="14"/>
        <v>350</v>
      </c>
      <c r="N35" s="201">
        <f t="shared" si="8"/>
        <v>350</v>
      </c>
      <c r="O35" s="221">
        <f t="shared" si="9"/>
        <v>2.093548368429885</v>
      </c>
      <c r="P35" s="177">
        <f t="shared" si="10"/>
        <v>1.1488984948700591</v>
      </c>
      <c r="Q35" s="177">
        <f t="shared" si="11"/>
        <v>0.42092304964968352</v>
      </c>
      <c r="R35" s="177">
        <f t="shared" si="12"/>
        <v>0.45</v>
      </c>
    </row>
    <row r="36" spans="3:18" x14ac:dyDescent="0.2">
      <c r="C36" s="174">
        <v>30</v>
      </c>
      <c r="D36" s="5">
        <f t="shared" si="13"/>
        <v>11.1</v>
      </c>
      <c r="E36" s="451">
        <f t="shared" si="0"/>
        <v>16.399999999999999</v>
      </c>
      <c r="F36" s="221">
        <f t="shared" si="1"/>
        <v>0.59636363636363632</v>
      </c>
      <c r="G36" s="176">
        <f t="shared" si="2"/>
        <v>12.213229090909088</v>
      </c>
      <c r="H36" s="221">
        <f t="shared" si="3"/>
        <v>0.78795026392961864</v>
      </c>
      <c r="I36" s="451">
        <f t="shared" si="4"/>
        <v>27.5</v>
      </c>
      <c r="J36" s="176">
        <f t="shared" si="5"/>
        <v>1.35</v>
      </c>
      <c r="K36" s="176">
        <f t="shared" si="6"/>
        <v>1.0945945945945947</v>
      </c>
      <c r="L36" s="176">
        <f t="shared" si="7"/>
        <v>0.74085365853658547</v>
      </c>
      <c r="M36" s="451">
        <f t="shared" si="14"/>
        <v>350</v>
      </c>
      <c r="N36" s="201">
        <f t="shared" si="8"/>
        <v>350</v>
      </c>
      <c r="O36" s="221">
        <f t="shared" si="9"/>
        <v>2.101471861471861</v>
      </c>
      <c r="P36" s="177">
        <f t="shared" si="10"/>
        <v>1.1532467532467532</v>
      </c>
      <c r="Q36" s="177">
        <f t="shared" si="11"/>
        <v>0.42411523022432107</v>
      </c>
      <c r="R36" s="177">
        <f t="shared" si="12"/>
        <v>0.45</v>
      </c>
    </row>
    <row r="37" spans="3:18" x14ac:dyDescent="0.2">
      <c r="C37" s="174">
        <v>31</v>
      </c>
      <c r="D37" s="5">
        <f t="shared" si="13"/>
        <v>11.17</v>
      </c>
      <c r="E37" s="451">
        <f t="shared" si="0"/>
        <v>16.399999999999999</v>
      </c>
      <c r="F37" s="221">
        <f t="shared" si="1"/>
        <v>0.59484947406601374</v>
      </c>
      <c r="G37" s="176">
        <f t="shared" si="2"/>
        <v>12.259044613710554</v>
      </c>
      <c r="H37" s="221">
        <f t="shared" si="3"/>
        <v>0.79090610411035833</v>
      </c>
      <c r="I37" s="451">
        <f t="shared" si="4"/>
        <v>27.57</v>
      </c>
      <c r="J37" s="176">
        <f t="shared" si="5"/>
        <v>1.35</v>
      </c>
      <c r="K37" s="176">
        <f t="shared" si="6"/>
        <v>1.0877350044762757</v>
      </c>
      <c r="L37" s="176">
        <f t="shared" si="7"/>
        <v>0.74085365853658547</v>
      </c>
      <c r="M37" s="451">
        <f t="shared" si="14"/>
        <v>350</v>
      </c>
      <c r="N37" s="201">
        <f t="shared" si="8"/>
        <v>350</v>
      </c>
      <c r="O37" s="221">
        <f t="shared" si="9"/>
        <v>2.1093551191483728</v>
      </c>
      <c r="P37" s="177">
        <f t="shared" si="10"/>
        <v>1.1575729312399607</v>
      </c>
      <c r="Q37" s="177">
        <f t="shared" si="11"/>
        <v>0.42730316795225476</v>
      </c>
      <c r="R37" s="177">
        <f t="shared" si="12"/>
        <v>0.45</v>
      </c>
    </row>
    <row r="38" spans="3:18" x14ac:dyDescent="0.2">
      <c r="C38" s="174">
        <v>32</v>
      </c>
      <c r="D38" s="5">
        <f t="shared" si="13"/>
        <v>11.24</v>
      </c>
      <c r="E38" s="451">
        <f t="shared" ref="E38:E69" si="15">(Vout+Vfwd1)*Nps</f>
        <v>16.399999999999999</v>
      </c>
      <c r="F38" s="221">
        <f t="shared" ref="F38:F69" si="16">(Vout+Vfwd1)*Nps/((Vout+Vfwd1)*Nps+D38)</f>
        <v>0.59334298118668594</v>
      </c>
      <c r="G38" s="176">
        <f t="shared" ref="G38:G69" si="17">F38*D38*Isw_max*0.5*Efficiency</f>
        <v>12.304628075253255</v>
      </c>
      <c r="H38" s="221">
        <f t="shared" ref="H38:H69" si="18">G38/Vout</f>
        <v>0.79384697259698422</v>
      </c>
      <c r="I38" s="451">
        <f t="shared" ref="I38:I69" si="19">(Vout+Vfwd1)*Nps+D38</f>
        <v>27.64</v>
      </c>
      <c r="J38" s="176">
        <f t="shared" ref="J38:J69" si="20">MIN(2*Vout*Iout/(Efficiency*D38*F38), 1.35)</f>
        <v>1.35</v>
      </c>
      <c r="K38" s="176">
        <f t="shared" ref="K38:K69" si="21">L*J38/D38*1000000</f>
        <v>1.0809608540925266</v>
      </c>
      <c r="L38" s="176">
        <f t="shared" ref="L38:L69" si="22">L*J38/((Vout+Vfwd1)*Nps)*1000000</f>
        <v>0.74085365853658547</v>
      </c>
      <c r="M38" s="451">
        <f t="shared" si="14"/>
        <v>350</v>
      </c>
      <c r="N38" s="201">
        <f t="shared" ref="N38:N69" si="23">IF(1/((350000*L)*(1/D38+1/E38))&gt;Isw_min, 350, 0.001/((Isw_min*L)*(1/D38+1/E38)))</f>
        <v>350</v>
      </c>
      <c r="O38" s="221">
        <f t="shared" ref="O38:O69" si="24">1/((N38*1000*L)*(1/D38+1/E38))</f>
        <v>2.1171984471550318</v>
      </c>
      <c r="P38" s="177">
        <f t="shared" ref="P38:P69" si="25">L*O38/E38*1000000</f>
        <v>1.1618771966094688</v>
      </c>
      <c r="Q38" s="177">
        <f t="shared" ref="Q38:Q69" si="26">0.5*P38*O38*Nps*N38/1000</f>
        <v>0.43048680437812153</v>
      </c>
      <c r="R38" s="177">
        <f t="shared" ref="R38:R69" si="27">L*Isw_min/E38*1000000</f>
        <v>0.45</v>
      </c>
    </row>
    <row r="39" spans="3:18" x14ac:dyDescent="0.2">
      <c r="C39" s="174">
        <v>33</v>
      </c>
      <c r="D39" s="5">
        <f t="shared" ref="D39:D70" si="28">C39/100*(VIN_max-VIN_min)+VIN_min</f>
        <v>11.31</v>
      </c>
      <c r="E39" s="451">
        <f t="shared" si="15"/>
        <v>16.399999999999999</v>
      </c>
      <c r="F39" s="221">
        <f t="shared" si="16"/>
        <v>0.5918440996030313</v>
      </c>
      <c r="G39" s="176">
        <f t="shared" si="17"/>
        <v>12.349981234211473</v>
      </c>
      <c r="H39" s="221">
        <f t="shared" si="18"/>
        <v>0.7967729828523531</v>
      </c>
      <c r="I39" s="451">
        <f t="shared" si="19"/>
        <v>27.71</v>
      </c>
      <c r="J39" s="176">
        <f t="shared" si="20"/>
        <v>1.35</v>
      </c>
      <c r="K39" s="176">
        <f t="shared" si="21"/>
        <v>1.0742705570291777</v>
      </c>
      <c r="L39" s="176">
        <f t="shared" si="22"/>
        <v>0.74085365853658547</v>
      </c>
      <c r="M39" s="451">
        <f t="shared" si="14"/>
        <v>350</v>
      </c>
      <c r="N39" s="201">
        <f t="shared" si="23"/>
        <v>350</v>
      </c>
      <c r="O39" s="221">
        <f t="shared" si="24"/>
        <v>2.1250021480985035</v>
      </c>
      <c r="P39" s="177">
        <f t="shared" si="25"/>
        <v>1.1661597154199106</v>
      </c>
      <c r="Q39" s="177">
        <f t="shared" si="26"/>
        <v>0.43366608255131872</v>
      </c>
      <c r="R39" s="177">
        <f t="shared" si="27"/>
        <v>0.45</v>
      </c>
    </row>
    <row r="40" spans="3:18" x14ac:dyDescent="0.2">
      <c r="C40" s="174">
        <v>34</v>
      </c>
      <c r="D40" s="5">
        <f t="shared" si="28"/>
        <v>11.38</v>
      </c>
      <c r="E40" s="451">
        <f t="shared" si="15"/>
        <v>16.399999999999999</v>
      </c>
      <c r="F40" s="221">
        <f t="shared" si="16"/>
        <v>0.59035277177825762</v>
      </c>
      <c r="G40" s="176">
        <f t="shared" si="17"/>
        <v>12.395105831533474</v>
      </c>
      <c r="H40" s="221">
        <f t="shared" si="18"/>
        <v>0.79968424719570796</v>
      </c>
      <c r="I40" s="451">
        <f t="shared" si="19"/>
        <v>27.78</v>
      </c>
      <c r="J40" s="176">
        <f t="shared" si="20"/>
        <v>1.35</v>
      </c>
      <c r="K40" s="176">
        <f t="shared" si="21"/>
        <v>1.0676625659050967</v>
      </c>
      <c r="L40" s="176">
        <f t="shared" si="22"/>
        <v>0.74085365853658547</v>
      </c>
      <c r="M40" s="451">
        <f t="shared" si="14"/>
        <v>350</v>
      </c>
      <c r="N40" s="201">
        <f t="shared" si="23"/>
        <v>350</v>
      </c>
      <c r="O40" s="221">
        <f t="shared" si="24"/>
        <v>2.1327665215354199</v>
      </c>
      <c r="P40" s="177">
        <f t="shared" si="25"/>
        <v>1.170420652062121</v>
      </c>
      <c r="Q40" s="177">
        <f t="shared" si="26"/>
        <v>0.43684094699555581</v>
      </c>
      <c r="R40" s="177">
        <f t="shared" si="27"/>
        <v>0.45</v>
      </c>
    </row>
    <row r="41" spans="3:18" x14ac:dyDescent="0.2">
      <c r="C41" s="174">
        <v>35</v>
      </c>
      <c r="D41" s="5">
        <f t="shared" si="28"/>
        <v>11.45</v>
      </c>
      <c r="E41" s="451">
        <f t="shared" si="15"/>
        <v>16.399999999999999</v>
      </c>
      <c r="F41" s="221">
        <f t="shared" si="16"/>
        <v>0.5888689407540395</v>
      </c>
      <c r="G41" s="176">
        <f t="shared" si="17"/>
        <v>12.44000359066427</v>
      </c>
      <c r="H41" s="221">
        <f t="shared" si="18"/>
        <v>0.8025808768170497</v>
      </c>
      <c r="I41" s="451">
        <f t="shared" si="19"/>
        <v>27.849999999999998</v>
      </c>
      <c r="J41" s="176">
        <f t="shared" si="20"/>
        <v>1.35</v>
      </c>
      <c r="K41" s="176">
        <f t="shared" si="21"/>
        <v>1.0611353711790394</v>
      </c>
      <c r="L41" s="176">
        <f t="shared" si="22"/>
        <v>0.74085365853658547</v>
      </c>
      <c r="M41" s="451">
        <f t="shared" si="14"/>
        <v>350</v>
      </c>
      <c r="N41" s="201">
        <f t="shared" si="23"/>
        <v>350</v>
      </c>
      <c r="O41" s="221">
        <f t="shared" si="24"/>
        <v>2.1404918640107149</v>
      </c>
      <c r="P41" s="177">
        <f t="shared" si="25"/>
        <v>1.1746601692741729</v>
      </c>
      <c r="Q41" s="177">
        <f t="shared" si="26"/>
        <v>0.44001134367904288</v>
      </c>
      <c r="R41" s="177">
        <f t="shared" si="27"/>
        <v>0.45</v>
      </c>
    </row>
    <row r="42" spans="3:18" x14ac:dyDescent="0.2">
      <c r="C42" s="174">
        <v>36</v>
      </c>
      <c r="D42" s="5">
        <f t="shared" si="28"/>
        <v>11.52</v>
      </c>
      <c r="E42" s="451">
        <f t="shared" si="15"/>
        <v>16.399999999999999</v>
      </c>
      <c r="F42" s="221">
        <f t="shared" si="16"/>
        <v>0.58739255014326641</v>
      </c>
      <c r="G42" s="176">
        <f t="shared" si="17"/>
        <v>12.48467621776504</v>
      </c>
      <c r="H42" s="221">
        <f t="shared" si="18"/>
        <v>0.80546298179129294</v>
      </c>
      <c r="I42" s="451">
        <f t="shared" si="19"/>
        <v>27.919999999999998</v>
      </c>
      <c r="J42" s="176">
        <f t="shared" si="20"/>
        <v>1.35</v>
      </c>
      <c r="K42" s="176">
        <f t="shared" si="21"/>
        <v>1.0546875</v>
      </c>
      <c r="L42" s="176">
        <f t="shared" si="22"/>
        <v>0.74085365853658547</v>
      </c>
      <c r="M42" s="451">
        <f t="shared" si="14"/>
        <v>350</v>
      </c>
      <c r="N42" s="201">
        <f t="shared" si="23"/>
        <v>350</v>
      </c>
      <c r="O42" s="221">
        <f t="shared" si="24"/>
        <v>2.1481784690953747</v>
      </c>
      <c r="P42" s="177">
        <f t="shared" si="25"/>
        <v>1.1788784281620961</v>
      </c>
      <c r="Q42" s="177">
        <f t="shared" si="26"/>
        <v>0.4431772199852923</v>
      </c>
      <c r="R42" s="177">
        <f t="shared" si="27"/>
        <v>0.45</v>
      </c>
    </row>
    <row r="43" spans="3:18" x14ac:dyDescent="0.2">
      <c r="C43" s="174">
        <v>37</v>
      </c>
      <c r="D43" s="5">
        <f t="shared" si="28"/>
        <v>11.59</v>
      </c>
      <c r="E43" s="451">
        <f t="shared" si="15"/>
        <v>16.399999999999999</v>
      </c>
      <c r="F43" s="221">
        <f t="shared" si="16"/>
        <v>0.58592354412290104</v>
      </c>
      <c r="G43" s="176">
        <f t="shared" si="17"/>
        <v>12.52912540192926</v>
      </c>
      <c r="H43" s="221">
        <f t="shared" si="18"/>
        <v>0.80833067109221035</v>
      </c>
      <c r="I43" s="451">
        <f t="shared" si="19"/>
        <v>27.99</v>
      </c>
      <c r="J43" s="176">
        <f t="shared" si="20"/>
        <v>1.35</v>
      </c>
      <c r="K43" s="176">
        <f t="shared" si="21"/>
        <v>1.0483175150992234</v>
      </c>
      <c r="L43" s="176">
        <f t="shared" si="22"/>
        <v>0.74085365853658547</v>
      </c>
      <c r="M43" s="451">
        <f t="shared" si="14"/>
        <v>350</v>
      </c>
      <c r="N43" s="201">
        <f t="shared" si="23"/>
        <v>350</v>
      </c>
      <c r="O43" s="221">
        <f t="shared" si="24"/>
        <v>2.1558266274236266</v>
      </c>
      <c r="P43" s="177">
        <f t="shared" si="25"/>
        <v>1.183075588220283</v>
      </c>
      <c r="Q43" s="177">
        <f t="shared" si="26"/>
        <v>0.44633852468452728</v>
      </c>
      <c r="R43" s="177">
        <f t="shared" si="27"/>
        <v>0.45</v>
      </c>
    </row>
    <row r="44" spans="3:18" x14ac:dyDescent="0.2">
      <c r="C44" s="174">
        <v>38</v>
      </c>
      <c r="D44" s="5">
        <f t="shared" si="28"/>
        <v>11.66</v>
      </c>
      <c r="E44" s="451">
        <f t="shared" si="15"/>
        <v>16.399999999999999</v>
      </c>
      <c r="F44" s="221">
        <f t="shared" si="16"/>
        <v>0.58446186742694228</v>
      </c>
      <c r="G44" s="176">
        <f t="shared" si="17"/>
        <v>12.57335281539558</v>
      </c>
      <c r="H44" s="221">
        <f t="shared" si="18"/>
        <v>0.81118405260616644</v>
      </c>
      <c r="I44" s="451">
        <f t="shared" si="19"/>
        <v>28.06</v>
      </c>
      <c r="J44" s="176">
        <f t="shared" si="20"/>
        <v>1.35</v>
      </c>
      <c r="K44" s="176">
        <f t="shared" si="21"/>
        <v>1.0420240137221271</v>
      </c>
      <c r="L44" s="176">
        <f t="shared" si="22"/>
        <v>0.74085365853658547</v>
      </c>
      <c r="M44" s="451">
        <f t="shared" si="14"/>
        <v>350</v>
      </c>
      <c r="N44" s="201">
        <f t="shared" si="23"/>
        <v>350</v>
      </c>
      <c r="O44" s="221">
        <f t="shared" si="24"/>
        <v>2.1634366267295704</v>
      </c>
      <c r="P44" s="177">
        <f t="shared" si="25"/>
        <v>1.1872518073515936</v>
      </c>
      <c r="Q44" s="177">
        <f t="shared" si="26"/>
        <v>0.44949520790568054</v>
      </c>
      <c r="R44" s="177">
        <f t="shared" si="27"/>
        <v>0.45</v>
      </c>
    </row>
    <row r="45" spans="3:18" x14ac:dyDescent="0.2">
      <c r="C45" s="174">
        <v>39</v>
      </c>
      <c r="D45" s="5">
        <f t="shared" si="28"/>
        <v>11.73</v>
      </c>
      <c r="E45" s="451">
        <f t="shared" si="15"/>
        <v>16.399999999999999</v>
      </c>
      <c r="F45" s="221">
        <f t="shared" si="16"/>
        <v>0.58300746533949521</v>
      </c>
      <c r="G45" s="176">
        <f t="shared" si="17"/>
        <v>12.617360113757552</v>
      </c>
      <c r="H45" s="221">
        <f t="shared" si="18"/>
        <v>0.81402323314564851</v>
      </c>
      <c r="I45" s="451">
        <f t="shared" si="19"/>
        <v>28.13</v>
      </c>
      <c r="J45" s="176">
        <f t="shared" si="20"/>
        <v>1.35</v>
      </c>
      <c r="K45" s="176">
        <f t="shared" si="21"/>
        <v>1.0358056265984654</v>
      </c>
      <c r="L45" s="176">
        <f t="shared" si="22"/>
        <v>0.74085365853658547</v>
      </c>
      <c r="M45" s="451">
        <f t="shared" si="14"/>
        <v>350</v>
      </c>
      <c r="N45" s="201">
        <f t="shared" si="23"/>
        <v>350</v>
      </c>
      <c r="O45" s="221">
        <f t="shared" si="24"/>
        <v>2.1710087518832628</v>
      </c>
      <c r="P45" s="177">
        <f t="shared" si="25"/>
        <v>1.1914072418871566</v>
      </c>
      <c r="Q45" s="177">
        <f t="shared" si="26"/>
        <v>0.45264722110897038</v>
      </c>
      <c r="R45" s="177">
        <f t="shared" si="27"/>
        <v>0.45</v>
      </c>
    </row>
    <row r="46" spans="3:18" x14ac:dyDescent="0.2">
      <c r="C46" s="174">
        <v>40</v>
      </c>
      <c r="D46" s="5">
        <f t="shared" si="28"/>
        <v>11.8</v>
      </c>
      <c r="E46" s="451">
        <f t="shared" si="15"/>
        <v>16.399999999999999</v>
      </c>
      <c r="F46" s="221">
        <f t="shared" si="16"/>
        <v>0.58156028368794321</v>
      </c>
      <c r="G46" s="176">
        <f t="shared" si="17"/>
        <v>12.661148936170211</v>
      </c>
      <c r="H46" s="221">
        <f t="shared" si="18"/>
        <v>0.8168483184625942</v>
      </c>
      <c r="I46" s="451">
        <f t="shared" si="19"/>
        <v>28.2</v>
      </c>
      <c r="J46" s="176">
        <f t="shared" si="20"/>
        <v>1.35</v>
      </c>
      <c r="K46" s="176">
        <f t="shared" si="21"/>
        <v>1.0296610169491527</v>
      </c>
      <c r="L46" s="176">
        <f t="shared" si="22"/>
        <v>0.74085365853658547</v>
      </c>
      <c r="M46" s="451">
        <f t="shared" si="14"/>
        <v>350</v>
      </c>
      <c r="N46" s="201">
        <f t="shared" si="23"/>
        <v>350</v>
      </c>
      <c r="O46" s="221">
        <f t="shared" si="24"/>
        <v>2.1785432849262638</v>
      </c>
      <c r="P46" s="177">
        <f t="shared" si="25"/>
        <v>1.1955420466058766</v>
      </c>
      <c r="Q46" s="177">
        <f t="shared" si="26"/>
        <v>0.45579451705904106</v>
      </c>
      <c r="R46" s="177">
        <f t="shared" si="27"/>
        <v>0.45</v>
      </c>
    </row>
    <row r="47" spans="3:18" x14ac:dyDescent="0.2">
      <c r="C47" s="174">
        <v>41</v>
      </c>
      <c r="D47" s="5">
        <f t="shared" si="28"/>
        <v>11.87</v>
      </c>
      <c r="E47" s="451">
        <f t="shared" si="15"/>
        <v>16.399999999999999</v>
      </c>
      <c r="F47" s="221">
        <f t="shared" si="16"/>
        <v>0.58012026883622214</v>
      </c>
      <c r="G47" s="176">
        <f t="shared" si="17"/>
        <v>12.704720905553589</v>
      </c>
      <c r="H47" s="221">
        <f t="shared" si="18"/>
        <v>0.81965941326152192</v>
      </c>
      <c r="I47" s="451">
        <f t="shared" si="19"/>
        <v>28.269999999999996</v>
      </c>
      <c r="J47" s="176">
        <f t="shared" si="20"/>
        <v>1.35</v>
      </c>
      <c r="K47" s="176">
        <f t="shared" si="21"/>
        <v>1.0235888795282224</v>
      </c>
      <c r="L47" s="176">
        <f t="shared" si="22"/>
        <v>0.74085365853658547</v>
      </c>
      <c r="M47" s="451">
        <f t="shared" si="14"/>
        <v>350</v>
      </c>
      <c r="N47" s="201">
        <f t="shared" si="23"/>
        <v>350</v>
      </c>
      <c r="O47" s="221">
        <f t="shared" si="24"/>
        <v>2.1860405051066532</v>
      </c>
      <c r="P47" s="177">
        <f t="shared" si="25"/>
        <v>1.1996563747536513</v>
      </c>
      <c r="Q47" s="177">
        <f t="shared" si="26"/>
        <v>0.45893704979865546</v>
      </c>
      <c r="R47" s="177">
        <f t="shared" si="27"/>
        <v>0.45</v>
      </c>
    </row>
    <row r="48" spans="3:18" x14ac:dyDescent="0.2">
      <c r="C48" s="174">
        <v>42</v>
      </c>
      <c r="D48" s="5">
        <f t="shared" si="28"/>
        <v>11.94</v>
      </c>
      <c r="E48" s="451">
        <f t="shared" si="15"/>
        <v>16.399999999999999</v>
      </c>
      <c r="F48" s="221">
        <f t="shared" si="16"/>
        <v>0.5786873676781934</v>
      </c>
      <c r="G48" s="176">
        <f t="shared" si="17"/>
        <v>12.748077628793226</v>
      </c>
      <c r="H48" s="221">
        <f t="shared" si="18"/>
        <v>0.82245662121246621</v>
      </c>
      <c r="I48" s="451">
        <f t="shared" si="19"/>
        <v>28.339999999999996</v>
      </c>
      <c r="J48" s="176">
        <f t="shared" si="20"/>
        <v>1.35</v>
      </c>
      <c r="K48" s="176">
        <f t="shared" si="21"/>
        <v>1.0175879396984926</v>
      </c>
      <c r="L48" s="176">
        <f t="shared" si="22"/>
        <v>0.74085365853658547</v>
      </c>
      <c r="M48" s="451">
        <f t="shared" si="14"/>
        <v>350</v>
      </c>
      <c r="N48" s="201">
        <f t="shared" si="23"/>
        <v>350</v>
      </c>
      <c r="O48" s="221">
        <f t="shared" si="24"/>
        <v>2.1935006889135327</v>
      </c>
      <c r="P48" s="177">
        <f t="shared" si="25"/>
        <v>1.2037503780623047</v>
      </c>
      <c r="Q48" s="177">
        <f t="shared" si="26"/>
        <v>0.4620747746229284</v>
      </c>
      <c r="R48" s="177">
        <f t="shared" si="27"/>
        <v>0.45</v>
      </c>
    </row>
    <row r="49" spans="3:18" x14ac:dyDescent="0.2">
      <c r="C49" s="174">
        <v>43</v>
      </c>
      <c r="D49" s="5">
        <f t="shared" si="28"/>
        <v>12.01</v>
      </c>
      <c r="E49" s="451">
        <f t="shared" si="15"/>
        <v>16.399999999999999</v>
      </c>
      <c r="F49" s="221">
        <f t="shared" si="16"/>
        <v>0.57726152763111582</v>
      </c>
      <c r="G49" s="176">
        <f t="shared" si="17"/>
        <v>12.791220696937696</v>
      </c>
      <c r="H49" s="221">
        <f t="shared" si="18"/>
        <v>0.82524004496372227</v>
      </c>
      <c r="I49" s="451">
        <f t="shared" si="19"/>
        <v>28.409999999999997</v>
      </c>
      <c r="J49" s="176">
        <f t="shared" si="20"/>
        <v>1.35</v>
      </c>
      <c r="K49" s="176">
        <f t="shared" si="21"/>
        <v>1.0116569525395505</v>
      </c>
      <c r="L49" s="176">
        <f t="shared" si="22"/>
        <v>0.74085365853658547</v>
      </c>
      <c r="M49" s="451">
        <f t="shared" si="14"/>
        <v>350</v>
      </c>
      <c r="N49" s="201">
        <f t="shared" si="23"/>
        <v>350</v>
      </c>
      <c r="O49" s="221">
        <f t="shared" si="24"/>
        <v>2.200924110111016</v>
      </c>
      <c r="P49" s="177">
        <f t="shared" si="25"/>
        <v>1.2078242067682408</v>
      </c>
      <c r="Q49" s="177">
        <f t="shared" si="26"/>
        <v>0.46520764805408843</v>
      </c>
      <c r="R49" s="177">
        <f t="shared" si="27"/>
        <v>0.45</v>
      </c>
    </row>
    <row r="50" spans="3:18" x14ac:dyDescent="0.2">
      <c r="C50" s="174">
        <v>44</v>
      </c>
      <c r="D50" s="5">
        <f t="shared" si="28"/>
        <v>12.08</v>
      </c>
      <c r="E50" s="451">
        <f t="shared" si="15"/>
        <v>16.399999999999999</v>
      </c>
      <c r="F50" s="221">
        <f t="shared" si="16"/>
        <v>0.5758426966292135</v>
      </c>
      <c r="G50" s="176">
        <f t="shared" si="17"/>
        <v>12.834151685393257</v>
      </c>
      <c r="H50" s="221">
        <f t="shared" si="18"/>
        <v>0.82800978615440368</v>
      </c>
      <c r="I50" s="451">
        <f t="shared" si="19"/>
        <v>28.479999999999997</v>
      </c>
      <c r="J50" s="176">
        <f t="shared" si="20"/>
        <v>1.35</v>
      </c>
      <c r="K50" s="176">
        <f t="shared" si="21"/>
        <v>1.005794701986755</v>
      </c>
      <c r="L50" s="176">
        <f t="shared" si="22"/>
        <v>0.74085365853658547</v>
      </c>
      <c r="M50" s="451">
        <f t="shared" si="14"/>
        <v>350</v>
      </c>
      <c r="N50" s="201">
        <f t="shared" si="23"/>
        <v>350</v>
      </c>
      <c r="O50" s="221">
        <f t="shared" si="24"/>
        <v>2.2083110397717141</v>
      </c>
      <c r="P50" s="177">
        <f t="shared" si="25"/>
        <v>1.2118780096308188</v>
      </c>
      <c r="Q50" s="177">
        <f t="shared" si="26"/>
        <v>0.46833562781675403</v>
      </c>
      <c r="R50" s="177">
        <f t="shared" si="27"/>
        <v>0.45</v>
      </c>
    </row>
    <row r="51" spans="3:18" x14ac:dyDescent="0.2">
      <c r="C51" s="174">
        <v>45</v>
      </c>
      <c r="D51" s="5">
        <f t="shared" si="28"/>
        <v>12.15</v>
      </c>
      <c r="E51" s="451">
        <f t="shared" si="15"/>
        <v>16.399999999999999</v>
      </c>
      <c r="F51" s="221">
        <f t="shared" si="16"/>
        <v>0.57443082311733806</v>
      </c>
      <c r="G51" s="176">
        <f t="shared" si="17"/>
        <v>12.876872154115588</v>
      </c>
      <c r="H51" s="221">
        <f t="shared" si="18"/>
        <v>0.83076594542681215</v>
      </c>
      <c r="I51" s="451">
        <f t="shared" si="19"/>
        <v>28.549999999999997</v>
      </c>
      <c r="J51" s="176">
        <f t="shared" si="20"/>
        <v>1.35</v>
      </c>
      <c r="K51" s="176">
        <f t="shared" si="21"/>
        <v>1</v>
      </c>
      <c r="L51" s="176">
        <f t="shared" si="22"/>
        <v>0.74085365853658547</v>
      </c>
      <c r="M51" s="451">
        <f t="shared" si="14"/>
        <v>350</v>
      </c>
      <c r="N51" s="201">
        <f t="shared" si="23"/>
        <v>350</v>
      </c>
      <c r="O51" s="221">
        <f t="shared" si="24"/>
        <v>2.2156617463097321</v>
      </c>
      <c r="P51" s="177">
        <f t="shared" si="25"/>
        <v>1.2159119339504629</v>
      </c>
      <c r="Q51" s="177">
        <f t="shared" si="26"/>
        <v>0.47145867281371712</v>
      </c>
      <c r="R51" s="177">
        <f t="shared" si="27"/>
        <v>0.45</v>
      </c>
    </row>
    <row r="52" spans="3:18" x14ac:dyDescent="0.2">
      <c r="C52" s="174">
        <v>46</v>
      </c>
      <c r="D52" s="5">
        <f t="shared" si="28"/>
        <v>12.22</v>
      </c>
      <c r="E52" s="451">
        <f t="shared" si="15"/>
        <v>16.399999999999999</v>
      </c>
      <c r="F52" s="221">
        <f t="shared" si="16"/>
        <v>0.573025856044724</v>
      </c>
      <c r="G52" s="176">
        <f t="shared" si="17"/>
        <v>12.919383647798742</v>
      </c>
      <c r="H52" s="221">
        <f t="shared" si="18"/>
        <v>0.83350862243862855</v>
      </c>
      <c r="I52" s="451">
        <f t="shared" si="19"/>
        <v>28.619999999999997</v>
      </c>
      <c r="J52" s="176">
        <f t="shared" si="20"/>
        <v>1.35</v>
      </c>
      <c r="K52" s="176">
        <f t="shared" si="21"/>
        <v>0.99427168576104752</v>
      </c>
      <c r="L52" s="176">
        <f t="shared" si="22"/>
        <v>0.74085365853658547</v>
      </c>
      <c r="M52" s="451">
        <f t="shared" si="14"/>
        <v>350</v>
      </c>
      <c r="N52" s="201">
        <f t="shared" si="23"/>
        <v>350</v>
      </c>
      <c r="O52" s="221">
        <f t="shared" si="24"/>
        <v>2.2229764955131834</v>
      </c>
      <c r="P52" s="177">
        <f t="shared" si="25"/>
        <v>1.2199261255865033</v>
      </c>
      <c r="Q52" s="177">
        <f t="shared" si="26"/>
        <v>0.47457674310222064</v>
      </c>
      <c r="R52" s="177">
        <f t="shared" si="27"/>
        <v>0.45</v>
      </c>
    </row>
    <row r="53" spans="3:18" x14ac:dyDescent="0.2">
      <c r="C53" s="174">
        <v>47</v>
      </c>
      <c r="D53" s="5">
        <f t="shared" si="28"/>
        <v>12.29</v>
      </c>
      <c r="E53" s="451">
        <f t="shared" si="15"/>
        <v>16.399999999999999</v>
      </c>
      <c r="F53" s="221">
        <f t="shared" si="16"/>
        <v>0.57162774485883583</v>
      </c>
      <c r="G53" s="176">
        <f t="shared" si="17"/>
        <v>12.961687696061343</v>
      </c>
      <c r="H53" s="221">
        <f t="shared" si="18"/>
        <v>0.83623791587492535</v>
      </c>
      <c r="I53" s="451">
        <f t="shared" si="19"/>
        <v>28.689999999999998</v>
      </c>
      <c r="J53" s="176">
        <f t="shared" si="20"/>
        <v>1.35</v>
      </c>
      <c r="K53" s="176">
        <f t="shared" si="21"/>
        <v>0.98860862489829149</v>
      </c>
      <c r="L53" s="176">
        <f t="shared" si="22"/>
        <v>0.74085365853658547</v>
      </c>
      <c r="M53" s="451">
        <f t="shared" si="14"/>
        <v>350</v>
      </c>
      <c r="N53" s="201">
        <f t="shared" si="23"/>
        <v>350</v>
      </c>
      <c r="O53" s="221">
        <f t="shared" si="24"/>
        <v>2.2302555505762198</v>
      </c>
      <c r="P53" s="177">
        <f t="shared" si="25"/>
        <v>1.2239207289747547</v>
      </c>
      <c r="Q53" s="177">
        <f t="shared" si="26"/>
        <v>0.47768979987071697</v>
      </c>
      <c r="R53" s="177">
        <f t="shared" si="27"/>
        <v>0.45</v>
      </c>
    </row>
    <row r="54" spans="3:18" x14ac:dyDescent="0.2">
      <c r="C54" s="174">
        <v>48</v>
      </c>
      <c r="D54" s="5">
        <f t="shared" si="28"/>
        <v>12.36</v>
      </c>
      <c r="E54" s="451">
        <f t="shared" si="15"/>
        <v>16.399999999999999</v>
      </c>
      <c r="F54" s="221">
        <f t="shared" si="16"/>
        <v>0.57023643949930458</v>
      </c>
      <c r="G54" s="176">
        <f t="shared" si="17"/>
        <v>13.003785813630039</v>
      </c>
      <c r="H54" s="221">
        <f t="shared" si="18"/>
        <v>0.83895392346000253</v>
      </c>
      <c r="I54" s="451">
        <f t="shared" si="19"/>
        <v>28.759999999999998</v>
      </c>
      <c r="J54" s="176">
        <f t="shared" si="20"/>
        <v>1.35</v>
      </c>
      <c r="K54" s="176">
        <f t="shared" si="21"/>
        <v>0.9830097087378642</v>
      </c>
      <c r="L54" s="176">
        <f t="shared" si="22"/>
        <v>0.74085365853658547</v>
      </c>
      <c r="M54" s="451">
        <f t="shared" si="14"/>
        <v>350</v>
      </c>
      <c r="N54" s="201">
        <f t="shared" si="23"/>
        <v>350</v>
      </c>
      <c r="O54" s="221">
        <f t="shared" si="24"/>
        <v>2.2374991721306046</v>
      </c>
      <c r="P54" s="177">
        <f t="shared" si="25"/>
        <v>1.227895887144844</v>
      </c>
      <c r="Q54" s="177">
        <f t="shared" si="26"/>
        <v>0.48079780541610345</v>
      </c>
      <c r="R54" s="177">
        <f t="shared" si="27"/>
        <v>0.45</v>
      </c>
    </row>
    <row r="55" spans="3:18" x14ac:dyDescent="0.2">
      <c r="C55" s="174">
        <v>49</v>
      </c>
      <c r="D55" s="5">
        <f t="shared" si="28"/>
        <v>12.43</v>
      </c>
      <c r="E55" s="451">
        <f t="shared" si="15"/>
        <v>16.399999999999999</v>
      </c>
      <c r="F55" s="221">
        <f t="shared" si="16"/>
        <v>0.56885189039195283</v>
      </c>
      <c r="G55" s="176">
        <f t="shared" si="17"/>
        <v>13.04567950052029</v>
      </c>
      <c r="H55" s="221">
        <f t="shared" si="18"/>
        <v>0.84165674196905094</v>
      </c>
      <c r="I55" s="451">
        <f t="shared" si="19"/>
        <v>28.83</v>
      </c>
      <c r="J55" s="176">
        <f t="shared" si="20"/>
        <v>1.35</v>
      </c>
      <c r="K55" s="176">
        <f t="shared" si="21"/>
        <v>0.97747385358004824</v>
      </c>
      <c r="L55" s="176">
        <f t="shared" si="22"/>
        <v>0.74085365853658547</v>
      </c>
      <c r="M55" s="451">
        <f t="shared" si="14"/>
        <v>350</v>
      </c>
      <c r="N55" s="201">
        <f t="shared" si="23"/>
        <v>350</v>
      </c>
      <c r="O55" s="221">
        <f t="shared" si="24"/>
        <v>2.2447076182768169</v>
      </c>
      <c r="P55" s="177">
        <f t="shared" si="25"/>
        <v>1.2318517417372778</v>
      </c>
      <c r="Q55" s="177">
        <f t="shared" si="26"/>
        <v>0.48390072312141585</v>
      </c>
      <c r="R55" s="177">
        <f t="shared" si="27"/>
        <v>0.45</v>
      </c>
    </row>
    <row r="56" spans="3:18" x14ac:dyDescent="0.2">
      <c r="C56" s="174">
        <v>50</v>
      </c>
      <c r="D56" s="5">
        <f t="shared" si="28"/>
        <v>12.5</v>
      </c>
      <c r="E56" s="451">
        <f t="shared" si="15"/>
        <v>16.399999999999999</v>
      </c>
      <c r="F56" s="221">
        <f t="shared" si="16"/>
        <v>0.5674740484429065</v>
      </c>
      <c r="G56" s="176">
        <f t="shared" si="17"/>
        <v>13.087370242214529</v>
      </c>
      <c r="H56" s="221">
        <f t="shared" si="18"/>
        <v>0.84434646723964701</v>
      </c>
      <c r="I56" s="451">
        <f t="shared" si="19"/>
        <v>28.9</v>
      </c>
      <c r="J56" s="176">
        <f t="shared" si="20"/>
        <v>1.35</v>
      </c>
      <c r="K56" s="176">
        <f t="shared" si="21"/>
        <v>0.97199999999999998</v>
      </c>
      <c r="L56" s="176">
        <f t="shared" si="22"/>
        <v>0.74085365853658547</v>
      </c>
      <c r="M56" s="451">
        <f t="shared" si="14"/>
        <v>350</v>
      </c>
      <c r="N56" s="201">
        <f t="shared" si="23"/>
        <v>350</v>
      </c>
      <c r="O56" s="221">
        <f t="shared" si="24"/>
        <v>2.2518811446147087</v>
      </c>
      <c r="P56" s="177">
        <f t="shared" si="25"/>
        <v>1.2357884330202671</v>
      </c>
      <c r="Q56" s="177">
        <f t="shared" si="26"/>
        <v>0.48699851743397687</v>
      </c>
      <c r="R56" s="177">
        <f t="shared" si="27"/>
        <v>0.45</v>
      </c>
    </row>
    <row r="57" spans="3:18" x14ac:dyDescent="0.2">
      <c r="C57" s="174">
        <v>51</v>
      </c>
      <c r="D57" s="5">
        <f t="shared" si="28"/>
        <v>12.57</v>
      </c>
      <c r="E57" s="451">
        <f t="shared" si="15"/>
        <v>16.399999999999999</v>
      </c>
      <c r="F57" s="221">
        <f t="shared" si="16"/>
        <v>0.5661028650327925</v>
      </c>
      <c r="G57" s="176">
        <f t="shared" si="17"/>
        <v>13.128859509837762</v>
      </c>
      <c r="H57" s="221">
        <f t="shared" si="18"/>
        <v>0.84702319418308136</v>
      </c>
      <c r="I57" s="451">
        <f t="shared" si="19"/>
        <v>28.97</v>
      </c>
      <c r="J57" s="176">
        <f t="shared" si="20"/>
        <v>1.35</v>
      </c>
      <c r="K57" s="176">
        <f t="shared" si="21"/>
        <v>0.96658711217183779</v>
      </c>
      <c r="L57" s="176">
        <f t="shared" si="22"/>
        <v>0.74085365853658547</v>
      </c>
      <c r="M57" s="451">
        <f t="shared" si="14"/>
        <v>350</v>
      </c>
      <c r="N57" s="201">
        <f t="shared" si="23"/>
        <v>350</v>
      </c>
      <c r="O57" s="221">
        <f t="shared" si="24"/>
        <v>2.2590200042737147</v>
      </c>
      <c r="P57" s="177">
        <f t="shared" si="25"/>
        <v>1.239706099906307</v>
      </c>
      <c r="Q57" s="177">
        <f t="shared" si="26"/>
        <v>0.49009115384398677</v>
      </c>
      <c r="R57" s="177">
        <f t="shared" si="27"/>
        <v>0.45</v>
      </c>
    </row>
    <row r="58" spans="3:18" x14ac:dyDescent="0.2">
      <c r="C58" s="174">
        <v>52</v>
      </c>
      <c r="D58" s="5">
        <f t="shared" si="28"/>
        <v>12.64</v>
      </c>
      <c r="E58" s="451">
        <f t="shared" si="15"/>
        <v>16.399999999999999</v>
      </c>
      <c r="F58" s="221">
        <f t="shared" si="16"/>
        <v>0.56473829201101922</v>
      </c>
      <c r="G58" s="176">
        <f t="shared" si="17"/>
        <v>13.170148760330576</v>
      </c>
      <c r="H58" s="221">
        <f t="shared" si="18"/>
        <v>0.84968701679552106</v>
      </c>
      <c r="I58" s="451">
        <f t="shared" si="19"/>
        <v>29.04</v>
      </c>
      <c r="J58" s="176">
        <f t="shared" si="20"/>
        <v>1.35</v>
      </c>
      <c r="K58" s="176">
        <f t="shared" si="21"/>
        <v>0.96123417721518978</v>
      </c>
      <c r="L58" s="176">
        <f t="shared" si="22"/>
        <v>0.74085365853658547</v>
      </c>
      <c r="M58" s="451">
        <f t="shared" si="14"/>
        <v>350</v>
      </c>
      <c r="N58" s="201">
        <f t="shared" si="23"/>
        <v>350</v>
      </c>
      <c r="O58" s="221">
        <f t="shared" si="24"/>
        <v>2.2661244479426297</v>
      </c>
      <c r="P58" s="177">
        <f t="shared" si="25"/>
        <v>1.2436048799685164</v>
      </c>
      <c r="Q58" s="177">
        <f t="shared" si="26"/>
        <v>0.49317859886354759</v>
      </c>
      <c r="R58" s="177">
        <f t="shared" si="27"/>
        <v>0.45</v>
      </c>
    </row>
    <row r="59" spans="3:18" x14ac:dyDescent="0.2">
      <c r="C59" s="174">
        <v>53</v>
      </c>
      <c r="D59" s="5">
        <f t="shared" si="28"/>
        <v>12.71</v>
      </c>
      <c r="E59" s="451">
        <f t="shared" si="15"/>
        <v>16.399999999999999</v>
      </c>
      <c r="F59" s="221">
        <f t="shared" si="16"/>
        <v>0.56338028169014076</v>
      </c>
      <c r="G59" s="176">
        <f t="shared" si="17"/>
        <v>13.211239436619717</v>
      </c>
      <c r="H59" s="221">
        <f t="shared" si="18"/>
        <v>0.85233802816901405</v>
      </c>
      <c r="I59" s="451">
        <f t="shared" si="19"/>
        <v>29.11</v>
      </c>
      <c r="J59" s="176">
        <f t="shared" si="20"/>
        <v>1.35</v>
      </c>
      <c r="K59" s="176">
        <f t="shared" si="21"/>
        <v>0.95594020456333595</v>
      </c>
      <c r="L59" s="176">
        <f t="shared" si="22"/>
        <v>0.74085365853658547</v>
      </c>
      <c r="M59" s="451">
        <f t="shared" si="14"/>
        <v>350</v>
      </c>
      <c r="N59" s="201">
        <f t="shared" si="23"/>
        <v>350</v>
      </c>
      <c r="O59" s="221">
        <f t="shared" si="24"/>
        <v>2.2731947238989494</v>
      </c>
      <c r="P59" s="177">
        <f t="shared" si="25"/>
        <v>1.2474849094567406</v>
      </c>
      <c r="Q59" s="177">
        <f t="shared" si="26"/>
        <v>0.49626082000610877</v>
      </c>
      <c r="R59" s="177">
        <f t="shared" si="27"/>
        <v>0.45</v>
      </c>
    </row>
    <row r="60" spans="3:18" x14ac:dyDescent="0.2">
      <c r="C60" s="174">
        <v>54</v>
      </c>
      <c r="D60" s="5">
        <f t="shared" si="28"/>
        <v>12.780000000000001</v>
      </c>
      <c r="E60" s="451">
        <f t="shared" si="15"/>
        <v>16.399999999999999</v>
      </c>
      <c r="F60" s="221">
        <f t="shared" si="16"/>
        <v>0.56202878684030155</v>
      </c>
      <c r="G60" s="176">
        <f t="shared" si="17"/>
        <v>13.252132967786155</v>
      </c>
      <c r="H60" s="221">
        <f t="shared" si="18"/>
        <v>0.85497632050233252</v>
      </c>
      <c r="I60" s="451">
        <f t="shared" si="19"/>
        <v>29.18</v>
      </c>
      <c r="J60" s="176">
        <f t="shared" si="20"/>
        <v>1.35</v>
      </c>
      <c r="K60" s="176">
        <f t="shared" si="21"/>
        <v>0.95070422535211263</v>
      </c>
      <c r="L60" s="176">
        <f t="shared" si="22"/>
        <v>0.74085365853658547</v>
      </c>
      <c r="M60" s="451">
        <f t="shared" si="14"/>
        <v>350</v>
      </c>
      <c r="N60" s="201">
        <f t="shared" si="23"/>
        <v>350</v>
      </c>
      <c r="O60" s="221">
        <f t="shared" si="24"/>
        <v>2.280231078037795</v>
      </c>
      <c r="P60" s="177">
        <f t="shared" si="25"/>
        <v>1.2513463233134243</v>
      </c>
      <c r="Q60" s="177">
        <f t="shared" si="26"/>
        <v>0.49933778576633014</v>
      </c>
      <c r="R60" s="177">
        <f t="shared" si="27"/>
        <v>0.45</v>
      </c>
    </row>
    <row r="61" spans="3:18" x14ac:dyDescent="0.2">
      <c r="C61" s="174">
        <v>55</v>
      </c>
      <c r="D61" s="5">
        <f t="shared" si="28"/>
        <v>12.850000000000001</v>
      </c>
      <c r="E61" s="451">
        <f t="shared" si="15"/>
        <v>16.399999999999999</v>
      </c>
      <c r="F61" s="221">
        <f t="shared" si="16"/>
        <v>0.56068376068376069</v>
      </c>
      <c r="G61" s="176">
        <f t="shared" si="17"/>
        <v>13.29283076923077</v>
      </c>
      <c r="H61" s="221">
        <f t="shared" si="18"/>
        <v>0.85760198511166263</v>
      </c>
      <c r="I61" s="451">
        <f t="shared" si="19"/>
        <v>29.25</v>
      </c>
      <c r="J61" s="176">
        <f t="shared" si="20"/>
        <v>1.35</v>
      </c>
      <c r="K61" s="176">
        <f t="shared" si="21"/>
        <v>0.94552529182879375</v>
      </c>
      <c r="L61" s="176">
        <f t="shared" si="22"/>
        <v>0.74085365853658547</v>
      </c>
      <c r="M61" s="451">
        <f t="shared" si="14"/>
        <v>350</v>
      </c>
      <c r="N61" s="201">
        <f t="shared" si="23"/>
        <v>350</v>
      </c>
      <c r="O61" s="221">
        <f t="shared" si="24"/>
        <v>2.2872337539004208</v>
      </c>
      <c r="P61" s="177">
        <f t="shared" si="25"/>
        <v>1.2551892551892554</v>
      </c>
      <c r="Q61" s="177">
        <f t="shared" si="26"/>
        <v>0.50240946560034894</v>
      </c>
      <c r="R61" s="177">
        <f t="shared" si="27"/>
        <v>0.45</v>
      </c>
    </row>
    <row r="62" spans="3:18" x14ac:dyDescent="0.2">
      <c r="C62" s="174">
        <v>56</v>
      </c>
      <c r="D62" s="5">
        <f t="shared" si="28"/>
        <v>12.92</v>
      </c>
      <c r="E62" s="451">
        <f t="shared" si="15"/>
        <v>16.399999999999999</v>
      </c>
      <c r="F62" s="221">
        <f t="shared" si="16"/>
        <v>0.55934515688949515</v>
      </c>
      <c r="G62" s="176">
        <f t="shared" si="17"/>
        <v>13.333334242837651</v>
      </c>
      <c r="H62" s="221">
        <f t="shared" si="18"/>
        <v>0.8602151124411388</v>
      </c>
      <c r="I62" s="451">
        <f t="shared" si="19"/>
        <v>29.32</v>
      </c>
      <c r="J62" s="176">
        <f t="shared" si="20"/>
        <v>1.35</v>
      </c>
      <c r="K62" s="176">
        <f t="shared" si="21"/>
        <v>0.94040247678018585</v>
      </c>
      <c r="L62" s="176">
        <f t="shared" si="22"/>
        <v>0.74085365853658547</v>
      </c>
      <c r="M62" s="451">
        <f t="shared" si="14"/>
        <v>350</v>
      </c>
      <c r="N62" s="201">
        <f t="shared" si="23"/>
        <v>350</v>
      </c>
      <c r="O62" s="221">
        <f t="shared" si="24"/>
        <v>2.2942029927023104</v>
      </c>
      <c r="P62" s="177">
        <f t="shared" si="25"/>
        <v>1.2590138374585851</v>
      </c>
      <c r="Q62" s="177">
        <f t="shared" si="26"/>
        <v>0.50547582990644357</v>
      </c>
      <c r="R62" s="177">
        <f t="shared" si="27"/>
        <v>0.45</v>
      </c>
    </row>
    <row r="63" spans="3:18" x14ac:dyDescent="0.2">
      <c r="C63" s="174">
        <v>57</v>
      </c>
      <c r="D63" s="5">
        <f t="shared" si="28"/>
        <v>12.99</v>
      </c>
      <c r="E63" s="451">
        <f t="shared" si="15"/>
        <v>16.399999999999999</v>
      </c>
      <c r="F63" s="221">
        <f t="shared" si="16"/>
        <v>0.55801292956788018</v>
      </c>
      <c r="G63" s="176">
        <f t="shared" si="17"/>
        <v>13.373644777135079</v>
      </c>
      <c r="H63" s="221">
        <f t="shared" si="18"/>
        <v>0.86281579207323089</v>
      </c>
      <c r="I63" s="451">
        <f t="shared" si="19"/>
        <v>29.39</v>
      </c>
      <c r="J63" s="176">
        <f t="shared" si="20"/>
        <v>1.35</v>
      </c>
      <c r="K63" s="176">
        <f t="shared" si="21"/>
        <v>0.9353348729792148</v>
      </c>
      <c r="L63" s="176">
        <f t="shared" si="22"/>
        <v>0.74085365853658547</v>
      </c>
      <c r="M63" s="451">
        <f t="shared" si="14"/>
        <v>350</v>
      </c>
      <c r="N63" s="201">
        <f t="shared" si="23"/>
        <v>350</v>
      </c>
      <c r="O63" s="221">
        <f t="shared" si="24"/>
        <v>2.3011390333608772</v>
      </c>
      <c r="P63" s="177">
        <f t="shared" si="25"/>
        <v>1.2628202012346279</v>
      </c>
      <c r="Q63" s="177">
        <f t="shared" si="26"/>
        <v>0.50853685000608706</v>
      </c>
      <c r="R63" s="177">
        <f t="shared" si="27"/>
        <v>0.45</v>
      </c>
    </row>
    <row r="64" spans="3:18" x14ac:dyDescent="0.2">
      <c r="C64" s="174">
        <v>58</v>
      </c>
      <c r="D64" s="5">
        <f t="shared" si="28"/>
        <v>13.059999999999999</v>
      </c>
      <c r="E64" s="451">
        <f t="shared" si="15"/>
        <v>16.399999999999999</v>
      </c>
      <c r="F64" s="221">
        <f t="shared" si="16"/>
        <v>0.55668703326544466</v>
      </c>
      <c r="G64" s="176">
        <f t="shared" si="17"/>
        <v>13.413763747454173</v>
      </c>
      <c r="H64" s="221">
        <f t="shared" si="18"/>
        <v>0.86540411273897888</v>
      </c>
      <c r="I64" s="451">
        <f t="shared" si="19"/>
        <v>29.459999999999997</v>
      </c>
      <c r="J64" s="176">
        <f t="shared" si="20"/>
        <v>1.35</v>
      </c>
      <c r="K64" s="176">
        <f t="shared" si="21"/>
        <v>0.93032159264931102</v>
      </c>
      <c r="L64" s="176">
        <f t="shared" si="22"/>
        <v>0.74085365853658547</v>
      </c>
      <c r="M64" s="451">
        <f t="shared" si="14"/>
        <v>350</v>
      </c>
      <c r="N64" s="201">
        <f t="shared" si="23"/>
        <v>350</v>
      </c>
      <c r="O64" s="221">
        <f t="shared" si="24"/>
        <v>2.3080421125227639</v>
      </c>
      <c r="P64" s="177">
        <f t="shared" si="25"/>
        <v>1.2666084763844436</v>
      </c>
      <c r="Q64" s="177">
        <f t="shared" si="26"/>
        <v>0.51159249812537833</v>
      </c>
      <c r="R64" s="177">
        <f t="shared" si="27"/>
        <v>0.45</v>
      </c>
    </row>
    <row r="65" spans="3:18" x14ac:dyDescent="0.2">
      <c r="C65" s="174">
        <v>59</v>
      </c>
      <c r="D65" s="5">
        <f t="shared" si="28"/>
        <v>13.129999999999999</v>
      </c>
      <c r="E65" s="451">
        <f t="shared" si="15"/>
        <v>16.399999999999999</v>
      </c>
      <c r="F65" s="221">
        <f t="shared" si="16"/>
        <v>0.55536742295970198</v>
      </c>
      <c r="G65" s="176">
        <f t="shared" si="17"/>
        <v>13.453692516085335</v>
      </c>
      <c r="H65" s="221">
        <f t="shared" si="18"/>
        <v>0.86798016232808606</v>
      </c>
      <c r="I65" s="451">
        <f t="shared" si="19"/>
        <v>29.529999999999998</v>
      </c>
      <c r="J65" s="176">
        <f t="shared" si="20"/>
        <v>1.35</v>
      </c>
      <c r="K65" s="176">
        <f t="shared" si="21"/>
        <v>0.92536176694592553</v>
      </c>
      <c r="L65" s="176">
        <f t="shared" si="22"/>
        <v>0.74085365853658547</v>
      </c>
      <c r="M65" s="451">
        <f t="shared" si="14"/>
        <v>350</v>
      </c>
      <c r="N65" s="201">
        <f t="shared" si="23"/>
        <v>350</v>
      </c>
      <c r="O65" s="221">
        <f t="shared" si="24"/>
        <v>2.3149124645907579</v>
      </c>
      <c r="P65" s="177">
        <f t="shared" si="25"/>
        <v>1.2703787915437088</v>
      </c>
      <c r="Q65" s="177">
        <f t="shared" si="26"/>
        <v>0.51464274737684823</v>
      </c>
      <c r="R65" s="177">
        <f t="shared" si="27"/>
        <v>0.45</v>
      </c>
    </row>
    <row r="66" spans="3:18" x14ac:dyDescent="0.2">
      <c r="C66" s="174">
        <v>60</v>
      </c>
      <c r="D66" s="5">
        <f t="shared" si="28"/>
        <v>13.2</v>
      </c>
      <c r="E66" s="451">
        <f t="shared" si="15"/>
        <v>16.399999999999999</v>
      </c>
      <c r="F66" s="221">
        <f t="shared" si="16"/>
        <v>0.55405405405405406</v>
      </c>
      <c r="G66" s="176">
        <f t="shared" si="17"/>
        <v>13.493432432432432</v>
      </c>
      <c r="H66" s="221">
        <f t="shared" si="18"/>
        <v>0.87054402789886653</v>
      </c>
      <c r="I66" s="451">
        <f t="shared" si="19"/>
        <v>29.599999999999998</v>
      </c>
      <c r="J66" s="176">
        <f t="shared" si="20"/>
        <v>1.35</v>
      </c>
      <c r="K66" s="176">
        <f t="shared" si="21"/>
        <v>0.92045454545454553</v>
      </c>
      <c r="L66" s="176">
        <f t="shared" si="22"/>
        <v>0.74085365853658547</v>
      </c>
      <c r="M66" s="451">
        <f t="shared" si="14"/>
        <v>350</v>
      </c>
      <c r="N66" s="201">
        <f t="shared" si="23"/>
        <v>350</v>
      </c>
      <c r="O66" s="221">
        <f t="shared" si="24"/>
        <v>2.3217503217503217</v>
      </c>
      <c r="P66" s="177">
        <f t="shared" si="25"/>
        <v>1.2741312741312742</v>
      </c>
      <c r="Q66" s="177">
        <f t="shared" si="26"/>
        <v>0.51768757174162583</v>
      </c>
      <c r="R66" s="177">
        <f t="shared" si="27"/>
        <v>0.45</v>
      </c>
    </row>
    <row r="67" spans="3:18" x14ac:dyDescent="0.2">
      <c r="C67" s="174">
        <v>61</v>
      </c>
      <c r="D67" s="5">
        <f t="shared" si="28"/>
        <v>13.27</v>
      </c>
      <c r="E67" s="451">
        <f t="shared" si="15"/>
        <v>16.399999999999999</v>
      </c>
      <c r="F67" s="221">
        <f t="shared" si="16"/>
        <v>0.55274688237276715</v>
      </c>
      <c r="G67" s="176">
        <f t="shared" si="17"/>
        <v>13.532984833164813</v>
      </c>
      <c r="H67" s="221">
        <f t="shared" si="18"/>
        <v>0.8730957956880524</v>
      </c>
      <c r="I67" s="451">
        <f t="shared" si="19"/>
        <v>29.669999999999998</v>
      </c>
      <c r="J67" s="176">
        <f t="shared" si="20"/>
        <v>1.35</v>
      </c>
      <c r="K67" s="176">
        <f t="shared" si="21"/>
        <v>0.91559909570459697</v>
      </c>
      <c r="L67" s="176">
        <f t="shared" si="22"/>
        <v>0.74085365853658547</v>
      </c>
      <c r="M67" s="451">
        <f t="shared" si="14"/>
        <v>350</v>
      </c>
      <c r="N67" s="201">
        <f t="shared" si="23"/>
        <v>350</v>
      </c>
      <c r="O67" s="221">
        <f t="shared" si="24"/>
        <v>2.3285559139957521</v>
      </c>
      <c r="P67" s="177">
        <f t="shared" si="25"/>
        <v>1.2778660503635229</v>
      </c>
      <c r="Q67" s="177">
        <f t="shared" si="26"/>
        <v>0.52072694605196557</v>
      </c>
      <c r="R67" s="177">
        <f t="shared" si="27"/>
        <v>0.45</v>
      </c>
    </row>
    <row r="68" spans="3:18" x14ac:dyDescent="0.2">
      <c r="C68" s="174">
        <v>62</v>
      </c>
      <c r="D68" s="5">
        <f t="shared" si="28"/>
        <v>13.34</v>
      </c>
      <c r="E68" s="451">
        <f t="shared" si="15"/>
        <v>16.399999999999999</v>
      </c>
      <c r="F68" s="221">
        <f t="shared" si="16"/>
        <v>0.55144586415601882</v>
      </c>
      <c r="G68" s="176">
        <f t="shared" si="17"/>
        <v>13.572351042367179</v>
      </c>
      <c r="H68" s="221">
        <f t="shared" si="18"/>
        <v>0.87563555112046321</v>
      </c>
      <c r="I68" s="451">
        <f t="shared" si="19"/>
        <v>29.74</v>
      </c>
      <c r="J68" s="176">
        <f t="shared" si="20"/>
        <v>1.35</v>
      </c>
      <c r="K68" s="176">
        <f t="shared" si="21"/>
        <v>0.91079460269865076</v>
      </c>
      <c r="L68" s="176">
        <f t="shared" si="22"/>
        <v>0.74085365853658547</v>
      </c>
      <c r="M68" s="451">
        <f t="shared" si="14"/>
        <v>350</v>
      </c>
      <c r="N68" s="201">
        <f t="shared" si="23"/>
        <v>350</v>
      </c>
      <c r="O68" s="221">
        <f t="shared" si="24"/>
        <v>2.3353294691559654</v>
      </c>
      <c r="P68" s="177">
        <f t="shared" si="25"/>
        <v>1.2815832452685176</v>
      </c>
      <c r="Q68" s="177">
        <f t="shared" si="26"/>
        <v>0.52376084597411865</v>
      </c>
      <c r="R68" s="177">
        <f t="shared" si="27"/>
        <v>0.45</v>
      </c>
    </row>
    <row r="69" spans="3:18" x14ac:dyDescent="0.2">
      <c r="C69" s="174">
        <v>63</v>
      </c>
      <c r="D69" s="5">
        <f t="shared" si="28"/>
        <v>13.41</v>
      </c>
      <c r="E69" s="451">
        <f t="shared" si="15"/>
        <v>16.399999999999999</v>
      </c>
      <c r="F69" s="221">
        <f t="shared" si="16"/>
        <v>0.55015095605501507</v>
      </c>
      <c r="G69" s="176">
        <f t="shared" si="17"/>
        <v>13.611532371687352</v>
      </c>
      <c r="H69" s="221">
        <f t="shared" si="18"/>
        <v>0.87816337881853879</v>
      </c>
      <c r="I69" s="451">
        <f t="shared" si="19"/>
        <v>29.81</v>
      </c>
      <c r="J69" s="176">
        <f t="shared" si="20"/>
        <v>1.35</v>
      </c>
      <c r="K69" s="176">
        <f t="shared" si="21"/>
        <v>0.90604026845637586</v>
      </c>
      <c r="L69" s="176">
        <f t="shared" si="22"/>
        <v>0.74085365853658547</v>
      </c>
      <c r="M69" s="451">
        <f t="shared" si="14"/>
        <v>350</v>
      </c>
      <c r="N69" s="201">
        <f t="shared" si="23"/>
        <v>350</v>
      </c>
      <c r="O69" s="221">
        <f t="shared" si="24"/>
        <v>2.3420712129199215</v>
      </c>
      <c r="P69" s="177">
        <f t="shared" si="25"/>
        <v>1.285282982699957</v>
      </c>
      <c r="Q69" s="177">
        <f t="shared" si="26"/>
        <v>0.52678924799154891</v>
      </c>
      <c r="R69" s="177">
        <f t="shared" si="27"/>
        <v>0.45</v>
      </c>
    </row>
    <row r="70" spans="3:18" x14ac:dyDescent="0.2">
      <c r="C70" s="174">
        <v>64</v>
      </c>
      <c r="D70" s="5">
        <f t="shared" si="28"/>
        <v>13.48</v>
      </c>
      <c r="E70" s="451">
        <f t="shared" ref="E70:E106" si="29">(Vout+Vfwd1)*Nps</f>
        <v>16.399999999999999</v>
      </c>
      <c r="F70" s="221">
        <f t="shared" ref="F70:F106" si="30">(Vout+Vfwd1)*Nps/((Vout+Vfwd1)*Nps+D70)</f>
        <v>0.54886211512717531</v>
      </c>
      <c r="G70" s="176">
        <f t="shared" ref="G70:G101" si="31">F70*D70*Isw_max*0.5*Efficiency</f>
        <v>13.650530120481926</v>
      </c>
      <c r="H70" s="221">
        <f t="shared" ref="H70:H101" si="32">G70/Vout</f>
        <v>0.88067936261173718</v>
      </c>
      <c r="I70" s="451">
        <f t="shared" ref="I70:I106" si="33">(Vout+Vfwd1)*Nps+D70</f>
        <v>29.88</v>
      </c>
      <c r="J70" s="176">
        <f t="shared" ref="J70:J106" si="34">MIN(2*Vout*Iout/(Efficiency*D70*F70), 1.35)</f>
        <v>1.35</v>
      </c>
      <c r="K70" s="176">
        <f t="shared" ref="K70:K101" si="35">L*J70/D70*1000000</f>
        <v>0.9013353115727003</v>
      </c>
      <c r="L70" s="176">
        <f t="shared" ref="L70:L106" si="36">L*J70/((Vout+Vfwd1)*Nps)*1000000</f>
        <v>0.74085365853658547</v>
      </c>
      <c r="M70" s="451">
        <f t="shared" si="14"/>
        <v>350</v>
      </c>
      <c r="N70" s="201">
        <f t="shared" ref="N70:N106" si="37">IF(1/((350000*L)*(1/D70+1/E70))&gt;Isw_min, 350, 0.001/((Isw_min*L)*(1/D70+1/E70)))</f>
        <v>350</v>
      </c>
      <c r="O70" s="221">
        <f t="shared" ref="O70:O101" si="38">1/((N70*1000*L)*(1/D70+1/E70))</f>
        <v>2.3487813688616903</v>
      </c>
      <c r="P70" s="177">
        <f t="shared" ref="P70:P101" si="39">L*O70/E70*1000000</f>
        <v>1.2889653853509278</v>
      </c>
      <c r="Q70" s="177">
        <f t="shared" ref="Q70:Q101" si="40">0.5*P70*O70*Nps*N70/1000</f>
        <v>0.52981212938848044</v>
      </c>
      <c r="R70" s="177">
        <f t="shared" ref="R70:R106" si="41">L*Isw_min/E70*1000000</f>
        <v>0.45</v>
      </c>
    </row>
    <row r="71" spans="3:18" x14ac:dyDescent="0.2">
      <c r="C71" s="174">
        <v>65</v>
      </c>
      <c r="D71" s="5">
        <f t="shared" ref="D71:D102" si="42">C71/100*(VIN_max-VIN_min)+VIN_min</f>
        <v>13.55</v>
      </c>
      <c r="E71" s="451">
        <f t="shared" si="29"/>
        <v>16.399999999999999</v>
      </c>
      <c r="F71" s="221">
        <f t="shared" si="30"/>
        <v>0.54757929883138556</v>
      </c>
      <c r="G71" s="176">
        <f t="shared" si="31"/>
        <v>13.68934557595993</v>
      </c>
      <c r="H71" s="221">
        <f t="shared" si="32"/>
        <v>0.8831835855458019</v>
      </c>
      <c r="I71" s="451">
        <f t="shared" si="33"/>
        <v>29.95</v>
      </c>
      <c r="J71" s="176">
        <f t="shared" si="34"/>
        <v>1.35</v>
      </c>
      <c r="K71" s="176">
        <f t="shared" si="35"/>
        <v>0.89667896678966796</v>
      </c>
      <c r="L71" s="176">
        <f t="shared" si="36"/>
        <v>0.74085365853658547</v>
      </c>
      <c r="M71" s="451">
        <f t="shared" ref="M71:M106" si="43">MIN(1/(K71+L71)*1000, 350)</f>
        <v>350</v>
      </c>
      <c r="N71" s="201">
        <f t="shared" si="37"/>
        <v>350</v>
      </c>
      <c r="O71" s="221">
        <f t="shared" si="38"/>
        <v>2.3554601584651671</v>
      </c>
      <c r="P71" s="177">
        <f t="shared" si="39"/>
        <v>1.29263057476747</v>
      </c>
      <c r="Q71" s="177">
        <f t="shared" si="40"/>
        <v>0.53282946823377331</v>
      </c>
      <c r="R71" s="177">
        <f t="shared" si="41"/>
        <v>0.45</v>
      </c>
    </row>
    <row r="72" spans="3:18" x14ac:dyDescent="0.2">
      <c r="C72" s="174">
        <v>66</v>
      </c>
      <c r="D72" s="5">
        <f t="shared" si="42"/>
        <v>13.620000000000001</v>
      </c>
      <c r="E72" s="451">
        <f t="shared" si="29"/>
        <v>16.399999999999999</v>
      </c>
      <c r="F72" s="221">
        <f t="shared" si="30"/>
        <v>0.5463024650233177</v>
      </c>
      <c r="G72" s="176">
        <f t="shared" si="31"/>
        <v>13.727980013324448</v>
      </c>
      <c r="H72" s="221">
        <f t="shared" si="32"/>
        <v>0.88567612989189981</v>
      </c>
      <c r="I72" s="451">
        <f t="shared" si="33"/>
        <v>30.02</v>
      </c>
      <c r="J72" s="176">
        <f t="shared" si="34"/>
        <v>1.35</v>
      </c>
      <c r="K72" s="176">
        <f t="shared" si="35"/>
        <v>0.89207048458149774</v>
      </c>
      <c r="L72" s="176">
        <f t="shared" si="36"/>
        <v>0.74085365853658547</v>
      </c>
      <c r="M72" s="451">
        <f t="shared" si="43"/>
        <v>350</v>
      </c>
      <c r="N72" s="201">
        <f t="shared" si="37"/>
        <v>350</v>
      </c>
      <c r="O72" s="221">
        <f t="shared" si="38"/>
        <v>2.3621078011484409</v>
      </c>
      <c r="P72" s="177">
        <f t="shared" si="39"/>
        <v>1.2962786713619494</v>
      </c>
      <c r="Q72" s="177">
        <f t="shared" si="40"/>
        <v>0.5358412433651194</v>
      </c>
      <c r="R72" s="177">
        <f t="shared" si="41"/>
        <v>0.45</v>
      </c>
    </row>
    <row r="73" spans="3:18" x14ac:dyDescent="0.2">
      <c r="C73" s="174">
        <v>67</v>
      </c>
      <c r="D73" s="5">
        <f t="shared" si="42"/>
        <v>13.690000000000001</v>
      </c>
      <c r="E73" s="451">
        <f t="shared" si="29"/>
        <v>16.399999999999999</v>
      </c>
      <c r="F73" s="221">
        <f t="shared" si="30"/>
        <v>0.5450315719508142</v>
      </c>
      <c r="G73" s="176">
        <f t="shared" si="31"/>
        <v>13.766434695912263</v>
      </c>
      <c r="H73" s="221">
        <f t="shared" si="32"/>
        <v>0.88815707715562986</v>
      </c>
      <c r="I73" s="451">
        <f t="shared" si="33"/>
        <v>30.09</v>
      </c>
      <c r="J73" s="176">
        <f t="shared" si="34"/>
        <v>1.35</v>
      </c>
      <c r="K73" s="176">
        <f t="shared" si="35"/>
        <v>0.88750913075237403</v>
      </c>
      <c r="L73" s="176">
        <f t="shared" si="36"/>
        <v>0.74085365853658547</v>
      </c>
      <c r="M73" s="451">
        <f t="shared" si="43"/>
        <v>350</v>
      </c>
      <c r="N73" s="201">
        <f t="shared" si="37"/>
        <v>350</v>
      </c>
      <c r="O73" s="221">
        <f t="shared" si="38"/>
        <v>2.3687245142878242</v>
      </c>
      <c r="P73" s="177">
        <f t="shared" si="39"/>
        <v>1.2999097944262452</v>
      </c>
      <c r="Q73" s="177">
        <f t="shared" si="40"/>
        <v>0.53884743437355132</v>
      </c>
      <c r="R73" s="177">
        <f t="shared" si="41"/>
        <v>0.45</v>
      </c>
    </row>
    <row r="74" spans="3:18" x14ac:dyDescent="0.2">
      <c r="C74" s="174">
        <v>68</v>
      </c>
      <c r="D74" s="5">
        <f t="shared" si="42"/>
        <v>13.760000000000002</v>
      </c>
      <c r="E74" s="451">
        <f t="shared" si="29"/>
        <v>16.399999999999999</v>
      </c>
      <c r="F74" s="221">
        <f t="shared" si="30"/>
        <v>0.54376657824933683</v>
      </c>
      <c r="G74" s="176">
        <f t="shared" si="31"/>
        <v>13.804710875331564</v>
      </c>
      <c r="H74" s="221">
        <f t="shared" si="32"/>
        <v>0.89062650808590738</v>
      </c>
      <c r="I74" s="451">
        <f t="shared" si="33"/>
        <v>30.16</v>
      </c>
      <c r="J74" s="176">
        <f t="shared" si="34"/>
        <v>1.35</v>
      </c>
      <c r="K74" s="176">
        <f t="shared" si="35"/>
        <v>0.88299418604651159</v>
      </c>
      <c r="L74" s="176">
        <f t="shared" si="36"/>
        <v>0.74085365853658547</v>
      </c>
      <c r="M74" s="451">
        <f t="shared" si="43"/>
        <v>350</v>
      </c>
      <c r="N74" s="201">
        <f t="shared" si="37"/>
        <v>350</v>
      </c>
      <c r="O74" s="221">
        <f t="shared" si="38"/>
        <v>2.3753105132415477</v>
      </c>
      <c r="P74" s="177">
        <f t="shared" si="39"/>
        <v>1.3035240621447519</v>
      </c>
      <c r="Q74" s="177">
        <f t="shared" si="40"/>
        <v>0.54184802158825762</v>
      </c>
      <c r="R74" s="177">
        <f t="shared" si="41"/>
        <v>0.45</v>
      </c>
    </row>
    <row r="75" spans="3:18" x14ac:dyDescent="0.2">
      <c r="C75" s="174">
        <v>69</v>
      </c>
      <c r="D75" s="5">
        <f t="shared" si="42"/>
        <v>13.83</v>
      </c>
      <c r="E75" s="451">
        <f t="shared" si="29"/>
        <v>16.399999999999999</v>
      </c>
      <c r="F75" s="221">
        <f t="shared" si="30"/>
        <v>0.54250744293747932</v>
      </c>
      <c r="G75" s="176">
        <f t="shared" si="31"/>
        <v>13.842809791597748</v>
      </c>
      <c r="H75" s="221">
        <f t="shared" si="32"/>
        <v>0.89308450268372563</v>
      </c>
      <c r="I75" s="451">
        <f t="shared" si="33"/>
        <v>30.229999999999997</v>
      </c>
      <c r="J75" s="176">
        <f t="shared" si="34"/>
        <v>1.35</v>
      </c>
      <c r="K75" s="176">
        <f t="shared" si="35"/>
        <v>0.87852494577006512</v>
      </c>
      <c r="L75" s="176">
        <f t="shared" si="36"/>
        <v>0.74085365853658547</v>
      </c>
      <c r="M75" s="451">
        <f t="shared" si="43"/>
        <v>350</v>
      </c>
      <c r="N75" s="201">
        <f t="shared" si="37"/>
        <v>350</v>
      </c>
      <c r="O75" s="221">
        <f t="shared" si="38"/>
        <v>2.3818660113731234</v>
      </c>
      <c r="P75" s="177">
        <f t="shared" si="39"/>
        <v>1.3071215916072021</v>
      </c>
      <c r="Q75" s="177">
        <f t="shared" si="40"/>
        <v>0.54484298606169868</v>
      </c>
      <c r="R75" s="177">
        <f t="shared" si="41"/>
        <v>0.45</v>
      </c>
    </row>
    <row r="76" spans="3:18" x14ac:dyDescent="0.2">
      <c r="C76" s="174">
        <v>70</v>
      </c>
      <c r="D76" s="5">
        <f t="shared" si="42"/>
        <v>13.899999999999999</v>
      </c>
      <c r="E76" s="451">
        <f t="shared" si="29"/>
        <v>16.399999999999999</v>
      </c>
      <c r="F76" s="221">
        <f t="shared" si="30"/>
        <v>0.54125412541254125</v>
      </c>
      <c r="G76" s="176">
        <f t="shared" si="31"/>
        <v>13.880732673267325</v>
      </c>
      <c r="H76" s="221">
        <f t="shared" si="32"/>
        <v>0.89553114021079516</v>
      </c>
      <c r="I76" s="451">
        <f t="shared" si="33"/>
        <v>30.299999999999997</v>
      </c>
      <c r="J76" s="176">
        <f t="shared" si="34"/>
        <v>1.35</v>
      </c>
      <c r="K76" s="176">
        <f t="shared" si="35"/>
        <v>0.87410071942446055</v>
      </c>
      <c r="L76" s="176">
        <f t="shared" si="36"/>
        <v>0.74085365853658547</v>
      </c>
      <c r="M76" s="451">
        <f t="shared" si="43"/>
        <v>350</v>
      </c>
      <c r="N76" s="201">
        <f t="shared" si="37"/>
        <v>350</v>
      </c>
      <c r="O76" s="221">
        <f t="shared" si="38"/>
        <v>2.388391220074388</v>
      </c>
      <c r="P76" s="177">
        <f t="shared" si="39"/>
        <v>1.3107024988213107</v>
      </c>
      <c r="Q76" s="177">
        <f t="shared" si="40"/>
        <v>0.54783230955501627</v>
      </c>
      <c r="R76" s="177">
        <f t="shared" si="41"/>
        <v>0.45</v>
      </c>
    </row>
    <row r="77" spans="3:18" x14ac:dyDescent="0.2">
      <c r="C77" s="174">
        <v>71</v>
      </c>
      <c r="D77" s="5">
        <f t="shared" si="42"/>
        <v>13.969999999999999</v>
      </c>
      <c r="E77" s="451">
        <f t="shared" si="29"/>
        <v>16.399999999999999</v>
      </c>
      <c r="F77" s="221">
        <f t="shared" si="30"/>
        <v>0.54000658544616398</v>
      </c>
      <c r="G77" s="176">
        <f t="shared" si="31"/>
        <v>13.918480737569968</v>
      </c>
      <c r="H77" s="221">
        <f t="shared" si="32"/>
        <v>0.89796649919806248</v>
      </c>
      <c r="I77" s="451">
        <f t="shared" si="33"/>
        <v>30.369999999999997</v>
      </c>
      <c r="J77" s="176">
        <f t="shared" si="34"/>
        <v>1.35</v>
      </c>
      <c r="K77" s="176">
        <f t="shared" si="35"/>
        <v>0.86972083035075176</v>
      </c>
      <c r="L77" s="176">
        <f t="shared" si="36"/>
        <v>0.74085365853658547</v>
      </c>
      <c r="M77" s="451">
        <f t="shared" si="43"/>
        <v>350</v>
      </c>
      <c r="N77" s="201">
        <f t="shared" si="37"/>
        <v>350</v>
      </c>
      <c r="O77" s="221">
        <f t="shared" si="38"/>
        <v>2.3948863487882255</v>
      </c>
      <c r="P77" s="177">
        <f t="shared" si="39"/>
        <v>1.3142668987252457</v>
      </c>
      <c r="Q77" s="177">
        <f t="shared" si="40"/>
        <v>0.55081597452373254</v>
      </c>
      <c r="R77" s="177">
        <f t="shared" si="41"/>
        <v>0.45</v>
      </c>
    </row>
    <row r="78" spans="3:18" x14ac:dyDescent="0.2">
      <c r="C78" s="174">
        <v>72</v>
      </c>
      <c r="D78" s="5">
        <f t="shared" si="42"/>
        <v>14.04</v>
      </c>
      <c r="E78" s="451">
        <f t="shared" si="29"/>
        <v>16.399999999999999</v>
      </c>
      <c r="F78" s="221">
        <f t="shared" si="30"/>
        <v>0.5387647831800263</v>
      </c>
      <c r="G78" s="176">
        <f t="shared" si="31"/>
        <v>13.956055190538763</v>
      </c>
      <c r="H78" s="221">
        <f t="shared" si="32"/>
        <v>0.90039065745411373</v>
      </c>
      <c r="I78" s="451">
        <f t="shared" si="33"/>
        <v>30.439999999999998</v>
      </c>
      <c r="J78" s="176">
        <f t="shared" si="34"/>
        <v>1.35</v>
      </c>
      <c r="K78" s="176">
        <f t="shared" si="35"/>
        <v>0.86538461538461553</v>
      </c>
      <c r="L78" s="176">
        <f t="shared" si="36"/>
        <v>0.74085365853658547</v>
      </c>
      <c r="M78" s="451">
        <f t="shared" si="43"/>
        <v>350</v>
      </c>
      <c r="N78" s="201">
        <f t="shared" si="37"/>
        <v>350</v>
      </c>
      <c r="O78" s="221">
        <f t="shared" si="38"/>
        <v>2.4013516050309742</v>
      </c>
      <c r="P78" s="177">
        <f t="shared" si="39"/>
        <v>1.3178149051999248</v>
      </c>
      <c r="Q78" s="177">
        <f t="shared" si="40"/>
        <v>0.55379396410372661</v>
      </c>
      <c r="R78" s="177">
        <f t="shared" si="41"/>
        <v>0.45</v>
      </c>
    </row>
    <row r="79" spans="3:18" x14ac:dyDescent="0.2">
      <c r="C79" s="174">
        <v>73</v>
      </c>
      <c r="D79" s="5">
        <f t="shared" si="42"/>
        <v>14.11</v>
      </c>
      <c r="E79" s="451">
        <f t="shared" si="29"/>
        <v>16.399999999999999</v>
      </c>
      <c r="F79" s="221">
        <f t="shared" si="30"/>
        <v>0.53752867912159952</v>
      </c>
      <c r="G79" s="176">
        <f t="shared" si="31"/>
        <v>13.993457227138643</v>
      </c>
      <c r="H79" s="221">
        <f t="shared" si="32"/>
        <v>0.90280369207346089</v>
      </c>
      <c r="I79" s="451">
        <f t="shared" si="33"/>
        <v>30.509999999999998</v>
      </c>
      <c r="J79" s="176">
        <f t="shared" si="34"/>
        <v>1.35</v>
      </c>
      <c r="K79" s="176">
        <f t="shared" si="35"/>
        <v>0.86109142452161591</v>
      </c>
      <c r="L79" s="176">
        <f t="shared" si="36"/>
        <v>0.74085365853658547</v>
      </c>
      <c r="M79" s="451">
        <f t="shared" si="43"/>
        <v>350</v>
      </c>
      <c r="N79" s="201">
        <f t="shared" si="37"/>
        <v>350</v>
      </c>
      <c r="O79" s="221">
        <f t="shared" si="38"/>
        <v>2.4077871944145302</v>
      </c>
      <c r="P79" s="177">
        <f t="shared" si="39"/>
        <v>1.321346631081145</v>
      </c>
      <c r="Q79" s="177">
        <f t="shared" si="40"/>
        <v>0.55676626209749325</v>
      </c>
      <c r="R79" s="177">
        <f t="shared" si="41"/>
        <v>0.45</v>
      </c>
    </row>
    <row r="80" spans="3:18" x14ac:dyDescent="0.2">
      <c r="C80" s="174">
        <v>74</v>
      </c>
      <c r="D80" s="5">
        <f t="shared" si="42"/>
        <v>14.18</v>
      </c>
      <c r="E80" s="451">
        <f t="shared" si="29"/>
        <v>16.399999999999999</v>
      </c>
      <c r="F80" s="221">
        <f t="shared" si="30"/>
        <v>0.53629823413996069</v>
      </c>
      <c r="G80" s="176">
        <f t="shared" si="31"/>
        <v>14.030688031393064</v>
      </c>
      <c r="H80" s="221">
        <f t="shared" si="32"/>
        <v>0.90520567944471375</v>
      </c>
      <c r="I80" s="451">
        <f t="shared" si="33"/>
        <v>30.58</v>
      </c>
      <c r="J80" s="176">
        <f t="shared" si="34"/>
        <v>1.35</v>
      </c>
      <c r="K80" s="176">
        <f t="shared" si="35"/>
        <v>0.85684062059238364</v>
      </c>
      <c r="L80" s="176">
        <f t="shared" si="36"/>
        <v>0.74085365853658547</v>
      </c>
      <c r="M80" s="451">
        <f t="shared" si="43"/>
        <v>350</v>
      </c>
      <c r="N80" s="201">
        <f t="shared" si="37"/>
        <v>350</v>
      </c>
      <c r="O80" s="221">
        <f t="shared" si="38"/>
        <v>2.414193320668141</v>
      </c>
      <c r="P80" s="177">
        <f t="shared" si="39"/>
        <v>1.324862188171541</v>
      </c>
      <c r="Q80" s="177">
        <f t="shared" si="40"/>
        <v>0.55973285296066455</v>
      </c>
      <c r="R80" s="177">
        <f t="shared" si="41"/>
        <v>0.45</v>
      </c>
    </row>
    <row r="81" spans="3:18" x14ac:dyDescent="0.2">
      <c r="C81" s="174">
        <v>75</v>
      </c>
      <c r="D81" s="5">
        <f t="shared" si="42"/>
        <v>14.25</v>
      </c>
      <c r="E81" s="451">
        <f t="shared" si="29"/>
        <v>16.399999999999999</v>
      </c>
      <c r="F81" s="221">
        <f t="shared" si="30"/>
        <v>0.53507340946166393</v>
      </c>
      <c r="G81" s="176">
        <f t="shared" si="31"/>
        <v>14.067748776508971</v>
      </c>
      <c r="H81" s="221">
        <f t="shared" si="32"/>
        <v>0.90759669525864328</v>
      </c>
      <c r="I81" s="451">
        <f t="shared" si="33"/>
        <v>30.65</v>
      </c>
      <c r="J81" s="176">
        <f t="shared" si="34"/>
        <v>1.35</v>
      </c>
      <c r="K81" s="176">
        <f t="shared" si="35"/>
        <v>0.85263157894736841</v>
      </c>
      <c r="L81" s="176">
        <f t="shared" si="36"/>
        <v>0.74085365853658547</v>
      </c>
      <c r="M81" s="451">
        <f t="shared" si="43"/>
        <v>350</v>
      </c>
      <c r="N81" s="201">
        <f t="shared" si="37"/>
        <v>350</v>
      </c>
      <c r="O81" s="221">
        <f t="shared" si="38"/>
        <v>2.4205701856599084</v>
      </c>
      <c r="P81" s="177">
        <f t="shared" si="39"/>
        <v>1.3283616872523889</v>
      </c>
      <c r="Q81" s="177">
        <f t="shared" si="40"/>
        <v>0.56269372178880428</v>
      </c>
      <c r="R81" s="177">
        <f t="shared" si="41"/>
        <v>0.45</v>
      </c>
    </row>
    <row r="82" spans="3:18" x14ac:dyDescent="0.2">
      <c r="C82" s="174">
        <v>76</v>
      </c>
      <c r="D82" s="5">
        <f t="shared" si="42"/>
        <v>14.32</v>
      </c>
      <c r="E82" s="451">
        <f t="shared" si="29"/>
        <v>16.399999999999999</v>
      </c>
      <c r="F82" s="221">
        <f t="shared" si="30"/>
        <v>0.53385416666666663</v>
      </c>
      <c r="G82" s="176">
        <f t="shared" si="31"/>
        <v>14.104640624999998</v>
      </c>
      <c r="H82" s="221">
        <f t="shared" si="32"/>
        <v>0.90997681451612888</v>
      </c>
      <c r="I82" s="451">
        <f t="shared" si="33"/>
        <v>30.72</v>
      </c>
      <c r="J82" s="176">
        <f t="shared" si="34"/>
        <v>1.35</v>
      </c>
      <c r="K82" s="176">
        <f t="shared" si="35"/>
        <v>0.84846368715083809</v>
      </c>
      <c r="L82" s="176">
        <f t="shared" si="36"/>
        <v>0.74085365853658547</v>
      </c>
      <c r="M82" s="451">
        <f t="shared" si="43"/>
        <v>350</v>
      </c>
      <c r="N82" s="201">
        <f t="shared" si="37"/>
        <v>350</v>
      </c>
      <c r="O82" s="221">
        <f t="shared" si="38"/>
        <v>2.4269179894179893</v>
      </c>
      <c r="P82" s="177">
        <f t="shared" si="39"/>
        <v>1.3318452380952381</v>
      </c>
      <c r="Q82" s="177">
        <f t="shared" si="40"/>
        <v>0.56564885430445322</v>
      </c>
      <c r="R82" s="177">
        <f t="shared" si="41"/>
        <v>0.45</v>
      </c>
    </row>
    <row r="83" spans="3:18" x14ac:dyDescent="0.2">
      <c r="C83" s="174">
        <v>77</v>
      </c>
      <c r="D83" s="5">
        <f t="shared" si="42"/>
        <v>14.39</v>
      </c>
      <c r="E83" s="451">
        <f t="shared" si="29"/>
        <v>16.399999999999999</v>
      </c>
      <c r="F83" s="221">
        <f t="shared" si="30"/>
        <v>0.53264046768431306</v>
      </c>
      <c r="G83" s="176">
        <f t="shared" si="31"/>
        <v>14.141364728808053</v>
      </c>
      <c r="H83" s="221">
        <f t="shared" si="32"/>
        <v>0.91234611153600342</v>
      </c>
      <c r="I83" s="451">
        <f t="shared" si="33"/>
        <v>30.79</v>
      </c>
      <c r="J83" s="176">
        <f t="shared" si="34"/>
        <v>1.35</v>
      </c>
      <c r="K83" s="176">
        <f t="shared" si="35"/>
        <v>0.84433634468380825</v>
      </c>
      <c r="L83" s="176">
        <f t="shared" si="36"/>
        <v>0.74085365853658547</v>
      </c>
      <c r="M83" s="451">
        <f t="shared" si="43"/>
        <v>350</v>
      </c>
      <c r="N83" s="201">
        <f t="shared" si="37"/>
        <v>350</v>
      </c>
      <c r="O83" s="221">
        <f t="shared" si="38"/>
        <v>2.4332369301515131</v>
      </c>
      <c r="P83" s="177">
        <f t="shared" si="39"/>
        <v>1.3353129494733915</v>
      </c>
      <c r="Q83" s="177">
        <f t="shared" si="40"/>
        <v>0.56859823684443456</v>
      </c>
      <c r="R83" s="177">
        <f t="shared" si="41"/>
        <v>0.45</v>
      </c>
    </row>
    <row r="84" spans="3:18" x14ac:dyDescent="0.2">
      <c r="C84" s="174">
        <v>78</v>
      </c>
      <c r="D84" s="5">
        <f t="shared" si="42"/>
        <v>14.46</v>
      </c>
      <c r="E84" s="451">
        <f t="shared" si="29"/>
        <v>16.399999999999999</v>
      </c>
      <c r="F84" s="221">
        <f t="shared" si="30"/>
        <v>0.53143227478937127</v>
      </c>
      <c r="G84" s="176">
        <f t="shared" si="31"/>
        <v>14.177922229423199</v>
      </c>
      <c r="H84" s="221">
        <f t="shared" si="32"/>
        <v>0.91470465996278705</v>
      </c>
      <c r="I84" s="451">
        <f t="shared" si="33"/>
        <v>30.86</v>
      </c>
      <c r="J84" s="176">
        <f t="shared" si="34"/>
        <v>1.35</v>
      </c>
      <c r="K84" s="176">
        <f t="shared" si="35"/>
        <v>0.84024896265560167</v>
      </c>
      <c r="L84" s="176">
        <f t="shared" si="36"/>
        <v>0.74085365853658547</v>
      </c>
      <c r="M84" s="451">
        <f t="shared" si="43"/>
        <v>350</v>
      </c>
      <c r="N84" s="201">
        <f t="shared" si="37"/>
        <v>350</v>
      </c>
      <c r="O84" s="221">
        <f t="shared" si="38"/>
        <v>2.4395272042712093</v>
      </c>
      <c r="P84" s="177">
        <f t="shared" si="39"/>
        <v>1.3387649291732246</v>
      </c>
      <c r="Q84" s="177">
        <f t="shared" si="40"/>
        <v>0.57154185634740262</v>
      </c>
      <c r="R84" s="177">
        <f t="shared" si="41"/>
        <v>0.45</v>
      </c>
    </row>
    <row r="85" spans="3:18" x14ac:dyDescent="0.2">
      <c r="C85" s="174">
        <v>79</v>
      </c>
      <c r="D85" s="5">
        <f t="shared" si="42"/>
        <v>14.530000000000001</v>
      </c>
      <c r="E85" s="451">
        <f t="shared" si="29"/>
        <v>16.399999999999999</v>
      </c>
      <c r="F85" s="221">
        <f t="shared" si="30"/>
        <v>0.53022955059812471</v>
      </c>
      <c r="G85" s="176">
        <f t="shared" si="31"/>
        <v>14.214314258001938</v>
      </c>
      <c r="H85" s="221">
        <f t="shared" si="32"/>
        <v>0.91705253277431853</v>
      </c>
      <c r="I85" s="451">
        <f t="shared" si="33"/>
        <v>30.93</v>
      </c>
      <c r="J85" s="176">
        <f t="shared" si="34"/>
        <v>1.35</v>
      </c>
      <c r="K85" s="176">
        <f t="shared" si="35"/>
        <v>0.83620096352374396</v>
      </c>
      <c r="L85" s="176">
        <f t="shared" si="36"/>
        <v>0.74085365853658547</v>
      </c>
      <c r="M85" s="451">
        <f t="shared" si="43"/>
        <v>350</v>
      </c>
      <c r="N85" s="201">
        <f t="shared" si="37"/>
        <v>350</v>
      </c>
      <c r="O85" s="221">
        <f t="shared" si="38"/>
        <v>2.4457890064097629</v>
      </c>
      <c r="P85" s="177">
        <f t="shared" si="39"/>
        <v>1.3422012840053579</v>
      </c>
      <c r="Q85" s="177">
        <f t="shared" si="40"/>
        <v>0.5744797003416402</v>
      </c>
      <c r="R85" s="177">
        <f t="shared" si="41"/>
        <v>0.45</v>
      </c>
    </row>
    <row r="86" spans="3:18" x14ac:dyDescent="0.2">
      <c r="C86" s="174">
        <v>80</v>
      </c>
      <c r="D86" s="5">
        <f t="shared" si="42"/>
        <v>14.600000000000001</v>
      </c>
      <c r="E86" s="451">
        <f t="shared" si="29"/>
        <v>16.399999999999999</v>
      </c>
      <c r="F86" s="221">
        <f t="shared" si="30"/>
        <v>0.52903225806451604</v>
      </c>
      <c r="G86" s="176">
        <f t="shared" si="31"/>
        <v>14.25054193548387</v>
      </c>
      <c r="H86" s="221">
        <f t="shared" si="32"/>
        <v>0.91938980228928191</v>
      </c>
      <c r="I86" s="451">
        <f t="shared" si="33"/>
        <v>31</v>
      </c>
      <c r="J86" s="176">
        <f t="shared" si="34"/>
        <v>1.35</v>
      </c>
      <c r="K86" s="176">
        <f t="shared" si="35"/>
        <v>0.8321917808219178</v>
      </c>
      <c r="L86" s="176">
        <f t="shared" si="36"/>
        <v>0.74085365853658547</v>
      </c>
      <c r="M86" s="451">
        <f t="shared" si="43"/>
        <v>350</v>
      </c>
      <c r="N86" s="201">
        <f t="shared" si="37"/>
        <v>350</v>
      </c>
      <c r="O86" s="221">
        <f t="shared" si="38"/>
        <v>2.4520225294418845</v>
      </c>
      <c r="P86" s="177">
        <f t="shared" si="39"/>
        <v>1.3456221198156686</v>
      </c>
      <c r="Q86" s="177">
        <f t="shared" si="40"/>
        <v>0.5774117569330891</v>
      </c>
      <c r="R86" s="177">
        <f t="shared" si="41"/>
        <v>0.45</v>
      </c>
    </row>
    <row r="87" spans="3:18" x14ac:dyDescent="0.2">
      <c r="C87" s="174">
        <v>81</v>
      </c>
      <c r="D87" s="5">
        <f t="shared" si="42"/>
        <v>14.67</v>
      </c>
      <c r="E87" s="451">
        <f t="shared" si="29"/>
        <v>16.399999999999999</v>
      </c>
      <c r="F87" s="221">
        <f t="shared" si="30"/>
        <v>0.52784036047634364</v>
      </c>
      <c r="G87" s="176">
        <f t="shared" si="31"/>
        <v>14.286606372706787</v>
      </c>
      <c r="H87" s="221">
        <f t="shared" si="32"/>
        <v>0.92171654017463145</v>
      </c>
      <c r="I87" s="451">
        <f t="shared" si="33"/>
        <v>31.07</v>
      </c>
      <c r="J87" s="176">
        <f t="shared" si="34"/>
        <v>1.35</v>
      </c>
      <c r="K87" s="176">
        <f t="shared" si="35"/>
        <v>0.82822085889570563</v>
      </c>
      <c r="L87" s="176">
        <f t="shared" si="36"/>
        <v>0.74085365853658547</v>
      </c>
      <c r="M87" s="451">
        <f t="shared" si="43"/>
        <v>350</v>
      </c>
      <c r="N87" s="201">
        <f t="shared" si="37"/>
        <v>350</v>
      </c>
      <c r="O87" s="221">
        <f t="shared" si="38"/>
        <v>2.4582279645041147</v>
      </c>
      <c r="P87" s="177">
        <f t="shared" si="39"/>
        <v>1.3490275414961608</v>
      </c>
      <c r="Q87" s="177">
        <f t="shared" si="40"/>
        <v>0.58033801479361702</v>
      </c>
      <c r="R87" s="177">
        <f t="shared" si="41"/>
        <v>0.45</v>
      </c>
    </row>
    <row r="88" spans="3:18" x14ac:dyDescent="0.2">
      <c r="C88" s="174">
        <v>82</v>
      </c>
      <c r="D88" s="5">
        <f t="shared" si="42"/>
        <v>14.739999999999998</v>
      </c>
      <c r="E88" s="451">
        <f t="shared" si="29"/>
        <v>16.399999999999999</v>
      </c>
      <c r="F88" s="221">
        <f t="shared" si="30"/>
        <v>0.5266538214515093</v>
      </c>
      <c r="G88" s="176">
        <f t="shared" si="31"/>
        <v>14.322508670520229</v>
      </c>
      <c r="H88" s="221">
        <f t="shared" si="32"/>
        <v>0.92403281745291799</v>
      </c>
      <c r="I88" s="451">
        <f t="shared" si="33"/>
        <v>31.139999999999997</v>
      </c>
      <c r="J88" s="176">
        <f t="shared" si="34"/>
        <v>1.35</v>
      </c>
      <c r="K88" s="176">
        <f t="shared" si="35"/>
        <v>0.82428765264586179</v>
      </c>
      <c r="L88" s="176">
        <f t="shared" si="36"/>
        <v>0.74085365853658547</v>
      </c>
      <c r="M88" s="451">
        <f t="shared" si="43"/>
        <v>350</v>
      </c>
      <c r="N88" s="201">
        <f t="shared" si="37"/>
        <v>350</v>
      </c>
      <c r="O88" s="221">
        <f t="shared" si="38"/>
        <v>2.4644055010143635</v>
      </c>
      <c r="P88" s="177">
        <f t="shared" si="39"/>
        <v>1.3524176529956875</v>
      </c>
      <c r="Q88" s="177">
        <f t="shared" si="40"/>
        <v>0.5832584631495138</v>
      </c>
      <c r="R88" s="177">
        <f t="shared" si="41"/>
        <v>0.45</v>
      </c>
    </row>
    <row r="89" spans="3:18" x14ac:dyDescent="0.2">
      <c r="C89" s="174">
        <v>83</v>
      </c>
      <c r="D89" s="5">
        <f t="shared" si="42"/>
        <v>14.809999999999999</v>
      </c>
      <c r="E89" s="451">
        <f t="shared" si="29"/>
        <v>16.399999999999999</v>
      </c>
      <c r="F89" s="221">
        <f t="shared" si="30"/>
        <v>0.52547260493431591</v>
      </c>
      <c r="G89" s="176">
        <f t="shared" si="31"/>
        <v>14.358249919897467</v>
      </c>
      <c r="H89" s="221">
        <f t="shared" si="32"/>
        <v>0.92633870450951405</v>
      </c>
      <c r="I89" s="451">
        <f t="shared" si="33"/>
        <v>31.209999999999997</v>
      </c>
      <c r="J89" s="176">
        <f t="shared" si="34"/>
        <v>1.35</v>
      </c>
      <c r="K89" s="176">
        <f t="shared" si="35"/>
        <v>0.82039162727886572</v>
      </c>
      <c r="L89" s="176">
        <f t="shared" si="36"/>
        <v>0.74085365853658547</v>
      </c>
      <c r="M89" s="451">
        <f t="shared" si="43"/>
        <v>350</v>
      </c>
      <c r="N89" s="201">
        <f t="shared" si="37"/>
        <v>350</v>
      </c>
      <c r="O89" s="221">
        <f t="shared" si="38"/>
        <v>2.4705553266911804</v>
      </c>
      <c r="P89" s="177">
        <f t="shared" si="39"/>
        <v>1.3557925573305261</v>
      </c>
      <c r="Q89" s="177">
        <f t="shared" si="40"/>
        <v>0.58617309177020793</v>
      </c>
      <c r="R89" s="177">
        <f t="shared" si="41"/>
        <v>0.45</v>
      </c>
    </row>
    <row r="90" spans="3:18" x14ac:dyDescent="0.2">
      <c r="C90" s="174">
        <v>84</v>
      </c>
      <c r="D90" s="5">
        <f t="shared" si="42"/>
        <v>14.879999999999999</v>
      </c>
      <c r="E90" s="451">
        <f t="shared" si="29"/>
        <v>16.399999999999999</v>
      </c>
      <c r="F90" s="221">
        <f t="shared" si="30"/>
        <v>0.52429667519181589</v>
      </c>
      <c r="G90" s="176">
        <f t="shared" si="31"/>
        <v>14.393831202046034</v>
      </c>
      <c r="H90" s="221">
        <f t="shared" si="32"/>
        <v>0.92863427109974406</v>
      </c>
      <c r="I90" s="451">
        <f t="shared" si="33"/>
        <v>31.279999999999998</v>
      </c>
      <c r="J90" s="176">
        <f t="shared" si="34"/>
        <v>1.35</v>
      </c>
      <c r="K90" s="176">
        <f t="shared" si="35"/>
        <v>0.81653225806451624</v>
      </c>
      <c r="L90" s="176">
        <f t="shared" si="36"/>
        <v>0.74085365853658547</v>
      </c>
      <c r="M90" s="451">
        <f t="shared" si="43"/>
        <v>350</v>
      </c>
      <c r="N90" s="201">
        <f t="shared" si="37"/>
        <v>350</v>
      </c>
      <c r="O90" s="221">
        <f t="shared" si="38"/>
        <v>2.476677627572768</v>
      </c>
      <c r="P90" s="177">
        <f t="shared" si="39"/>
        <v>1.359152356594812</v>
      </c>
      <c r="Q90" s="177">
        <f t="shared" si="40"/>
        <v>0.58908189095720587</v>
      </c>
      <c r="R90" s="177">
        <f t="shared" si="41"/>
        <v>0.45</v>
      </c>
    </row>
    <row r="91" spans="3:18" x14ac:dyDescent="0.2">
      <c r="C91" s="174">
        <v>85</v>
      </c>
      <c r="D91" s="5">
        <f t="shared" si="42"/>
        <v>14.95</v>
      </c>
      <c r="E91" s="451">
        <f t="shared" si="29"/>
        <v>16.399999999999999</v>
      </c>
      <c r="F91" s="221">
        <f t="shared" si="30"/>
        <v>0.52312599681020733</v>
      </c>
      <c r="G91" s="176">
        <f t="shared" si="31"/>
        <v>14.429253588516744</v>
      </c>
      <c r="H91" s="221">
        <f t="shared" si="32"/>
        <v>0.93091958635591898</v>
      </c>
      <c r="I91" s="451">
        <f t="shared" si="33"/>
        <v>31.349999999999998</v>
      </c>
      <c r="J91" s="176">
        <f t="shared" si="34"/>
        <v>1.35</v>
      </c>
      <c r="K91" s="176">
        <f t="shared" si="35"/>
        <v>0.81270903010033457</v>
      </c>
      <c r="L91" s="176">
        <f t="shared" si="36"/>
        <v>0.74085365853658547</v>
      </c>
      <c r="M91" s="451">
        <f t="shared" si="43"/>
        <v>350</v>
      </c>
      <c r="N91" s="201">
        <f t="shared" si="37"/>
        <v>350</v>
      </c>
      <c r="O91" s="221">
        <f t="shared" si="38"/>
        <v>2.4827725880357456</v>
      </c>
      <c r="P91" s="177">
        <f t="shared" si="39"/>
        <v>1.3624971519708362</v>
      </c>
      <c r="Q91" s="177">
        <f t="shared" si="40"/>
        <v>0.59198485153324398</v>
      </c>
      <c r="R91" s="177">
        <f t="shared" si="41"/>
        <v>0.45</v>
      </c>
    </row>
    <row r="92" spans="3:18" x14ac:dyDescent="0.2">
      <c r="C92" s="174">
        <v>86</v>
      </c>
      <c r="D92" s="5">
        <f t="shared" si="42"/>
        <v>15.02</v>
      </c>
      <c r="E92" s="451">
        <f t="shared" si="29"/>
        <v>16.399999999999999</v>
      </c>
      <c r="F92" s="221">
        <f t="shared" si="30"/>
        <v>0.52196053469127945</v>
      </c>
      <c r="G92" s="176">
        <f t="shared" si="31"/>
        <v>14.464518141311265</v>
      </c>
      <c r="H92" s="221">
        <f t="shared" si="32"/>
        <v>0.93319471879427518</v>
      </c>
      <c r="I92" s="451">
        <f t="shared" si="33"/>
        <v>31.419999999999998</v>
      </c>
      <c r="J92" s="176">
        <f t="shared" si="34"/>
        <v>1.35</v>
      </c>
      <c r="K92" s="176">
        <f t="shared" si="35"/>
        <v>0.80892143808255668</v>
      </c>
      <c r="L92" s="176">
        <f t="shared" si="36"/>
        <v>0.74085365853658547</v>
      </c>
      <c r="M92" s="451">
        <f t="shared" si="43"/>
        <v>350</v>
      </c>
      <c r="N92" s="201">
        <f t="shared" si="37"/>
        <v>350</v>
      </c>
      <c r="O92" s="221">
        <f t="shared" si="38"/>
        <v>2.4888403908136563</v>
      </c>
      <c r="P92" s="177">
        <f t="shared" si="39"/>
        <v>1.3658270437392017</v>
      </c>
      <c r="Q92" s="177">
        <f t="shared" si="40"/>
        <v>0.59488196483165368</v>
      </c>
      <c r="R92" s="177">
        <f t="shared" si="41"/>
        <v>0.45</v>
      </c>
    </row>
    <row r="93" spans="3:18" x14ac:dyDescent="0.2">
      <c r="C93" s="174">
        <v>87</v>
      </c>
      <c r="D93" s="5">
        <f t="shared" si="42"/>
        <v>15.09</v>
      </c>
      <c r="E93" s="451">
        <f t="shared" si="29"/>
        <v>16.399999999999999</v>
      </c>
      <c r="F93" s="221">
        <f t="shared" si="30"/>
        <v>0.5208002540489044</v>
      </c>
      <c r="G93" s="176">
        <f t="shared" si="31"/>
        <v>14.499625912988249</v>
      </c>
      <c r="H93" s="221">
        <f t="shared" si="32"/>
        <v>0.93545973632182244</v>
      </c>
      <c r="I93" s="451">
        <f t="shared" si="33"/>
        <v>31.49</v>
      </c>
      <c r="J93" s="176">
        <f t="shared" si="34"/>
        <v>1.35</v>
      </c>
      <c r="K93" s="176">
        <f t="shared" si="35"/>
        <v>0.80516898608349896</v>
      </c>
      <c r="L93" s="176">
        <f t="shared" si="36"/>
        <v>0.74085365853658547</v>
      </c>
      <c r="M93" s="451">
        <f t="shared" si="43"/>
        <v>350</v>
      </c>
      <c r="N93" s="201">
        <f t="shared" si="37"/>
        <v>350</v>
      </c>
      <c r="O93" s="221">
        <f t="shared" si="38"/>
        <v>2.4948812170152279</v>
      </c>
      <c r="P93" s="177">
        <f t="shared" si="39"/>
        <v>1.3691421312888448</v>
      </c>
      <c r="Q93" s="177">
        <f t="shared" si="40"/>
        <v>0.59777322268592881</v>
      </c>
      <c r="R93" s="177">
        <f t="shared" si="41"/>
        <v>0.45</v>
      </c>
    </row>
    <row r="94" spans="3:18" x14ac:dyDescent="0.2">
      <c r="C94" s="174">
        <v>88</v>
      </c>
      <c r="D94" s="5">
        <f t="shared" si="42"/>
        <v>15.16</v>
      </c>
      <c r="E94" s="451">
        <f t="shared" si="29"/>
        <v>16.399999999999999</v>
      </c>
      <c r="F94" s="221">
        <f t="shared" si="30"/>
        <v>0.51964512040557664</v>
      </c>
      <c r="G94" s="176">
        <f t="shared" si="31"/>
        <v>14.534577946768058</v>
      </c>
      <c r="H94" s="221">
        <f t="shared" si="32"/>
        <v>0.93771470624310049</v>
      </c>
      <c r="I94" s="451">
        <f t="shared" si="33"/>
        <v>31.56</v>
      </c>
      <c r="J94" s="176">
        <f t="shared" si="34"/>
        <v>1.35</v>
      </c>
      <c r="K94" s="176">
        <f t="shared" si="35"/>
        <v>0.80145118733509246</v>
      </c>
      <c r="L94" s="176">
        <f t="shared" si="36"/>
        <v>0.74085365853658547</v>
      </c>
      <c r="M94" s="451">
        <f t="shared" si="43"/>
        <v>350</v>
      </c>
      <c r="N94" s="201">
        <f t="shared" si="37"/>
        <v>350</v>
      </c>
      <c r="O94" s="221">
        <f t="shared" si="38"/>
        <v>2.5008952461423943</v>
      </c>
      <c r="P94" s="177">
        <f t="shared" si="39"/>
        <v>1.3724425131269238</v>
      </c>
      <c r="Q94" s="177">
        <f t="shared" si="40"/>
        <v>0.60065861741949778</v>
      </c>
      <c r="R94" s="177">
        <f t="shared" si="41"/>
        <v>0.45</v>
      </c>
    </row>
    <row r="95" spans="3:18" x14ac:dyDescent="0.2">
      <c r="C95" s="174">
        <v>89</v>
      </c>
      <c r="D95" s="5">
        <f t="shared" si="42"/>
        <v>15.23</v>
      </c>
      <c r="E95" s="451">
        <f t="shared" si="29"/>
        <v>16.399999999999999</v>
      </c>
      <c r="F95" s="221">
        <f t="shared" si="30"/>
        <v>0.51849509958899775</v>
      </c>
      <c r="G95" s="176">
        <f t="shared" si="31"/>
        <v>14.569375276636103</v>
      </c>
      <c r="H95" s="221">
        <f t="shared" si="32"/>
        <v>0.93995969526684542</v>
      </c>
      <c r="I95" s="451">
        <f t="shared" si="33"/>
        <v>31.63</v>
      </c>
      <c r="J95" s="176">
        <f t="shared" si="34"/>
        <v>1.35</v>
      </c>
      <c r="K95" s="176">
        <f t="shared" si="35"/>
        <v>0.79776756401838478</v>
      </c>
      <c r="L95" s="176">
        <f t="shared" si="36"/>
        <v>0.74085365853658547</v>
      </c>
      <c r="M95" s="451">
        <f t="shared" si="43"/>
        <v>350</v>
      </c>
      <c r="N95" s="201">
        <f t="shared" si="37"/>
        <v>350</v>
      </c>
      <c r="O95" s="221">
        <f t="shared" si="38"/>
        <v>2.506882656108075</v>
      </c>
      <c r="P95" s="177">
        <f t="shared" si="39"/>
        <v>1.3757282868885778</v>
      </c>
      <c r="Q95" s="177">
        <f t="shared" si="40"/>
        <v>0.60353814183569376</v>
      </c>
      <c r="R95" s="177">
        <f t="shared" si="41"/>
        <v>0.45</v>
      </c>
    </row>
    <row r="96" spans="3:18" x14ac:dyDescent="0.2">
      <c r="C96" s="174">
        <v>90</v>
      </c>
      <c r="D96" s="5">
        <f t="shared" si="42"/>
        <v>15.3</v>
      </c>
      <c r="E96" s="451">
        <f t="shared" si="29"/>
        <v>16.399999999999999</v>
      </c>
      <c r="F96" s="221">
        <f t="shared" si="30"/>
        <v>0.51735015772870663</v>
      </c>
      <c r="G96" s="176">
        <f t="shared" si="31"/>
        <v>14.604018927444796</v>
      </c>
      <c r="H96" s="221">
        <f t="shared" si="32"/>
        <v>0.94219476951256753</v>
      </c>
      <c r="I96" s="451">
        <f t="shared" si="33"/>
        <v>31.7</v>
      </c>
      <c r="J96" s="176">
        <f t="shared" si="34"/>
        <v>1.35</v>
      </c>
      <c r="K96" s="176">
        <f t="shared" si="35"/>
        <v>0.79411764705882348</v>
      </c>
      <c r="L96" s="176">
        <f t="shared" si="36"/>
        <v>0.74085365853658547</v>
      </c>
      <c r="M96" s="451">
        <f t="shared" si="43"/>
        <v>350</v>
      </c>
      <c r="N96" s="201">
        <f t="shared" si="37"/>
        <v>350</v>
      </c>
      <c r="O96" s="221">
        <f t="shared" si="38"/>
        <v>2.5128436232537177</v>
      </c>
      <c r="P96" s="177">
        <f t="shared" si="39"/>
        <v>1.3789995493465526</v>
      </c>
      <c r="Q96" s="177">
        <f t="shared" si="40"/>
        <v>0.60641178920791616</v>
      </c>
      <c r="R96" s="177">
        <f t="shared" si="41"/>
        <v>0.45</v>
      </c>
    </row>
    <row r="97" spans="3:18" x14ac:dyDescent="0.2">
      <c r="C97" s="174">
        <v>91</v>
      </c>
      <c r="D97" s="5">
        <f t="shared" si="42"/>
        <v>15.370000000000001</v>
      </c>
      <c r="E97" s="451">
        <f t="shared" si="29"/>
        <v>16.399999999999999</v>
      </c>
      <c r="F97" s="221">
        <f t="shared" si="30"/>
        <v>0.51621026125275415</v>
      </c>
      <c r="G97" s="176">
        <f t="shared" si="31"/>
        <v>14.638509915014165</v>
      </c>
      <c r="H97" s="221">
        <f t="shared" si="32"/>
        <v>0.94441999451704295</v>
      </c>
      <c r="I97" s="451">
        <f t="shared" si="33"/>
        <v>31.77</v>
      </c>
      <c r="J97" s="176">
        <f t="shared" si="34"/>
        <v>1.35</v>
      </c>
      <c r="K97" s="176">
        <f t="shared" si="35"/>
        <v>0.79050097592713076</v>
      </c>
      <c r="L97" s="176">
        <f t="shared" si="36"/>
        <v>0.74085365853658547</v>
      </c>
      <c r="M97" s="451">
        <f t="shared" si="43"/>
        <v>350</v>
      </c>
      <c r="N97" s="201">
        <f t="shared" si="37"/>
        <v>350</v>
      </c>
      <c r="O97" s="221">
        <f t="shared" si="38"/>
        <v>2.5187783223666131</v>
      </c>
      <c r="P97" s="177">
        <f t="shared" si="39"/>
        <v>1.3822563964207024</v>
      </c>
      <c r="Q97" s="177">
        <f t="shared" si="40"/>
        <v>0.60927955326998495</v>
      </c>
      <c r="R97" s="177">
        <f t="shared" si="41"/>
        <v>0.45</v>
      </c>
    </row>
    <row r="98" spans="3:18" x14ac:dyDescent="0.2">
      <c r="C98" s="174">
        <v>92</v>
      </c>
      <c r="D98" s="5">
        <f t="shared" si="42"/>
        <v>15.440000000000001</v>
      </c>
      <c r="E98" s="451">
        <f t="shared" si="29"/>
        <v>16.399999999999999</v>
      </c>
      <c r="F98" s="221">
        <f t="shared" si="30"/>
        <v>0.51507537688442206</v>
      </c>
      <c r="G98" s="176">
        <f t="shared" si="31"/>
        <v>14.672849246231154</v>
      </c>
      <c r="H98" s="221">
        <f t="shared" si="32"/>
        <v>0.94663543524071958</v>
      </c>
      <c r="I98" s="451">
        <f t="shared" si="33"/>
        <v>31.84</v>
      </c>
      <c r="J98" s="176">
        <f t="shared" si="34"/>
        <v>1.35</v>
      </c>
      <c r="K98" s="176">
        <f t="shared" si="35"/>
        <v>0.78691709844559576</v>
      </c>
      <c r="L98" s="176">
        <f t="shared" si="36"/>
        <v>0.74085365853658547</v>
      </c>
      <c r="M98" s="451">
        <f t="shared" si="43"/>
        <v>350</v>
      </c>
      <c r="N98" s="201">
        <f t="shared" si="37"/>
        <v>350</v>
      </c>
      <c r="O98" s="221">
        <f t="shared" si="38"/>
        <v>2.5246869266969769</v>
      </c>
      <c r="P98" s="177">
        <f t="shared" si="39"/>
        <v>1.3854989231873658</v>
      </c>
      <c r="Q98" s="177">
        <f t="shared" si="40"/>
        <v>0.61214142820667927</v>
      </c>
      <c r="R98" s="177">
        <f t="shared" si="41"/>
        <v>0.45</v>
      </c>
    </row>
    <row r="99" spans="3:18" x14ac:dyDescent="0.2">
      <c r="C99" s="174">
        <v>93</v>
      </c>
      <c r="D99" s="5">
        <f t="shared" si="42"/>
        <v>15.510000000000002</v>
      </c>
      <c r="E99" s="451">
        <f t="shared" si="29"/>
        <v>16.399999999999999</v>
      </c>
      <c r="F99" s="221">
        <f t="shared" si="30"/>
        <v>0.51394547163898463</v>
      </c>
      <c r="G99" s="176">
        <f t="shared" si="31"/>
        <v>14.707037919147602</v>
      </c>
      <c r="H99" s="221">
        <f t="shared" si="32"/>
        <v>0.94884115607403885</v>
      </c>
      <c r="I99" s="451">
        <f t="shared" si="33"/>
        <v>31.91</v>
      </c>
      <c r="J99" s="176">
        <f t="shared" si="34"/>
        <v>1.35</v>
      </c>
      <c r="K99" s="176">
        <f t="shared" si="35"/>
        <v>0.78336557059961309</v>
      </c>
      <c r="L99" s="176">
        <f t="shared" si="36"/>
        <v>0.74085365853658547</v>
      </c>
      <c r="M99" s="451">
        <f t="shared" si="43"/>
        <v>350</v>
      </c>
      <c r="N99" s="201">
        <f t="shared" si="37"/>
        <v>350</v>
      </c>
      <c r="O99" s="221">
        <f t="shared" si="38"/>
        <v>2.5305696079748103</v>
      </c>
      <c r="P99" s="177">
        <f t="shared" si="39"/>
        <v>1.3887272238886157</v>
      </c>
      <c r="Q99" s="177">
        <f t="shared" si="40"/>
        <v>0.61499740864445807</v>
      </c>
      <c r="R99" s="177">
        <f t="shared" si="41"/>
        <v>0.45</v>
      </c>
    </row>
    <row r="100" spans="3:18" x14ac:dyDescent="0.2">
      <c r="C100" s="174">
        <v>94</v>
      </c>
      <c r="D100" s="5">
        <f t="shared" si="42"/>
        <v>15.58</v>
      </c>
      <c r="E100" s="451">
        <f t="shared" si="29"/>
        <v>16.399999999999999</v>
      </c>
      <c r="F100" s="221">
        <f t="shared" si="30"/>
        <v>0.51282051282051277</v>
      </c>
      <c r="G100" s="176">
        <f t="shared" si="31"/>
        <v>14.741076923076921</v>
      </c>
      <c r="H100" s="221">
        <f t="shared" si="32"/>
        <v>0.95103722084367237</v>
      </c>
      <c r="I100" s="451">
        <f t="shared" si="33"/>
        <v>31.979999999999997</v>
      </c>
      <c r="J100" s="176">
        <f t="shared" si="34"/>
        <v>1.35</v>
      </c>
      <c r="K100" s="176">
        <f t="shared" si="35"/>
        <v>0.77984595635430043</v>
      </c>
      <c r="L100" s="176">
        <f t="shared" si="36"/>
        <v>0.74085365853658547</v>
      </c>
      <c r="M100" s="451">
        <f t="shared" si="43"/>
        <v>350</v>
      </c>
      <c r="N100" s="201">
        <f t="shared" si="37"/>
        <v>350</v>
      </c>
      <c r="O100" s="221">
        <f t="shared" si="38"/>
        <v>2.5364265364265366</v>
      </c>
      <c r="P100" s="177">
        <f t="shared" si="39"/>
        <v>1.3919413919413923</v>
      </c>
      <c r="Q100" s="177">
        <f t="shared" si="40"/>
        <v>0.61784748964236169</v>
      </c>
      <c r="R100" s="177">
        <f t="shared" si="41"/>
        <v>0.45</v>
      </c>
    </row>
    <row r="101" spans="3:18" x14ac:dyDescent="0.2">
      <c r="C101" s="174">
        <v>95</v>
      </c>
      <c r="D101" s="5">
        <f t="shared" si="42"/>
        <v>15.649999999999999</v>
      </c>
      <c r="E101" s="451">
        <f t="shared" si="29"/>
        <v>16.399999999999999</v>
      </c>
      <c r="F101" s="221">
        <f t="shared" si="30"/>
        <v>0.51170046801872071</v>
      </c>
      <c r="G101" s="176">
        <f t="shared" si="31"/>
        <v>14.774967238689547</v>
      </c>
      <c r="H101" s="221">
        <f t="shared" si="32"/>
        <v>0.95322369281868047</v>
      </c>
      <c r="I101" s="451">
        <f t="shared" si="33"/>
        <v>32.049999999999997</v>
      </c>
      <c r="J101" s="176">
        <f t="shared" si="34"/>
        <v>1.35</v>
      </c>
      <c r="K101" s="176">
        <f t="shared" si="35"/>
        <v>0.77635782747603843</v>
      </c>
      <c r="L101" s="176">
        <f t="shared" si="36"/>
        <v>0.74085365853658547</v>
      </c>
      <c r="M101" s="451">
        <f t="shared" si="43"/>
        <v>350</v>
      </c>
      <c r="N101" s="201">
        <f t="shared" si="37"/>
        <v>350</v>
      </c>
      <c r="O101" s="221">
        <f t="shared" si="38"/>
        <v>2.5422578807914218</v>
      </c>
      <c r="P101" s="177">
        <f t="shared" si="39"/>
        <v>1.395141519946512</v>
      </c>
      <c r="Q101" s="177">
        <f t="shared" si="40"/>
        <v>0.62069166668308495</v>
      </c>
      <c r="R101" s="177">
        <f t="shared" si="41"/>
        <v>0.45</v>
      </c>
    </row>
    <row r="102" spans="3:18" x14ac:dyDescent="0.2">
      <c r="C102" s="174">
        <v>96</v>
      </c>
      <c r="D102" s="5">
        <f t="shared" si="42"/>
        <v>15.719999999999999</v>
      </c>
      <c r="E102" s="451">
        <f t="shared" si="29"/>
        <v>16.399999999999999</v>
      </c>
      <c r="F102" s="221">
        <f t="shared" si="30"/>
        <v>0.51058530510585309</v>
      </c>
      <c r="G102" s="176">
        <f t="shared" ref="G102:G106" si="44">F102*D102*Isw_max*0.5*Efficiency</f>
        <v>14.808709838107101</v>
      </c>
      <c r="H102" s="221">
        <f t="shared" ref="H102:H106" si="45">G102/Vout</f>
        <v>0.95540063471658709</v>
      </c>
      <c r="I102" s="451">
        <f t="shared" si="33"/>
        <v>32.119999999999997</v>
      </c>
      <c r="J102" s="176">
        <f t="shared" si="34"/>
        <v>1.35</v>
      </c>
      <c r="K102" s="176">
        <f t="shared" ref="K102:K106" si="46">L*J102/D102*1000000</f>
        <v>0.77290076335877878</v>
      </c>
      <c r="L102" s="176">
        <f t="shared" si="36"/>
        <v>0.74085365853658547</v>
      </c>
      <c r="M102" s="451">
        <f t="shared" si="43"/>
        <v>350</v>
      </c>
      <c r="N102" s="201">
        <f t="shared" si="37"/>
        <v>350</v>
      </c>
      <c r="O102" s="221">
        <f t="shared" ref="O102:O106" si="47">1/((N102*1000*L)*(1/D102+1/E102))</f>
        <v>2.5480638083377807</v>
      </c>
      <c r="P102" s="177">
        <f t="shared" ref="P102:P106" si="48">L*O102/E102*1000000</f>
        <v>1.3983276996975629</v>
      </c>
      <c r="Q102" s="177">
        <f t="shared" ref="Q102:Q106" si="49">0.5*P102*O102*Nps*N102/1000</f>
        <v>0.62352993566422665</v>
      </c>
      <c r="R102" s="177">
        <f t="shared" si="41"/>
        <v>0.45</v>
      </c>
    </row>
    <row r="103" spans="3:18" x14ac:dyDescent="0.2">
      <c r="C103" s="174">
        <v>97</v>
      </c>
      <c r="D103" s="5">
        <f t="shared" ref="D103:D106" si="50">C103/100*(VIN_max-VIN_min)+VIN_min</f>
        <v>15.79</v>
      </c>
      <c r="E103" s="451">
        <f t="shared" si="29"/>
        <v>16.399999999999999</v>
      </c>
      <c r="F103" s="221">
        <f t="shared" si="30"/>
        <v>0.50947499223361292</v>
      </c>
      <c r="G103" s="176">
        <f t="shared" si="44"/>
        <v>14.842305684995338</v>
      </c>
      <c r="H103" s="221">
        <f t="shared" si="45"/>
        <v>0.9575681087093767</v>
      </c>
      <c r="I103" s="451">
        <f t="shared" si="33"/>
        <v>32.19</v>
      </c>
      <c r="J103" s="176">
        <f t="shared" si="34"/>
        <v>1.35</v>
      </c>
      <c r="K103" s="176">
        <f t="shared" si="46"/>
        <v>0.76947435085497162</v>
      </c>
      <c r="L103" s="176">
        <f t="shared" si="36"/>
        <v>0.74085365853658547</v>
      </c>
      <c r="M103" s="451">
        <f t="shared" si="43"/>
        <v>350</v>
      </c>
      <c r="N103" s="201">
        <f t="shared" si="37"/>
        <v>350</v>
      </c>
      <c r="O103" s="221">
        <f t="shared" si="47"/>
        <v>2.5538444848789679</v>
      </c>
      <c r="P103" s="177">
        <f t="shared" si="48"/>
        <v>1.4015000221896776</v>
      </c>
      <c r="Q103" s="177">
        <f t="shared" si="49"/>
        <v>0.62636229288970036</v>
      </c>
      <c r="R103" s="177">
        <f t="shared" si="41"/>
        <v>0.45</v>
      </c>
    </row>
    <row r="104" spans="3:18" x14ac:dyDescent="0.2">
      <c r="C104" s="174">
        <v>98</v>
      </c>
      <c r="D104" s="5">
        <f t="shared" si="50"/>
        <v>15.86</v>
      </c>
      <c r="E104" s="451">
        <f t="shared" si="29"/>
        <v>16.399999999999999</v>
      </c>
      <c r="F104" s="221">
        <f t="shared" si="30"/>
        <v>0.50836949783013019</v>
      </c>
      <c r="G104" s="176">
        <f t="shared" si="44"/>
        <v>14.875755734655922</v>
      </c>
      <c r="H104" s="221">
        <f t="shared" si="45"/>
        <v>0.95972617642941427</v>
      </c>
      <c r="I104" s="451">
        <f t="shared" si="33"/>
        <v>32.26</v>
      </c>
      <c r="J104" s="176">
        <f t="shared" si="34"/>
        <v>1.35</v>
      </c>
      <c r="K104" s="176">
        <f t="shared" si="46"/>
        <v>0.76607818411097106</v>
      </c>
      <c r="L104" s="176">
        <f t="shared" si="36"/>
        <v>0.74085365853658547</v>
      </c>
      <c r="M104" s="451">
        <f t="shared" si="43"/>
        <v>350</v>
      </c>
      <c r="N104" s="201">
        <f t="shared" si="37"/>
        <v>350</v>
      </c>
      <c r="O104" s="221">
        <f t="shared" si="47"/>
        <v>2.5596000747891634</v>
      </c>
      <c r="P104" s="177">
        <f t="shared" si="48"/>
        <v>1.4046585776281997</v>
      </c>
      <c r="Q104" s="177">
        <f t="shared" si="49"/>
        <v>0.62918873506131645</v>
      </c>
      <c r="R104" s="177">
        <f t="shared" si="41"/>
        <v>0.45</v>
      </c>
    </row>
    <row r="105" spans="3:18" x14ac:dyDescent="0.2">
      <c r="C105" s="174">
        <v>99</v>
      </c>
      <c r="D105" s="5">
        <f t="shared" si="50"/>
        <v>15.93</v>
      </c>
      <c r="E105" s="451">
        <f t="shared" si="29"/>
        <v>16.399999999999999</v>
      </c>
      <c r="F105" s="221">
        <f t="shared" si="30"/>
        <v>0.50726879059696872</v>
      </c>
      <c r="G105" s="176">
        <f t="shared" si="44"/>
        <v>14.909060934116917</v>
      </c>
      <c r="H105" s="221">
        <f t="shared" si="45"/>
        <v>0.961874898975285</v>
      </c>
      <c r="I105" s="451">
        <f t="shared" si="33"/>
        <v>32.33</v>
      </c>
      <c r="J105" s="176">
        <f t="shared" si="34"/>
        <v>1.35</v>
      </c>
      <c r="K105" s="176">
        <f t="shared" si="46"/>
        <v>0.76271186440677974</v>
      </c>
      <c r="L105" s="176">
        <f t="shared" si="36"/>
        <v>0.74085365853658547</v>
      </c>
      <c r="M105" s="451">
        <f t="shared" si="43"/>
        <v>350</v>
      </c>
      <c r="N105" s="201">
        <f t="shared" si="37"/>
        <v>350</v>
      </c>
      <c r="O105" s="221">
        <f t="shared" si="47"/>
        <v>2.5653307410189563</v>
      </c>
      <c r="P105" s="177">
        <f t="shared" si="48"/>
        <v>1.4078034554372323</v>
      </c>
      <c r="Q105" s="177">
        <f t="shared" si="49"/>
        <v>0.63200925927052243</v>
      </c>
      <c r="R105" s="177">
        <f t="shared" si="41"/>
        <v>0.45</v>
      </c>
    </row>
    <row r="106" spans="3:18" x14ac:dyDescent="0.2">
      <c r="C106" s="174">
        <v>100</v>
      </c>
      <c r="D106" s="5">
        <f t="shared" si="50"/>
        <v>16</v>
      </c>
      <c r="E106" s="451">
        <f t="shared" si="29"/>
        <v>16.399999999999999</v>
      </c>
      <c r="F106" s="221">
        <f t="shared" si="30"/>
        <v>0.50617283950617287</v>
      </c>
      <c r="G106" s="176">
        <f t="shared" si="44"/>
        <v>14.942222222222222</v>
      </c>
      <c r="H106" s="221">
        <f t="shared" si="45"/>
        <v>0.96401433691756266</v>
      </c>
      <c r="I106" s="451">
        <f t="shared" si="33"/>
        <v>32.4</v>
      </c>
      <c r="J106" s="176">
        <f t="shared" si="34"/>
        <v>1.35</v>
      </c>
      <c r="K106" s="176">
        <f t="shared" si="46"/>
        <v>0.75937500000000002</v>
      </c>
      <c r="L106" s="176">
        <f t="shared" si="36"/>
        <v>0.74085365853658547</v>
      </c>
      <c r="M106" s="451">
        <f t="shared" si="43"/>
        <v>350</v>
      </c>
      <c r="N106" s="201">
        <f t="shared" si="37"/>
        <v>350</v>
      </c>
      <c r="O106" s="221">
        <f t="shared" si="47"/>
        <v>2.5710366451107194</v>
      </c>
      <c r="P106" s="177">
        <f t="shared" si="48"/>
        <v>1.4109347442680777</v>
      </c>
      <c r="Q106" s="177">
        <f t="shared" si="49"/>
        <v>0.63482386299030114</v>
      </c>
      <c r="R106" s="177">
        <f t="shared" si="41"/>
        <v>0.45</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33"/>
  <sheetViews>
    <sheetView showWhiteSpace="0" zoomScale="85" zoomScaleNormal="85" workbookViewId="0">
      <pane ySplit="5" topLeftCell="A6" activePane="bottomLeft" state="frozen"/>
      <selection pane="bottomLeft" activeCell="E31" sqref="E31"/>
    </sheetView>
  </sheetViews>
  <sheetFormatPr defaultColWidth="9.28515625" defaultRowHeight="12.75" x14ac:dyDescent="0.2"/>
  <cols>
    <col min="1" max="1" width="15.7109375" style="174" customWidth="1"/>
    <col min="2" max="2" width="11.5703125" style="174" customWidth="1"/>
    <col min="3" max="3" width="9.28515625" style="174"/>
    <col min="4" max="4" width="12.42578125" style="174" bestFit="1" customWidth="1"/>
    <col min="5" max="5" width="51.42578125" style="174" customWidth="1"/>
    <col min="6" max="6" width="13.42578125" style="174" customWidth="1"/>
    <col min="7" max="7" width="10" style="174" customWidth="1"/>
    <col min="8" max="8" width="6.7109375" style="174" customWidth="1"/>
    <col min="9" max="9" width="12.42578125" style="174" bestFit="1" customWidth="1"/>
    <col min="10" max="10" width="9.28515625" style="220" customWidth="1"/>
    <col min="11" max="11" width="8.7109375"/>
    <col min="13" max="13" width="10.7109375" customWidth="1"/>
    <col min="14" max="14" width="12" style="174" customWidth="1"/>
    <col min="15" max="15" width="12.7109375" style="220" customWidth="1"/>
    <col min="16" max="16" width="11.42578125" style="220" customWidth="1"/>
    <col min="17" max="17" width="12.42578125" style="220" customWidth="1"/>
    <col min="18" max="19" width="10.5703125" style="201" customWidth="1"/>
    <col min="20" max="20" width="10" style="201" customWidth="1"/>
    <col min="21" max="21" width="10.5703125" style="201" customWidth="1"/>
    <col min="22" max="22" width="8.42578125" style="220" customWidth="1"/>
    <col min="23" max="23" width="9.28515625" style="220" customWidth="1"/>
    <col min="24" max="24" width="9.42578125" style="174" customWidth="1"/>
    <col min="25" max="25" width="9.42578125" style="220" customWidth="1"/>
    <col min="26" max="26" width="8.28515625" style="221" customWidth="1"/>
    <col min="27" max="27" width="9.5703125" style="220" customWidth="1"/>
    <col min="28" max="28" width="9.42578125" style="220" bestFit="1" customWidth="1"/>
    <col min="29" max="29" width="8.5703125" style="220" customWidth="1"/>
    <col min="30" max="30" width="9.7109375" style="222" customWidth="1"/>
    <col min="31" max="31" width="9.28515625" style="222" customWidth="1"/>
    <col min="32" max="32" width="8.28515625" style="220" customWidth="1"/>
    <col min="33" max="33" width="10.28515625" style="220" customWidth="1"/>
    <col min="34" max="34" width="9.42578125" style="220" customWidth="1"/>
    <col min="35" max="35" width="8.7109375"/>
    <col min="36" max="36" width="9.7109375" style="220" customWidth="1"/>
    <col min="37" max="37" width="11.5703125" style="220" customWidth="1"/>
    <col min="38" max="38" width="10.28515625" style="220" customWidth="1"/>
    <col min="39" max="39" width="11.28515625" style="220" customWidth="1"/>
    <col min="40" max="40" width="9.28515625" style="220"/>
    <col min="41" max="41" width="10.28515625" style="220" customWidth="1"/>
    <col min="42" max="43" width="9.7109375" style="220" customWidth="1"/>
    <col min="44" max="45" width="10.28515625" style="220" customWidth="1"/>
    <col min="46" max="46" width="10.42578125" style="220" customWidth="1"/>
    <col min="47" max="47" width="11.28515625" style="220" customWidth="1"/>
    <col min="48" max="48" width="11.7109375" style="220" customWidth="1"/>
    <col min="49" max="49" width="10.42578125" style="220" customWidth="1"/>
    <col min="50" max="50" width="11.42578125" style="220" customWidth="1"/>
    <col min="51" max="51" width="10.28515625" style="220" customWidth="1"/>
    <col min="52" max="52" width="10" style="176" bestFit="1" customWidth="1"/>
    <col min="53" max="55" width="12.7109375" style="349" customWidth="1"/>
    <col min="56" max="56" width="14" style="349" customWidth="1"/>
    <col min="57" max="57" width="12.7109375" style="349" customWidth="1"/>
    <col min="58" max="58" width="10.42578125" style="349" customWidth="1"/>
    <col min="59" max="59" width="9" style="349" customWidth="1"/>
    <col min="60" max="60" width="8.7109375" style="349" customWidth="1"/>
    <col min="61" max="61" width="10.7109375" style="349" customWidth="1"/>
    <col min="62" max="62" width="11.28515625" style="349" customWidth="1"/>
    <col min="63" max="64" width="9.28515625" style="349"/>
    <col min="65" max="65" width="8.7109375" style="176" customWidth="1"/>
    <col min="66" max="66" width="9.28515625" style="221"/>
    <col min="67" max="67" width="12.5703125" style="174" customWidth="1"/>
    <col min="68" max="68" width="13.5703125" style="176" customWidth="1"/>
    <col min="69" max="69" width="12.7109375" style="201" customWidth="1"/>
    <col min="70" max="70" width="3.7109375" style="174" customWidth="1"/>
    <col min="71" max="71" width="12.42578125" style="174" bestFit="1" customWidth="1"/>
    <col min="72" max="72" width="3.5703125" style="174" customWidth="1"/>
    <col min="73" max="73" width="9.28515625" style="176"/>
    <col min="74" max="74" width="11.28515625" style="176" customWidth="1"/>
    <col min="75" max="75" width="9.28515625" style="176"/>
    <col min="76" max="76" width="4.7109375" style="174" customWidth="1"/>
    <col min="77" max="77" width="3.7109375" style="174" customWidth="1"/>
    <col min="78" max="78" width="12.42578125" style="174" customWidth="1"/>
    <col min="79" max="79" width="11.7109375" style="174" customWidth="1"/>
    <col min="80" max="80" width="11.5703125" style="174" customWidth="1"/>
    <col min="81" max="81" width="11.7109375" style="174" customWidth="1"/>
    <col min="82" max="82" width="9.28515625" style="174"/>
    <col min="83" max="83" width="9.28515625" style="174" customWidth="1"/>
    <col min="84" max="16384" width="9.28515625" style="174"/>
  </cols>
  <sheetData>
    <row r="1" spans="1:81" x14ac:dyDescent="0.2">
      <c r="A1" s="853" t="s">
        <v>515</v>
      </c>
      <c r="B1" s="853"/>
      <c r="C1" s="853"/>
      <c r="D1" s="853"/>
      <c r="E1" s="853"/>
    </row>
    <row r="2" spans="1:81" ht="15.75" x14ac:dyDescent="0.2">
      <c r="A2" s="853"/>
      <c r="B2" s="853"/>
      <c r="C2" s="853"/>
      <c r="D2" s="853"/>
      <c r="E2" s="853"/>
      <c r="G2" s="854" t="s">
        <v>22</v>
      </c>
      <c r="H2" s="854"/>
      <c r="AF2" s="220">
        <v>1.9257738538542499E-2</v>
      </c>
      <c r="AG2" s="220">
        <v>7.417209872377299E-4</v>
      </c>
      <c r="AH2" s="220">
        <v>1.2403450565440797E-3</v>
      </c>
      <c r="AI2">
        <v>20</v>
      </c>
      <c r="AJ2" s="220">
        <v>7.1523178807947021</v>
      </c>
      <c r="AK2" s="220">
        <v>0</v>
      </c>
      <c r="AL2" s="220">
        <v>8.3629954314142624E-4</v>
      </c>
      <c r="AM2" s="220">
        <v>1.5780205303791562E-3</v>
      </c>
      <c r="AO2" s="272" t="e">
        <f>Ifb</f>
        <v>#NAME?</v>
      </c>
    </row>
    <row r="3" spans="1:81" ht="13.5" thickBot="1" x14ac:dyDescent="0.25">
      <c r="A3" s="853"/>
      <c r="B3" s="853"/>
      <c r="C3" s="853"/>
      <c r="D3" s="853"/>
      <c r="E3" s="853"/>
    </row>
    <row r="4" spans="1:81" ht="13.5" thickBot="1" x14ac:dyDescent="0.25">
      <c r="A4" s="855"/>
      <c r="B4" s="855"/>
      <c r="C4" s="855"/>
      <c r="D4" s="855"/>
      <c r="E4" s="855"/>
      <c r="H4" s="224" t="s">
        <v>23</v>
      </c>
      <c r="I4" s="225"/>
      <c r="J4" s="226"/>
      <c r="K4" s="856" t="s">
        <v>189</v>
      </c>
      <c r="L4" s="849"/>
      <c r="M4" s="850"/>
      <c r="N4" s="850"/>
      <c r="O4" s="850"/>
      <c r="P4" s="849"/>
      <c r="Q4" s="849"/>
      <c r="R4" s="850"/>
      <c r="S4" s="850"/>
      <c r="T4" s="850"/>
      <c r="U4" s="852"/>
      <c r="V4" s="227" t="s">
        <v>190</v>
      </c>
      <c r="W4" s="228"/>
      <c r="X4" s="229"/>
      <c r="Y4" s="230"/>
      <c r="Z4" s="231" t="s">
        <v>14</v>
      </c>
      <c r="AA4" s="232"/>
      <c r="AB4" s="226"/>
      <c r="AC4" s="233" t="s">
        <v>28</v>
      </c>
      <c r="AD4" s="234"/>
      <c r="AE4" s="235"/>
      <c r="AF4" s="227" t="s">
        <v>191</v>
      </c>
      <c r="AG4" s="228"/>
      <c r="AH4" s="228"/>
      <c r="AI4" s="450"/>
      <c r="AJ4" s="450"/>
      <c r="AK4" s="228"/>
      <c r="AL4" s="228"/>
      <c r="AM4" s="226"/>
      <c r="AN4" s="236" t="s">
        <v>192</v>
      </c>
      <c r="AO4" s="237"/>
      <c r="AP4" s="237"/>
      <c r="AQ4" s="459" t="s">
        <v>193</v>
      </c>
      <c r="AR4" s="460"/>
      <c r="AS4" s="460"/>
      <c r="AT4" s="237"/>
      <c r="AU4" s="238"/>
      <c r="AV4" s="239"/>
      <c r="AW4" s="240"/>
      <c r="AX4" s="227" t="s">
        <v>179</v>
      </c>
      <c r="AY4" s="228"/>
      <c r="AZ4" s="229"/>
      <c r="BA4" s="350"/>
      <c r="BB4" s="350"/>
      <c r="BC4" s="350"/>
      <c r="BD4" s="350"/>
      <c r="BE4" s="350"/>
      <c r="BF4" s="350"/>
      <c r="BG4" s="350"/>
      <c r="BH4" s="350"/>
      <c r="BI4" s="350"/>
      <c r="BJ4" s="350"/>
      <c r="BK4" s="350"/>
      <c r="BL4" s="350"/>
      <c r="BM4" s="343"/>
      <c r="BN4" s="347"/>
      <c r="BO4" s="229"/>
      <c r="BP4" s="345"/>
      <c r="BQ4" s="456"/>
      <c r="BR4" s="457"/>
      <c r="BS4" s="457"/>
      <c r="BT4" s="457"/>
      <c r="BU4" s="457"/>
      <c r="BV4" s="457"/>
      <c r="BW4" s="457"/>
      <c r="BX4" s="457"/>
      <c r="BY4" s="457"/>
      <c r="BZ4" s="457"/>
      <c r="CA4" s="457"/>
      <c r="CB4" s="457"/>
      <c r="CC4" s="458"/>
    </row>
    <row r="5" spans="1:81" ht="78" customHeight="1" thickBot="1" x14ac:dyDescent="0.45">
      <c r="A5" s="241" t="s">
        <v>42</v>
      </c>
      <c r="B5" s="242"/>
      <c r="C5" s="242"/>
      <c r="D5" s="243"/>
      <c r="E5" s="244"/>
      <c r="F5" s="193"/>
      <c r="G5" s="193"/>
      <c r="H5" s="245" t="s">
        <v>25</v>
      </c>
      <c r="I5" s="246" t="s">
        <v>194</v>
      </c>
      <c r="J5" s="247" t="s">
        <v>195</v>
      </c>
      <c r="K5" s="255" t="s">
        <v>323</v>
      </c>
      <c r="L5" s="248" t="s">
        <v>48</v>
      </c>
      <c r="M5" s="248" t="s">
        <v>324</v>
      </c>
      <c r="N5" s="452" t="s">
        <v>196</v>
      </c>
      <c r="O5" s="535" t="s">
        <v>411</v>
      </c>
      <c r="P5" s="535" t="s">
        <v>412</v>
      </c>
      <c r="Q5" s="535" t="s">
        <v>413</v>
      </c>
      <c r="R5" s="249" t="s">
        <v>197</v>
      </c>
      <c r="S5" s="250" t="s">
        <v>198</v>
      </c>
      <c r="T5" s="250" t="s">
        <v>199</v>
      </c>
      <c r="U5" s="249" t="s">
        <v>328</v>
      </c>
      <c r="V5" s="251" t="s">
        <v>200</v>
      </c>
      <c r="W5" s="248" t="s">
        <v>201</v>
      </c>
      <c r="X5" s="246" t="s">
        <v>202</v>
      </c>
      <c r="Y5" s="247" t="s">
        <v>203</v>
      </c>
      <c r="Z5" s="252" t="s">
        <v>200</v>
      </c>
      <c r="AA5" s="248" t="s">
        <v>204</v>
      </c>
      <c r="AB5" s="247" t="s">
        <v>205</v>
      </c>
      <c r="AC5" s="251" t="s">
        <v>200</v>
      </c>
      <c r="AD5" s="253" t="s">
        <v>206</v>
      </c>
      <c r="AE5" s="254" t="s">
        <v>207</v>
      </c>
      <c r="AF5" s="251" t="s">
        <v>200</v>
      </c>
      <c r="AG5" s="248" t="s">
        <v>208</v>
      </c>
      <c r="AH5" s="248" t="s">
        <v>209</v>
      </c>
      <c r="AI5" s="248" t="s">
        <v>325</v>
      </c>
      <c r="AJ5" s="248" t="s">
        <v>322</v>
      </c>
      <c r="AK5" s="248" t="s">
        <v>210</v>
      </c>
      <c r="AL5" s="255" t="s">
        <v>211</v>
      </c>
      <c r="AM5" s="247" t="s">
        <v>212</v>
      </c>
      <c r="AN5" s="256" t="s">
        <v>200</v>
      </c>
      <c r="AO5" s="257" t="s">
        <v>213</v>
      </c>
      <c r="AP5" s="257" t="s">
        <v>214</v>
      </c>
      <c r="AQ5" s="257" t="s">
        <v>215</v>
      </c>
      <c r="AR5" s="257" t="s">
        <v>216</v>
      </c>
      <c r="AS5" s="258" t="s">
        <v>217</v>
      </c>
      <c r="AT5" s="256" t="s">
        <v>218</v>
      </c>
      <c r="AU5" s="256" t="s">
        <v>219</v>
      </c>
      <c r="AV5" s="256" t="s">
        <v>220</v>
      </c>
      <c r="AW5" s="259" t="s">
        <v>221</v>
      </c>
      <c r="AX5" s="251" t="s">
        <v>222</v>
      </c>
      <c r="AY5" s="248" t="s">
        <v>223</v>
      </c>
      <c r="AZ5" s="260" t="s">
        <v>224</v>
      </c>
      <c r="BA5" s="351" t="s">
        <v>225</v>
      </c>
      <c r="BB5" s="351" t="s">
        <v>226</v>
      </c>
      <c r="BC5" s="351" t="s">
        <v>227</v>
      </c>
      <c r="BD5" s="351" t="s">
        <v>228</v>
      </c>
      <c r="BE5" s="351" t="s">
        <v>229</v>
      </c>
      <c r="BF5" s="351" t="s">
        <v>230</v>
      </c>
      <c r="BG5" s="351" t="s">
        <v>231</v>
      </c>
      <c r="BH5" s="352" t="s">
        <v>232</v>
      </c>
      <c r="BI5" s="353" t="s">
        <v>233</v>
      </c>
      <c r="BJ5" s="354" t="s">
        <v>234</v>
      </c>
      <c r="BK5" s="355" t="s">
        <v>235</v>
      </c>
      <c r="BL5" s="354" t="s">
        <v>280</v>
      </c>
      <c r="BM5" s="344" t="s">
        <v>236</v>
      </c>
      <c r="BN5" s="348" t="s">
        <v>237</v>
      </c>
      <c r="BO5" s="261" t="s">
        <v>238</v>
      </c>
      <c r="BP5" s="346" t="s">
        <v>238</v>
      </c>
      <c r="BQ5" s="262" t="s">
        <v>239</v>
      </c>
      <c r="BR5" s="263"/>
      <c r="BS5" s="264" t="s">
        <v>240</v>
      </c>
      <c r="BT5" s="263"/>
      <c r="BU5" s="358" t="s">
        <v>282</v>
      </c>
      <c r="BV5" s="359" t="s">
        <v>283</v>
      </c>
      <c r="BW5" s="455" t="s">
        <v>281</v>
      </c>
      <c r="BX5" s="263"/>
      <c r="BY5" s="263"/>
      <c r="BZ5" s="454" t="s">
        <v>288</v>
      </c>
      <c r="CA5" s="259" t="s">
        <v>341</v>
      </c>
      <c r="CB5" s="359" t="s">
        <v>290</v>
      </c>
      <c r="CC5" s="455" t="s">
        <v>289</v>
      </c>
    </row>
    <row r="6" spans="1:81" x14ac:dyDescent="0.2">
      <c r="A6" s="265" t="s">
        <v>26</v>
      </c>
      <c r="B6" s="266" t="s">
        <v>43</v>
      </c>
      <c r="C6" s="267" t="s">
        <v>33</v>
      </c>
      <c r="D6" s="268" t="s">
        <v>90</v>
      </c>
      <c r="E6" s="269" t="s">
        <v>41</v>
      </c>
      <c r="F6" s="270"/>
      <c r="G6" s="270"/>
      <c r="H6" s="174">
        <v>0.1</v>
      </c>
      <c r="I6" s="465">
        <f t="shared" ref="I6:I37" si="0">IF(PLOT_TYPE=1, H6/100*Iout_max, min_I*EXP(H6*rr/100))</f>
        <v>4.2000000000000002E-4</v>
      </c>
      <c r="J6" s="221"/>
      <c r="K6" s="221"/>
      <c r="L6" s="221"/>
      <c r="M6" s="221"/>
      <c r="N6" s="271"/>
      <c r="O6" s="176"/>
      <c r="P6" s="221"/>
      <c r="Q6" s="451"/>
      <c r="S6" s="272"/>
      <c r="T6" s="272"/>
      <c r="U6" s="272"/>
      <c r="AJ6" s="451"/>
      <c r="AY6" s="220">
        <f>Vout*I6</f>
        <v>6.5100000000000002E-3</v>
      </c>
      <c r="AZ6" s="273">
        <f>AY6/(AY6+AX6)</f>
        <v>1</v>
      </c>
      <c r="BA6" s="349">
        <f t="shared" ref="BA6:BA9" si="1">AG6/($AY6+$AX6)</f>
        <v>0</v>
      </c>
      <c r="BB6" s="349">
        <f>AO6/($AY6+$AX6)</f>
        <v>0</v>
      </c>
      <c r="BC6" s="349" t="e">
        <f t="shared" ref="BC6:BC9" si="2">Vin*R6*(QgBot+Qg)/($AY6+$AX6)</f>
        <v>#NAME?</v>
      </c>
      <c r="BD6" s="349">
        <f t="shared" ref="BD6:BD9" si="3">AK6/($AY6+$AX6)</f>
        <v>0</v>
      </c>
      <c r="BE6" s="349">
        <f t="shared" ref="BE6:BE9" si="4">AQ6/(AX6+AY6)</f>
        <v>0</v>
      </c>
      <c r="BF6" s="349">
        <f t="shared" ref="BF6:BF9" si="5">AR6/($AY6+$AX6)</f>
        <v>0</v>
      </c>
      <c r="BG6" s="349">
        <f t="shared" ref="BG6:BG9" si="6">W6/($AY6+$AX6)</f>
        <v>0</v>
      </c>
      <c r="BH6" s="349">
        <f t="shared" ref="BH6:BH9" si="7">X6/($AY6+$AX6)</f>
        <v>0</v>
      </c>
      <c r="BI6" s="349">
        <f t="shared" ref="BI6:BI9" si="8">(AB6+AE6)/($AY6+$AX6)</f>
        <v>0</v>
      </c>
      <c r="BJ6" s="223">
        <f>AT6/($AY6+$AX6)</f>
        <v>0</v>
      </c>
      <c r="BK6" s="223">
        <f>AX6/($AY6+$AX6)</f>
        <v>0</v>
      </c>
      <c r="BL6" s="223">
        <f>AZ6</f>
        <v>1</v>
      </c>
      <c r="BM6" s="176">
        <f>100*BL6</f>
        <v>100</v>
      </c>
      <c r="BN6" s="221">
        <f xml:space="preserve"> CHOOSE(MODE, I6*1000,#REF!)</f>
        <v>0.42000000000000004</v>
      </c>
      <c r="BO6" s="176">
        <v>59.702372085750142</v>
      </c>
      <c r="BP6" s="223">
        <f>BO6/100</f>
        <v>0.59702372085750144</v>
      </c>
      <c r="BQ6" s="274">
        <f t="shared" ref="BQ6:BQ9" si="9">R6/1000</f>
        <v>0</v>
      </c>
      <c r="BR6" s="275"/>
      <c r="BS6" s="223">
        <f>AL6/($AY6+$AX6)</f>
        <v>0</v>
      </c>
      <c r="BT6" s="276"/>
      <c r="BU6" s="176">
        <f>1000*AW6</f>
        <v>0</v>
      </c>
      <c r="BV6" s="176">
        <f>1000*AU6</f>
        <v>0</v>
      </c>
      <c r="BW6" s="176">
        <f t="shared" ref="BW6:BW9" si="10">1000*Y6</f>
        <v>0</v>
      </c>
      <c r="BX6" s="223"/>
      <c r="BY6" s="223"/>
      <c r="BZ6" s="176">
        <f xml:space="preserve"> IF(MODE=1, BM6,#REF!)</f>
        <v>100</v>
      </c>
      <c r="CA6" s="176">
        <f xml:space="preserve"> IF(MODE=1, BU6,#REF!)</f>
        <v>0</v>
      </c>
      <c r="CB6" s="176">
        <f xml:space="preserve"> IF(MODE=1, BV6,#REF!)</f>
        <v>0</v>
      </c>
      <c r="CC6" s="176">
        <f xml:space="preserve"> IF(MODE=1, BW6,#REF!)</f>
        <v>0</v>
      </c>
    </row>
    <row r="7" spans="1:81" x14ac:dyDescent="0.2">
      <c r="A7" s="422"/>
      <c r="B7" s="266"/>
      <c r="C7" s="267"/>
      <c r="D7" s="268"/>
      <c r="E7" s="269"/>
      <c r="F7" s="270"/>
      <c r="G7" s="270"/>
      <c r="H7" s="174">
        <v>1</v>
      </c>
      <c r="I7" s="465">
        <f t="shared" si="0"/>
        <v>4.1999999999999997E-3</v>
      </c>
      <c r="J7" s="221"/>
      <c r="K7" s="221"/>
      <c r="L7" s="221"/>
      <c r="M7" s="221"/>
      <c r="N7" s="271"/>
      <c r="O7" s="176"/>
      <c r="P7" s="221"/>
      <c r="Q7" s="451"/>
      <c r="S7" s="272"/>
      <c r="T7" s="272"/>
      <c r="U7" s="272"/>
      <c r="AJ7" s="451"/>
      <c r="AY7" s="220">
        <f>Vout*I7</f>
        <v>6.5099999999999991E-2</v>
      </c>
      <c r="AZ7" s="273">
        <f>AY7/(AY7+AX7)</f>
        <v>1</v>
      </c>
      <c r="BA7" s="349">
        <f t="shared" si="1"/>
        <v>0</v>
      </c>
      <c r="BB7" s="349">
        <f>AO7/($AY7+$AX7)</f>
        <v>0</v>
      </c>
      <c r="BC7" s="349" t="e">
        <f t="shared" si="2"/>
        <v>#NAME?</v>
      </c>
      <c r="BD7" s="349">
        <f t="shared" ref="BD7" si="11">AK7/($AY7+$AX7)</f>
        <v>0</v>
      </c>
      <c r="BE7" s="349">
        <f t="shared" ref="BE7" si="12">AQ7/(AX7+AY7)</f>
        <v>0</v>
      </c>
      <c r="BF7" s="349">
        <f t="shared" ref="BF7" si="13">AR7/($AY7+$AX7)</f>
        <v>0</v>
      </c>
      <c r="BG7" s="349">
        <f t="shared" si="6"/>
        <v>0</v>
      </c>
      <c r="BH7" s="349">
        <f t="shared" si="7"/>
        <v>0</v>
      </c>
      <c r="BI7" s="349">
        <f t="shared" si="8"/>
        <v>0</v>
      </c>
      <c r="BJ7" s="223">
        <f>AT7/($AY7+$AX7)</f>
        <v>0</v>
      </c>
      <c r="BK7" s="223">
        <f t="shared" ref="BK7:BK9" si="14">AX7/($AY7+$AX7)</f>
        <v>0</v>
      </c>
      <c r="BL7" s="223">
        <f>AZ7</f>
        <v>1</v>
      </c>
      <c r="BM7" s="176">
        <f>100*BL7</f>
        <v>100</v>
      </c>
      <c r="BN7" s="221">
        <f xml:space="preserve"> CHOOSE(MODE, I7*1000,#REF!)</f>
        <v>4.2</v>
      </c>
      <c r="BO7" s="176">
        <v>83.682599061581868</v>
      </c>
      <c r="BP7" s="223">
        <f t="shared" ref="BP7:BP9" si="15">BO7/100</f>
        <v>0.83682599061581864</v>
      </c>
      <c r="BQ7" s="274">
        <f t="shared" si="9"/>
        <v>0</v>
      </c>
      <c r="BR7" s="275"/>
      <c r="BS7" s="223">
        <f>AL7/($AY7+$AX7)</f>
        <v>0</v>
      </c>
      <c r="BT7" s="276"/>
      <c r="BU7" s="176">
        <f>1000*AW7</f>
        <v>0</v>
      </c>
      <c r="BV7" s="176">
        <f>1000*AU7</f>
        <v>0</v>
      </c>
      <c r="BW7" s="176">
        <f t="shared" si="10"/>
        <v>0</v>
      </c>
      <c r="BX7" s="223"/>
      <c r="BY7" s="223"/>
      <c r="BZ7" s="176">
        <f xml:space="preserve"> IF(MODE=1, BM7,#REF!)</f>
        <v>100</v>
      </c>
      <c r="CA7" s="176">
        <f xml:space="preserve"> IF(MODE=1, BU7,#REF!)</f>
        <v>0</v>
      </c>
      <c r="CB7" s="176">
        <f xml:space="preserve"> IF(MODE=1, BV7,#REF!)</f>
        <v>0</v>
      </c>
      <c r="CC7" s="176">
        <f xml:space="preserve"> IF(MODE=1, BW7,#REF!)</f>
        <v>0</v>
      </c>
    </row>
    <row r="8" spans="1:81" x14ac:dyDescent="0.2">
      <c r="A8" s="277" t="s">
        <v>3</v>
      </c>
      <c r="B8" s="278">
        <f>Vin</f>
        <v>12</v>
      </c>
      <c r="C8" s="279" t="s">
        <v>0</v>
      </c>
      <c r="D8" s="198">
        <f>B8</f>
        <v>12</v>
      </c>
      <c r="E8" s="192" t="s">
        <v>3</v>
      </c>
      <c r="F8" s="270"/>
      <c r="G8" s="270"/>
      <c r="H8" s="174">
        <v>2</v>
      </c>
      <c r="I8" s="465">
        <f t="shared" si="0"/>
        <v>8.3999999999999995E-3</v>
      </c>
      <c r="J8" s="221"/>
      <c r="K8" s="221"/>
      <c r="L8" s="221"/>
      <c r="M8" s="221"/>
      <c r="N8" s="271"/>
      <c r="O8" s="176"/>
      <c r="P8" s="221"/>
      <c r="Q8" s="451"/>
      <c r="S8" s="272"/>
      <c r="T8" s="272"/>
      <c r="U8" s="272"/>
      <c r="AJ8" s="451"/>
      <c r="AY8" s="220">
        <f>Vout*I8</f>
        <v>0.13019999999999998</v>
      </c>
      <c r="AZ8" s="273">
        <f>AY8/(AY8+AX8)</f>
        <v>1</v>
      </c>
      <c r="BA8" s="349">
        <f t="shared" si="1"/>
        <v>0</v>
      </c>
      <c r="BB8" s="349">
        <f t="shared" ref="BB8:BB9" si="16">AO8/($AY8+$AX8)</f>
        <v>0</v>
      </c>
      <c r="BC8" s="349" t="e">
        <f t="shared" si="2"/>
        <v>#NAME?</v>
      </c>
      <c r="BD8" s="349">
        <f t="shared" si="3"/>
        <v>0</v>
      </c>
      <c r="BE8" s="349">
        <f t="shared" si="4"/>
        <v>0</v>
      </c>
      <c r="BF8" s="349">
        <f t="shared" si="5"/>
        <v>0</v>
      </c>
      <c r="BG8" s="349">
        <f t="shared" si="6"/>
        <v>0</v>
      </c>
      <c r="BH8" s="349">
        <f t="shared" si="7"/>
        <v>0</v>
      </c>
      <c r="BI8" s="349">
        <f t="shared" si="8"/>
        <v>0</v>
      </c>
      <c r="BJ8" s="223">
        <f t="shared" ref="BJ8:BJ9" si="17">AT8/($AY8+$AX8)</f>
        <v>0</v>
      </c>
      <c r="BK8" s="223">
        <f t="shared" si="14"/>
        <v>0</v>
      </c>
      <c r="BL8" s="223">
        <f t="shared" ref="BL8:BL9" si="18">AZ8</f>
        <v>1</v>
      </c>
      <c r="BM8" s="176">
        <f t="shared" ref="BM8:BM9" si="19">100*BL8</f>
        <v>100</v>
      </c>
      <c r="BN8" s="221">
        <f xml:space="preserve"> CHOOSE(MODE, I8*1000,#REF!)</f>
        <v>8.4</v>
      </c>
      <c r="BO8" s="176">
        <v>85.591306536493136</v>
      </c>
      <c r="BP8" s="223">
        <f t="shared" si="15"/>
        <v>0.85591306536493139</v>
      </c>
      <c r="BQ8" s="274">
        <f t="shared" si="9"/>
        <v>0</v>
      </c>
      <c r="BR8" s="275"/>
      <c r="BS8" s="223">
        <f t="shared" ref="BS8:BS9" si="20">AL8/($AY8+$AX8)</f>
        <v>0</v>
      </c>
      <c r="BT8" s="276"/>
      <c r="BU8" s="176">
        <f t="shared" ref="BU8:BU9" si="21">1000*AW8</f>
        <v>0</v>
      </c>
      <c r="BV8" s="176">
        <f t="shared" ref="BV8:BV9" si="22">1000*AU8</f>
        <v>0</v>
      </c>
      <c r="BW8" s="176">
        <f t="shared" si="10"/>
        <v>0</v>
      </c>
      <c r="BX8" s="223"/>
      <c r="BY8" s="223"/>
      <c r="BZ8" s="176">
        <f xml:space="preserve"> IF(MODE=1, BM8,#REF!)</f>
        <v>100</v>
      </c>
      <c r="CA8" s="176">
        <f xml:space="preserve"> IF(MODE=1, BU8,#REF!)</f>
        <v>0</v>
      </c>
      <c r="CB8" s="176">
        <f xml:space="preserve"> IF(MODE=1, BV8,#REF!)</f>
        <v>0</v>
      </c>
      <c r="CC8" s="176">
        <f xml:space="preserve"> IF(MODE=1, BW8,#REF!)</f>
        <v>0</v>
      </c>
    </row>
    <row r="9" spans="1:81" x14ac:dyDescent="0.2">
      <c r="A9" s="280" t="s">
        <v>4</v>
      </c>
      <c r="B9" s="278">
        <f>Vout</f>
        <v>15.5</v>
      </c>
      <c r="C9" s="279" t="s">
        <v>0</v>
      </c>
      <c r="D9" s="198">
        <f>B9</f>
        <v>15.5</v>
      </c>
      <c r="E9" s="192" t="s">
        <v>4</v>
      </c>
      <c r="F9" s="270"/>
      <c r="G9" s="270"/>
      <c r="H9" s="174">
        <v>3</v>
      </c>
      <c r="I9" s="465">
        <f t="shared" si="0"/>
        <v>1.2599999999999998E-2</v>
      </c>
      <c r="J9" s="221"/>
      <c r="K9" s="221"/>
      <c r="L9" s="221"/>
      <c r="M9" s="221"/>
      <c r="N9" s="271"/>
      <c r="O9" s="176"/>
      <c r="P9" s="221"/>
      <c r="Q9" s="451"/>
      <c r="S9" s="272"/>
      <c r="T9" s="272"/>
      <c r="U9" s="272"/>
      <c r="AJ9" s="451"/>
      <c r="AY9" s="220">
        <f>Vout*I9</f>
        <v>0.19529999999999997</v>
      </c>
      <c r="AZ9" s="273">
        <f t="shared" ref="AZ9" si="23">AY9/(AY9+AX9)</f>
        <v>1</v>
      </c>
      <c r="BA9" s="349">
        <f t="shared" si="1"/>
        <v>0</v>
      </c>
      <c r="BB9" s="349">
        <f t="shared" si="16"/>
        <v>0</v>
      </c>
      <c r="BC9" s="349" t="e">
        <f t="shared" si="2"/>
        <v>#NAME?</v>
      </c>
      <c r="BD9" s="349">
        <f t="shared" si="3"/>
        <v>0</v>
      </c>
      <c r="BE9" s="349">
        <f t="shared" si="4"/>
        <v>0</v>
      </c>
      <c r="BF9" s="349">
        <f t="shared" si="5"/>
        <v>0</v>
      </c>
      <c r="BG9" s="349">
        <f t="shared" si="6"/>
        <v>0</v>
      </c>
      <c r="BH9" s="349">
        <f t="shared" si="7"/>
        <v>0</v>
      </c>
      <c r="BI9" s="349">
        <f t="shared" si="8"/>
        <v>0</v>
      </c>
      <c r="BJ9" s="223">
        <f t="shared" si="17"/>
        <v>0</v>
      </c>
      <c r="BK9" s="223">
        <f t="shared" si="14"/>
        <v>0</v>
      </c>
      <c r="BL9" s="223">
        <f t="shared" si="18"/>
        <v>1</v>
      </c>
      <c r="BM9" s="176">
        <f t="shared" si="19"/>
        <v>100</v>
      </c>
      <c r="BN9" s="221">
        <f xml:space="preserve"> CHOOSE(MODE, I9*1000,#REF!)</f>
        <v>12.599999999999998</v>
      </c>
      <c r="BO9" s="176">
        <v>86.246143423411425</v>
      </c>
      <c r="BP9" s="223">
        <f t="shared" si="15"/>
        <v>0.86246143423411425</v>
      </c>
      <c r="BQ9" s="274">
        <f t="shared" si="9"/>
        <v>0</v>
      </c>
      <c r="BR9" s="275"/>
      <c r="BS9" s="223">
        <f t="shared" si="20"/>
        <v>0</v>
      </c>
      <c r="BT9" s="276"/>
      <c r="BU9" s="176">
        <f t="shared" si="21"/>
        <v>0</v>
      </c>
      <c r="BV9" s="176">
        <f t="shared" si="22"/>
        <v>0</v>
      </c>
      <c r="BW9" s="176">
        <f t="shared" si="10"/>
        <v>0</v>
      </c>
      <c r="BX9" s="223"/>
      <c r="BY9" s="223"/>
      <c r="BZ9" s="176">
        <f xml:space="preserve"> IF(MODE=1, BM9,#REF!)</f>
        <v>100</v>
      </c>
      <c r="CA9" s="176">
        <f xml:space="preserve"> IF(MODE=1, BU9,#REF!)</f>
        <v>0</v>
      </c>
      <c r="CB9" s="176">
        <f xml:space="preserve"> IF(MODE=1, BV9,#REF!)</f>
        <v>0</v>
      </c>
      <c r="CC9" s="176">
        <f xml:space="preserve"> IF(MODE=1, BW9,#REF!)</f>
        <v>0</v>
      </c>
    </row>
    <row r="10" spans="1:81" x14ac:dyDescent="0.2">
      <c r="A10" s="280" t="s">
        <v>5</v>
      </c>
      <c r="B10" s="278">
        <f>Iout</f>
        <v>0.42</v>
      </c>
      <c r="C10" s="279" t="s">
        <v>1</v>
      </c>
      <c r="D10" s="198">
        <f>B10</f>
        <v>0.42</v>
      </c>
      <c r="E10" s="281" t="s">
        <v>241</v>
      </c>
      <c r="F10" s="270"/>
      <c r="G10" s="270"/>
      <c r="H10" s="174">
        <v>4</v>
      </c>
      <c r="I10" s="465">
        <f t="shared" si="0"/>
        <v>1.6799999999999999E-2</v>
      </c>
      <c r="J10" s="221"/>
      <c r="K10" s="221"/>
      <c r="L10" s="221"/>
      <c r="M10" s="221"/>
      <c r="N10" s="271"/>
      <c r="O10" s="176"/>
      <c r="P10" s="221"/>
      <c r="Q10" s="451"/>
      <c r="S10" s="272"/>
      <c r="T10" s="272"/>
      <c r="U10" s="272"/>
      <c r="AJ10" s="451"/>
      <c r="AZ10" s="273"/>
      <c r="BJ10" s="223"/>
      <c r="BK10" s="223"/>
      <c r="BL10" s="223"/>
      <c r="BO10" s="176"/>
      <c r="BP10" s="223"/>
      <c r="BQ10" s="274"/>
      <c r="BR10" s="275"/>
      <c r="BS10" s="223"/>
      <c r="BT10" s="276"/>
      <c r="BX10" s="223"/>
      <c r="BY10" s="223"/>
      <c r="BZ10" s="176"/>
      <c r="CA10" s="176"/>
      <c r="CB10" s="176"/>
      <c r="CC10" s="176"/>
    </row>
    <row r="11" spans="1:81" x14ac:dyDescent="0.2">
      <c r="A11" s="280" t="s">
        <v>139</v>
      </c>
      <c r="B11" s="361">
        <f>Vout/(Fsw/1000)*100000/16</f>
        <v>133620.68965517241</v>
      </c>
      <c r="C11" s="282" t="s">
        <v>242</v>
      </c>
      <c r="D11" s="296">
        <f>B11*1000</f>
        <v>133620689.65517241</v>
      </c>
      <c r="E11" s="281"/>
      <c r="F11" s="270"/>
      <c r="G11" s="270"/>
      <c r="H11" s="174">
        <v>5</v>
      </c>
      <c r="I11" s="465">
        <f t="shared" si="0"/>
        <v>2.1000000000000001E-2</v>
      </c>
      <c r="J11" s="221"/>
      <c r="K11" s="221"/>
      <c r="L11" s="221"/>
      <c r="M11" s="221"/>
      <c r="N11" s="271"/>
      <c r="O11" s="176"/>
      <c r="P11" s="221"/>
      <c r="Q11" s="451"/>
      <c r="S11" s="272"/>
      <c r="T11" s="272"/>
      <c r="U11" s="272"/>
      <c r="AJ11" s="451"/>
      <c r="AZ11" s="273"/>
      <c r="BJ11" s="223"/>
      <c r="BK11" s="223"/>
      <c r="BL11" s="223"/>
      <c r="BO11" s="176"/>
      <c r="BP11" s="223"/>
      <c r="BQ11" s="274"/>
      <c r="BR11" s="275"/>
      <c r="BS11" s="223"/>
      <c r="BT11" s="276"/>
      <c r="BX11" s="223"/>
      <c r="BY11" s="223"/>
      <c r="BZ11" s="176"/>
      <c r="CA11" s="176"/>
      <c r="CB11" s="176"/>
      <c r="CC11" s="176"/>
    </row>
    <row r="12" spans="1:81" x14ac:dyDescent="0.2">
      <c r="A12" s="280" t="s">
        <v>243</v>
      </c>
      <c r="B12" s="278">
        <v>25</v>
      </c>
      <c r="C12" s="279" t="s">
        <v>102</v>
      </c>
      <c r="D12" s="198">
        <f>B12</f>
        <v>25</v>
      </c>
      <c r="E12" s="281" t="s">
        <v>244</v>
      </c>
      <c r="F12" s="270">
        <f>Turns_Ratio</f>
        <v>8</v>
      </c>
      <c r="H12" s="174">
        <v>6</v>
      </c>
      <c r="I12" s="465">
        <f t="shared" si="0"/>
        <v>2.5199999999999997E-2</v>
      </c>
      <c r="J12" s="221"/>
      <c r="K12" s="221"/>
      <c r="L12" s="221"/>
      <c r="M12" s="221"/>
      <c r="N12" s="271"/>
      <c r="O12" s="176"/>
      <c r="P12" s="221"/>
      <c r="Q12" s="451"/>
      <c r="S12" s="272"/>
      <c r="T12" s="272"/>
      <c r="U12" s="272"/>
      <c r="AJ12" s="451"/>
      <c r="AZ12" s="273"/>
      <c r="BJ12" s="223"/>
      <c r="BK12" s="223"/>
      <c r="BL12" s="223"/>
      <c r="BO12" s="176"/>
      <c r="BP12" s="223"/>
      <c r="BQ12" s="274"/>
      <c r="BR12" s="275"/>
      <c r="BS12" s="223"/>
      <c r="BT12" s="276"/>
      <c r="BX12" s="223"/>
      <c r="BY12" s="223"/>
      <c r="BZ12" s="176"/>
      <c r="CA12" s="176"/>
      <c r="CB12" s="176"/>
      <c r="CC12" s="176"/>
    </row>
    <row r="13" spans="1:81" x14ac:dyDescent="0.2">
      <c r="A13" s="283" t="s">
        <v>245</v>
      </c>
      <c r="B13" s="284">
        <v>5</v>
      </c>
      <c r="C13" s="279" t="s">
        <v>0</v>
      </c>
      <c r="D13" s="198">
        <f>B13</f>
        <v>5</v>
      </c>
      <c r="E13" s="281"/>
      <c r="F13" s="270"/>
      <c r="G13" s="270"/>
      <c r="H13" s="174">
        <v>7</v>
      </c>
      <c r="I13" s="465">
        <f t="shared" si="0"/>
        <v>2.9400000000000003E-2</v>
      </c>
      <c r="J13" s="221"/>
      <c r="K13" s="221"/>
      <c r="L13" s="221"/>
      <c r="M13" s="221"/>
      <c r="N13" s="271"/>
      <c r="O13" s="176"/>
      <c r="P13" s="221"/>
      <c r="Q13" s="451"/>
      <c r="S13" s="272"/>
      <c r="T13" s="272"/>
      <c r="U13" s="272"/>
      <c r="AJ13" s="451"/>
      <c r="AZ13" s="273"/>
      <c r="BJ13" s="223"/>
      <c r="BK13" s="223"/>
      <c r="BL13" s="223"/>
      <c r="BO13" s="176"/>
      <c r="BP13" s="223"/>
      <c r="BQ13" s="274"/>
      <c r="BR13" s="275"/>
      <c r="BS13" s="223"/>
      <c r="BT13" s="276"/>
      <c r="BX13" s="223"/>
      <c r="BY13" s="223"/>
      <c r="BZ13" s="176"/>
      <c r="CA13" s="176"/>
      <c r="CB13" s="176"/>
      <c r="CC13" s="176"/>
    </row>
    <row r="14" spans="1:81" x14ac:dyDescent="0.2">
      <c r="F14" s="270"/>
      <c r="G14" s="270"/>
      <c r="H14" s="174">
        <v>8</v>
      </c>
      <c r="I14" s="465">
        <f t="shared" si="0"/>
        <v>3.3599999999999998E-2</v>
      </c>
      <c r="J14" s="221"/>
      <c r="K14" s="221"/>
      <c r="L14" s="221"/>
      <c r="M14" s="221"/>
      <c r="N14" s="271"/>
      <c r="O14" s="176"/>
      <c r="P14" s="221"/>
      <c r="Q14" s="451"/>
      <c r="S14" s="272"/>
      <c r="T14" s="272"/>
      <c r="U14" s="272"/>
      <c r="AJ14" s="451"/>
      <c r="AZ14" s="273"/>
      <c r="BJ14" s="223"/>
      <c r="BK14" s="223"/>
      <c r="BL14" s="223"/>
      <c r="BO14" s="176"/>
      <c r="BP14" s="223"/>
      <c r="BQ14" s="274"/>
      <c r="BR14" s="275"/>
      <c r="BS14" s="223"/>
      <c r="BT14" s="276"/>
      <c r="BX14" s="223"/>
      <c r="BY14" s="223"/>
      <c r="BZ14" s="176"/>
      <c r="CA14" s="176"/>
      <c r="CB14" s="176"/>
      <c r="CC14" s="176"/>
    </row>
    <row r="15" spans="1:81" x14ac:dyDescent="0.2">
      <c r="A15" s="285" t="s">
        <v>34</v>
      </c>
      <c r="B15" s="243"/>
      <c r="C15" s="243"/>
      <c r="D15" s="243"/>
      <c r="E15" s="244"/>
      <c r="F15" s="270"/>
      <c r="G15" s="270"/>
      <c r="H15" s="174">
        <v>9</v>
      </c>
      <c r="I15" s="465">
        <f t="shared" si="0"/>
        <v>3.78E-2</v>
      </c>
      <c r="J15" s="221"/>
      <c r="K15" s="221"/>
      <c r="L15" s="221"/>
      <c r="M15" s="221"/>
      <c r="N15" s="271"/>
      <c r="O15" s="176"/>
      <c r="P15" s="221"/>
      <c r="Q15" s="451"/>
      <c r="S15" s="272"/>
      <c r="T15" s="272"/>
      <c r="U15" s="272"/>
      <c r="AJ15" s="451"/>
      <c r="AZ15" s="273"/>
      <c r="BJ15" s="223"/>
      <c r="BK15" s="223"/>
      <c r="BL15" s="223"/>
      <c r="BO15" s="176"/>
      <c r="BP15" s="223"/>
      <c r="BQ15" s="274"/>
      <c r="BR15" s="275"/>
      <c r="BS15" s="223"/>
      <c r="BT15" s="276"/>
      <c r="BX15" s="223"/>
      <c r="BY15" s="223"/>
      <c r="BZ15" s="176"/>
      <c r="CA15" s="176"/>
      <c r="CB15" s="176"/>
      <c r="CC15" s="176"/>
    </row>
    <row r="16" spans="1:81" x14ac:dyDescent="0.2">
      <c r="A16" s="286" t="s">
        <v>26</v>
      </c>
      <c r="B16" s="266" t="s">
        <v>6</v>
      </c>
      <c r="C16" s="287" t="s">
        <v>33</v>
      </c>
      <c r="D16" s="288" t="s">
        <v>90</v>
      </c>
      <c r="E16" s="269" t="s">
        <v>41</v>
      </c>
      <c r="F16" s="270"/>
      <c r="G16" s="270"/>
      <c r="H16" s="174">
        <v>10</v>
      </c>
      <c r="I16" s="465">
        <f t="shared" si="0"/>
        <v>4.2000000000000003E-2</v>
      </c>
      <c r="J16" s="221"/>
      <c r="K16" s="221"/>
      <c r="L16" s="221"/>
      <c r="M16" s="221"/>
      <c r="N16" s="271"/>
      <c r="O16" s="176"/>
      <c r="P16" s="221"/>
      <c r="Q16" s="451"/>
      <c r="S16" s="272"/>
      <c r="T16" s="272"/>
      <c r="U16" s="272"/>
      <c r="AJ16" s="451"/>
      <c r="AZ16" s="273"/>
      <c r="BJ16" s="223"/>
      <c r="BK16" s="223"/>
      <c r="BL16" s="223"/>
      <c r="BO16" s="176"/>
      <c r="BP16" s="223"/>
      <c r="BQ16" s="274"/>
      <c r="BR16" s="275"/>
      <c r="BS16" s="223"/>
      <c r="BT16" s="276"/>
      <c r="BX16" s="223"/>
      <c r="BY16" s="223"/>
      <c r="BZ16" s="176"/>
      <c r="CA16" s="176"/>
      <c r="CB16" s="176"/>
      <c r="CC16" s="176"/>
    </row>
    <row r="17" spans="1:81" x14ac:dyDescent="0.2">
      <c r="A17" s="289" t="s">
        <v>246</v>
      </c>
      <c r="B17" s="290">
        <f>Vout/Vin/Fsw*1000000</f>
        <v>1781.6091954022988</v>
      </c>
      <c r="C17" s="291" t="s">
        <v>247</v>
      </c>
      <c r="D17" s="292">
        <f>B17/1000000</f>
        <v>1.7816091954022989E-3</v>
      </c>
      <c r="E17" s="281" t="s">
        <v>248</v>
      </c>
      <c r="F17" s="270"/>
      <c r="G17" s="270"/>
      <c r="H17" s="174">
        <v>11</v>
      </c>
      <c r="I17" s="465">
        <f t="shared" si="0"/>
        <v>4.6199999999999998E-2</v>
      </c>
      <c r="J17" s="221"/>
      <c r="K17" s="221"/>
      <c r="L17" s="221"/>
      <c r="M17" s="221"/>
      <c r="N17" s="271"/>
      <c r="O17" s="176"/>
      <c r="P17" s="221"/>
      <c r="Q17" s="451"/>
      <c r="S17" s="272"/>
      <c r="T17" s="272"/>
      <c r="U17" s="272"/>
      <c r="AJ17" s="451"/>
      <c r="AZ17" s="273"/>
      <c r="BJ17" s="223"/>
      <c r="BK17" s="223"/>
      <c r="BL17" s="223"/>
      <c r="BO17" s="176"/>
      <c r="BP17" s="223"/>
      <c r="BQ17" s="274"/>
      <c r="BR17" s="275"/>
      <c r="BS17" s="223"/>
      <c r="BT17" s="276"/>
      <c r="BX17" s="223"/>
      <c r="BY17" s="223"/>
      <c r="BZ17" s="176"/>
      <c r="CA17" s="176"/>
      <c r="CB17" s="176"/>
      <c r="CC17" s="176"/>
    </row>
    <row r="18" spans="1:81" x14ac:dyDescent="0.2">
      <c r="A18" s="289" t="s">
        <v>249</v>
      </c>
      <c r="B18" s="290"/>
      <c r="C18" s="291" t="s">
        <v>247</v>
      </c>
      <c r="D18" s="293">
        <f>B18/1000000</f>
        <v>0</v>
      </c>
      <c r="E18" s="279" t="s">
        <v>250</v>
      </c>
      <c r="F18" s="270"/>
      <c r="G18" s="270"/>
      <c r="H18" s="174">
        <v>12</v>
      </c>
      <c r="I18" s="465">
        <f t="shared" si="0"/>
        <v>5.0399999999999993E-2</v>
      </c>
      <c r="J18" s="221"/>
      <c r="K18" s="221"/>
      <c r="L18" s="221"/>
      <c r="M18" s="221"/>
      <c r="N18" s="271"/>
      <c r="O18" s="176"/>
      <c r="P18" s="221"/>
      <c r="Q18" s="451"/>
      <c r="S18" s="272"/>
      <c r="T18" s="272"/>
      <c r="U18" s="272"/>
      <c r="AJ18" s="451"/>
      <c r="AZ18" s="273"/>
      <c r="BJ18" s="223"/>
      <c r="BK18" s="223"/>
      <c r="BL18" s="223"/>
      <c r="BO18" s="176"/>
      <c r="BP18" s="223"/>
      <c r="BQ18" s="274"/>
      <c r="BR18" s="275"/>
      <c r="BS18" s="223"/>
      <c r="BT18" s="276"/>
      <c r="BX18" s="223"/>
      <c r="BY18" s="223"/>
      <c r="BZ18" s="176"/>
      <c r="CA18" s="176"/>
      <c r="CB18" s="176"/>
      <c r="CC18" s="176"/>
    </row>
    <row r="19" spans="1:81" ht="15.75" x14ac:dyDescent="0.3">
      <c r="A19" s="283" t="s">
        <v>251</v>
      </c>
      <c r="B19" s="294">
        <f>(Vin-Vout-(Rdcr_pri+Rdson)*Iout)/L*OnTime*1000</f>
        <v>-705984.41890166025</v>
      </c>
      <c r="C19" s="281" t="s">
        <v>30</v>
      </c>
      <c r="D19" s="194">
        <f>B19/1000</f>
        <v>-705.98441890166021</v>
      </c>
      <c r="E19" s="279" t="s">
        <v>252</v>
      </c>
      <c r="F19" s="270"/>
      <c r="G19" s="270"/>
      <c r="H19" s="174">
        <v>13</v>
      </c>
      <c r="I19" s="465">
        <f t="shared" si="0"/>
        <v>5.4600000000000003E-2</v>
      </c>
      <c r="J19" s="221"/>
      <c r="K19" s="221"/>
      <c r="L19" s="221"/>
      <c r="M19" s="221"/>
      <c r="N19" s="271"/>
      <c r="O19" s="176"/>
      <c r="P19" s="221"/>
      <c r="Q19" s="451"/>
      <c r="S19" s="272"/>
      <c r="T19" s="272"/>
      <c r="U19" s="272"/>
      <c r="AJ19" s="451"/>
      <c r="AZ19" s="273"/>
      <c r="BJ19" s="223"/>
      <c r="BK19" s="223"/>
      <c r="BL19" s="223"/>
      <c r="BO19" s="176"/>
      <c r="BP19" s="223"/>
      <c r="BQ19" s="274"/>
      <c r="BR19" s="275"/>
      <c r="BS19" s="223"/>
      <c r="BT19" s="276"/>
      <c r="BX19" s="223"/>
      <c r="BY19" s="223"/>
      <c r="BZ19" s="176"/>
      <c r="CA19" s="176"/>
      <c r="CB19" s="176"/>
      <c r="CC19" s="176"/>
    </row>
    <row r="20" spans="1:81" x14ac:dyDescent="0.2">
      <c r="A20" s="289" t="s">
        <v>253</v>
      </c>
      <c r="B20" s="295">
        <f>'LM(2)518x PSR flyback converter'!E13</f>
        <v>0.72499999999999998</v>
      </c>
      <c r="C20" s="279" t="s">
        <v>2</v>
      </c>
      <c r="D20" s="296">
        <f>B20*1000</f>
        <v>725</v>
      </c>
      <c r="E20" s="281" t="s">
        <v>254</v>
      </c>
      <c r="F20" s="363"/>
      <c r="G20" s="270"/>
      <c r="H20" s="174">
        <v>14</v>
      </c>
      <c r="I20" s="465">
        <f t="shared" si="0"/>
        <v>5.8800000000000005E-2</v>
      </c>
      <c r="J20" s="221"/>
      <c r="K20" s="221"/>
      <c r="L20" s="221"/>
      <c r="M20" s="221"/>
      <c r="N20" s="271"/>
      <c r="O20" s="176"/>
      <c r="P20" s="221"/>
      <c r="Q20" s="451"/>
      <c r="S20" s="272"/>
      <c r="T20" s="272"/>
      <c r="U20" s="272"/>
      <c r="AJ20" s="451"/>
      <c r="AZ20" s="273"/>
      <c r="BJ20" s="223"/>
      <c r="BK20" s="223"/>
      <c r="BL20" s="223"/>
      <c r="BO20" s="176"/>
      <c r="BP20" s="223"/>
      <c r="BQ20" s="274"/>
      <c r="BR20" s="275"/>
      <c r="BS20" s="223"/>
      <c r="BT20" s="276"/>
      <c r="BX20" s="223"/>
      <c r="BY20" s="223"/>
      <c r="BZ20" s="176"/>
      <c r="CA20" s="176"/>
      <c r="CB20" s="176"/>
      <c r="CC20" s="176"/>
    </row>
    <row r="21" spans="1:81" x14ac:dyDescent="0.2">
      <c r="A21" s="289" t="s">
        <v>417</v>
      </c>
      <c r="B21" s="294">
        <v>350</v>
      </c>
      <c r="C21" s="281" t="s">
        <v>2</v>
      </c>
      <c r="D21" s="296">
        <f>B21*1000</f>
        <v>350000</v>
      </c>
      <c r="E21" s="281" t="s">
        <v>418</v>
      </c>
      <c r="F21" s="270"/>
      <c r="G21" s="270"/>
      <c r="H21" s="174">
        <v>15</v>
      </c>
      <c r="I21" s="465">
        <f t="shared" si="0"/>
        <v>6.3E-2</v>
      </c>
      <c r="J21" s="221"/>
      <c r="K21" s="221"/>
      <c r="L21" s="221"/>
      <c r="M21" s="221"/>
      <c r="N21" s="271"/>
      <c r="O21" s="176"/>
      <c r="P21" s="221"/>
      <c r="Q21" s="451"/>
      <c r="S21" s="272"/>
      <c r="T21" s="272"/>
      <c r="U21" s="272"/>
      <c r="AJ21" s="451"/>
      <c r="AZ21" s="273"/>
      <c r="BJ21" s="223"/>
      <c r="BK21" s="223"/>
      <c r="BL21" s="223"/>
      <c r="BO21" s="176"/>
      <c r="BP21" s="223"/>
      <c r="BQ21" s="274"/>
      <c r="BR21" s="275"/>
      <c r="BS21" s="223"/>
      <c r="BT21" s="276"/>
      <c r="BX21" s="223"/>
      <c r="BY21" s="223"/>
      <c r="BZ21" s="176"/>
      <c r="CA21" s="176"/>
      <c r="CB21" s="176"/>
      <c r="CC21" s="176"/>
    </row>
    <row r="22" spans="1:81" x14ac:dyDescent="0.2">
      <c r="A22" s="297" t="s">
        <v>38</v>
      </c>
      <c r="B22" s="298">
        <v>10</v>
      </c>
      <c r="C22" s="279" t="s">
        <v>32</v>
      </c>
      <c r="D22" s="299">
        <f>B22/1000000000</f>
        <v>1E-8</v>
      </c>
      <c r="E22" s="192" t="s">
        <v>255</v>
      </c>
      <c r="F22" s="270"/>
      <c r="G22" s="270"/>
      <c r="H22" s="174">
        <v>16</v>
      </c>
      <c r="I22" s="465">
        <f t="shared" si="0"/>
        <v>6.7199999999999996E-2</v>
      </c>
      <c r="J22" s="221"/>
      <c r="K22" s="221"/>
      <c r="L22" s="221"/>
      <c r="M22" s="221"/>
      <c r="N22" s="271"/>
      <c r="O22" s="176"/>
      <c r="P22" s="221"/>
      <c r="Q22" s="451"/>
      <c r="S22" s="272"/>
      <c r="T22" s="272"/>
      <c r="U22" s="272"/>
      <c r="AJ22" s="451"/>
      <c r="AZ22" s="273"/>
      <c r="BJ22" s="223"/>
      <c r="BK22" s="223"/>
      <c r="BL22" s="223"/>
      <c r="BO22" s="176"/>
      <c r="BP22" s="223"/>
      <c r="BQ22" s="274"/>
      <c r="BR22" s="275"/>
      <c r="BS22" s="223"/>
      <c r="BT22" s="276"/>
      <c r="BX22" s="223"/>
      <c r="BY22" s="223"/>
      <c r="BZ22" s="176"/>
      <c r="CA22" s="176"/>
      <c r="CB22" s="176"/>
      <c r="CC22" s="176"/>
    </row>
    <row r="23" spans="1:81" x14ac:dyDescent="0.2">
      <c r="A23" s="297" t="s">
        <v>39</v>
      </c>
      <c r="B23" s="298">
        <v>10</v>
      </c>
      <c r="C23" s="279" t="s">
        <v>32</v>
      </c>
      <c r="D23" s="299">
        <f>B23/1000000000</f>
        <v>1E-8</v>
      </c>
      <c r="E23" s="192" t="s">
        <v>256</v>
      </c>
      <c r="F23" s="270"/>
      <c r="G23" s="270"/>
      <c r="H23" s="174">
        <v>17</v>
      </c>
      <c r="I23" s="465">
        <f t="shared" si="0"/>
        <v>7.1400000000000005E-2</v>
      </c>
      <c r="J23" s="221"/>
      <c r="K23" s="221"/>
      <c r="L23" s="221"/>
      <c r="M23" s="221"/>
      <c r="N23" s="271"/>
      <c r="O23" s="176"/>
      <c r="P23" s="221"/>
      <c r="Q23" s="451"/>
      <c r="S23" s="272"/>
      <c r="T23" s="272"/>
      <c r="U23" s="272"/>
      <c r="AJ23" s="451"/>
      <c r="AZ23" s="273"/>
      <c r="BJ23" s="223"/>
      <c r="BK23" s="223"/>
      <c r="BL23" s="223"/>
      <c r="BO23" s="176"/>
      <c r="BP23" s="223"/>
      <c r="BQ23" s="274"/>
      <c r="BR23" s="275"/>
      <c r="BS23" s="223"/>
      <c r="BT23" s="276"/>
      <c r="BX23" s="223"/>
      <c r="BY23" s="223"/>
      <c r="BZ23" s="176"/>
      <c r="CA23" s="176"/>
      <c r="CB23" s="176"/>
      <c r="CC23" s="176"/>
    </row>
    <row r="24" spans="1:81" x14ac:dyDescent="0.2">
      <c r="A24" s="244"/>
      <c r="B24" s="244"/>
      <c r="C24" s="244"/>
      <c r="D24" s="244"/>
      <c r="E24" s="244"/>
      <c r="F24" s="270"/>
      <c r="G24" s="270"/>
      <c r="H24" s="174">
        <v>18</v>
      </c>
      <c r="I24" s="465">
        <f t="shared" si="0"/>
        <v>7.5600000000000001E-2</v>
      </c>
      <c r="J24" s="221"/>
      <c r="K24" s="221"/>
      <c r="L24" s="221"/>
      <c r="M24" s="221"/>
      <c r="N24" s="271"/>
      <c r="O24" s="176"/>
      <c r="P24" s="221"/>
      <c r="Q24" s="451"/>
      <c r="S24" s="272"/>
      <c r="T24" s="272"/>
      <c r="U24" s="272"/>
      <c r="AJ24" s="451"/>
      <c r="AZ24" s="273"/>
      <c r="BJ24" s="223"/>
      <c r="BK24" s="223"/>
      <c r="BL24" s="223"/>
      <c r="BO24" s="176"/>
      <c r="BP24" s="223"/>
      <c r="BQ24" s="274"/>
      <c r="BR24" s="275"/>
      <c r="BS24" s="223"/>
      <c r="BT24" s="276"/>
      <c r="BX24" s="223"/>
      <c r="BY24" s="223"/>
      <c r="BZ24" s="176"/>
      <c r="CA24" s="176"/>
      <c r="CB24" s="176"/>
      <c r="CC24" s="176"/>
    </row>
    <row r="25" spans="1:81" x14ac:dyDescent="0.2">
      <c r="A25" s="286" t="s">
        <v>29</v>
      </c>
      <c r="B25" s="267" t="s">
        <v>43</v>
      </c>
      <c r="C25" s="287" t="s">
        <v>33</v>
      </c>
      <c r="D25" s="288" t="s">
        <v>90</v>
      </c>
      <c r="E25" s="269" t="s">
        <v>41</v>
      </c>
      <c r="F25" s="270"/>
      <c r="G25" s="270"/>
      <c r="H25" s="174">
        <v>19</v>
      </c>
      <c r="I25" s="465">
        <f t="shared" si="0"/>
        <v>7.9799999999999996E-2</v>
      </c>
      <c r="J25" s="221"/>
      <c r="K25" s="221"/>
      <c r="L25" s="221"/>
      <c r="M25" s="221"/>
      <c r="N25" s="271"/>
      <c r="O25" s="176"/>
      <c r="P25" s="221"/>
      <c r="Q25" s="451"/>
      <c r="S25" s="272"/>
      <c r="T25" s="272"/>
      <c r="U25" s="272"/>
      <c r="AJ25" s="451"/>
      <c r="AZ25" s="273"/>
      <c r="BJ25" s="223"/>
      <c r="BK25" s="223"/>
      <c r="BL25" s="223"/>
      <c r="BO25" s="176"/>
      <c r="BP25" s="223"/>
      <c r="BQ25" s="274"/>
      <c r="BR25" s="275"/>
      <c r="BS25" s="223"/>
      <c r="BT25" s="276"/>
      <c r="BX25" s="223"/>
      <c r="BY25" s="223"/>
      <c r="BZ25" s="176"/>
      <c r="CA25" s="176"/>
      <c r="CB25" s="176"/>
      <c r="CC25" s="176"/>
    </row>
    <row r="26" spans="1:81" ht="13.5" thickBot="1" x14ac:dyDescent="0.25">
      <c r="A26" s="300" t="s">
        <v>27</v>
      </c>
      <c r="B26" s="281">
        <f>'LM(2)518x PSR flyback converter'!L7</f>
        <v>9</v>
      </c>
      <c r="C26" s="291" t="s">
        <v>96</v>
      </c>
      <c r="D26" s="198">
        <f>B26/1000000</f>
        <v>9.0000000000000002E-6</v>
      </c>
      <c r="E26" s="281" t="s">
        <v>257</v>
      </c>
      <c r="F26" s="301"/>
      <c r="G26" s="270"/>
      <c r="H26" s="174">
        <v>20</v>
      </c>
      <c r="I26" s="465">
        <f t="shared" si="0"/>
        <v>8.4000000000000005E-2</v>
      </c>
      <c r="J26" s="221"/>
      <c r="K26" s="221"/>
      <c r="L26" s="221"/>
      <c r="M26" s="221"/>
      <c r="N26" s="271"/>
      <c r="O26" s="176"/>
      <c r="P26" s="221"/>
      <c r="Q26" s="451"/>
      <c r="S26" s="272"/>
      <c r="T26" s="272"/>
      <c r="U26" s="272"/>
      <c r="AJ26" s="451"/>
      <c r="AZ26" s="273"/>
      <c r="BJ26" s="223"/>
      <c r="BK26" s="223"/>
      <c r="BL26" s="223"/>
      <c r="BO26" s="176"/>
      <c r="BP26" s="223"/>
      <c r="BQ26" s="274"/>
      <c r="BR26" s="275"/>
      <c r="BS26" s="223"/>
      <c r="BT26" s="276"/>
      <c r="BX26" s="223"/>
      <c r="BY26" s="223"/>
      <c r="BZ26" s="176"/>
      <c r="CA26" s="176"/>
      <c r="CB26" s="176"/>
      <c r="CC26" s="176"/>
    </row>
    <row r="27" spans="1:81" ht="13.5" thickBot="1" x14ac:dyDescent="0.25">
      <c r="A27" s="302" t="s">
        <v>392</v>
      </c>
      <c r="B27" s="303">
        <f>'LM(2)518x PSR flyback converter'!L8</f>
        <v>48</v>
      </c>
      <c r="C27" s="304" t="s">
        <v>258</v>
      </c>
      <c r="D27" s="198">
        <f>B27/1000</f>
        <v>4.8000000000000001E-2</v>
      </c>
      <c r="E27" s="281" t="s">
        <v>487</v>
      </c>
      <c r="F27" s="270"/>
      <c r="G27" s="270"/>
      <c r="H27" s="174">
        <v>21</v>
      </c>
      <c r="I27" s="465">
        <f t="shared" si="0"/>
        <v>8.8199999999999987E-2</v>
      </c>
      <c r="J27" s="221"/>
      <c r="K27" s="221"/>
      <c r="L27" s="221"/>
      <c r="M27" s="221"/>
      <c r="N27" s="271"/>
      <c r="O27" s="176"/>
      <c r="P27" s="221"/>
      <c r="Q27" s="451"/>
      <c r="S27" s="272"/>
      <c r="T27" s="272"/>
      <c r="U27" s="272"/>
      <c r="AJ27" s="451"/>
      <c r="AZ27" s="273"/>
      <c r="BJ27" s="223"/>
      <c r="BK27" s="223"/>
      <c r="BL27" s="223"/>
      <c r="BO27" s="176"/>
      <c r="BP27" s="223"/>
      <c r="BQ27" s="274"/>
      <c r="BR27" s="275"/>
      <c r="BS27" s="223"/>
      <c r="BT27" s="276"/>
      <c r="BX27" s="223"/>
      <c r="BY27" s="223"/>
      <c r="BZ27" s="176"/>
      <c r="CA27" s="176"/>
      <c r="CB27" s="176"/>
      <c r="CC27" s="176"/>
    </row>
    <row r="28" spans="1:81" ht="13.5" thickBot="1" x14ac:dyDescent="0.25">
      <c r="A28" s="302" t="s">
        <v>455</v>
      </c>
      <c r="B28" s="303">
        <f>'LM(2)518x PSR flyback converter'!L9</f>
        <v>240</v>
      </c>
      <c r="C28" s="304" t="s">
        <v>258</v>
      </c>
      <c r="D28" s="198">
        <f>B28/1000</f>
        <v>0.24</v>
      </c>
      <c r="E28" s="281" t="s">
        <v>661</v>
      </c>
      <c r="F28" s="270"/>
      <c r="G28" s="270"/>
      <c r="H28" s="174">
        <v>22</v>
      </c>
      <c r="I28" s="465">
        <f t="shared" si="0"/>
        <v>9.2399999999999996E-2</v>
      </c>
      <c r="J28" s="221"/>
      <c r="K28" s="221"/>
      <c r="L28" s="221"/>
      <c r="M28" s="221"/>
      <c r="N28" s="271"/>
      <c r="O28" s="176"/>
      <c r="P28" s="221"/>
      <c r="Q28" s="451"/>
      <c r="S28" s="272"/>
      <c r="T28" s="272"/>
      <c r="U28" s="272"/>
      <c r="AJ28" s="451"/>
      <c r="AZ28" s="273"/>
      <c r="BJ28" s="223"/>
      <c r="BK28" s="223"/>
      <c r="BL28" s="223"/>
      <c r="BO28" s="176"/>
      <c r="BP28" s="223"/>
      <c r="BQ28" s="274"/>
      <c r="BR28" s="275"/>
      <c r="BS28" s="223"/>
      <c r="BT28" s="276"/>
      <c r="BX28" s="223"/>
      <c r="BY28" s="223"/>
      <c r="BZ28" s="176"/>
      <c r="CA28" s="176"/>
      <c r="CB28" s="176"/>
      <c r="CC28" s="176"/>
    </row>
    <row r="29" spans="1:81" ht="13.5" thickBot="1" x14ac:dyDescent="0.25">
      <c r="A29" s="305" t="s">
        <v>259</v>
      </c>
      <c r="B29" s="306">
        <v>0</v>
      </c>
      <c r="C29" s="304"/>
      <c r="D29" s="307">
        <f>B29</f>
        <v>0</v>
      </c>
      <c r="E29" s="308" t="s">
        <v>486</v>
      </c>
      <c r="F29" s="270"/>
      <c r="G29" s="270"/>
      <c r="H29" s="174">
        <v>23</v>
      </c>
      <c r="I29" s="465">
        <f t="shared" si="0"/>
        <v>9.6600000000000005E-2</v>
      </c>
      <c r="J29" s="221"/>
      <c r="K29" s="221"/>
      <c r="L29" s="221"/>
      <c r="M29" s="221"/>
      <c r="N29" s="271"/>
      <c r="O29" s="176"/>
      <c r="P29" s="221"/>
      <c r="Q29" s="451"/>
      <c r="S29" s="272"/>
      <c r="T29" s="272"/>
      <c r="U29" s="272"/>
      <c r="AJ29" s="451"/>
      <c r="AZ29" s="273"/>
      <c r="BJ29" s="223"/>
      <c r="BK29" s="223"/>
      <c r="BL29" s="223"/>
      <c r="BO29" s="176"/>
      <c r="BP29" s="223"/>
      <c r="BQ29" s="274"/>
      <c r="BR29" s="275"/>
      <c r="BS29" s="223"/>
      <c r="BT29" s="276"/>
      <c r="BX29" s="223"/>
      <c r="BY29" s="223"/>
      <c r="BZ29" s="176"/>
      <c r="CA29" s="176"/>
      <c r="CB29" s="176"/>
      <c r="CC29" s="176"/>
    </row>
    <row r="30" spans="1:81" ht="13.5" thickBot="1" x14ac:dyDescent="0.25">
      <c r="A30" s="309" t="s">
        <v>28</v>
      </c>
      <c r="B30" s="303">
        <f>'LM(2)518x PSR flyback converter'!E18</f>
        <v>10</v>
      </c>
      <c r="C30" s="310" t="s">
        <v>97</v>
      </c>
      <c r="D30" s="311">
        <f>B30/1000000</f>
        <v>1.0000000000000001E-5</v>
      </c>
      <c r="E30" s="312" t="s">
        <v>60</v>
      </c>
      <c r="F30" s="270"/>
      <c r="G30" s="270"/>
      <c r="H30" s="174">
        <v>24</v>
      </c>
      <c r="I30" s="465">
        <f t="shared" si="0"/>
        <v>0.10079999999999999</v>
      </c>
      <c r="J30" s="221"/>
      <c r="K30" s="221"/>
      <c r="L30" s="221"/>
      <c r="M30" s="221"/>
      <c r="N30" s="271"/>
      <c r="O30" s="176"/>
      <c r="P30" s="221"/>
      <c r="Q30" s="451"/>
      <c r="S30" s="272"/>
      <c r="T30" s="272"/>
      <c r="U30" s="272"/>
      <c r="AJ30" s="451"/>
      <c r="AZ30" s="273"/>
      <c r="BJ30" s="223"/>
      <c r="BK30" s="223"/>
      <c r="BL30" s="223"/>
      <c r="BO30" s="176"/>
      <c r="BP30" s="223"/>
      <c r="BQ30" s="274"/>
      <c r="BR30" s="275"/>
      <c r="BS30" s="223"/>
      <c r="BT30" s="276"/>
      <c r="BX30" s="223"/>
      <c r="BY30" s="223"/>
      <c r="BZ30" s="176"/>
      <c r="CA30" s="176"/>
      <c r="CB30" s="176"/>
      <c r="CC30" s="176"/>
    </row>
    <row r="31" spans="1:81" ht="13.5" thickBot="1" x14ac:dyDescent="0.25">
      <c r="A31" s="305" t="s">
        <v>260</v>
      </c>
      <c r="B31" s="303">
        <f>'LM(2)518x PSR flyback converter'!E19</f>
        <v>3</v>
      </c>
      <c r="C31" s="304" t="s">
        <v>258</v>
      </c>
      <c r="D31" s="198">
        <f>B31/1000</f>
        <v>3.0000000000000001E-3</v>
      </c>
      <c r="E31" s="281" t="s">
        <v>261</v>
      </c>
      <c r="F31" s="270"/>
      <c r="G31" s="270"/>
      <c r="H31" s="174">
        <v>25</v>
      </c>
      <c r="I31" s="465">
        <f t="shared" si="0"/>
        <v>0.105</v>
      </c>
      <c r="J31" s="221"/>
      <c r="K31" s="221"/>
      <c r="L31" s="221"/>
      <c r="M31" s="221"/>
      <c r="N31" s="271"/>
      <c r="O31" s="176"/>
      <c r="P31" s="221"/>
      <c r="Q31" s="451"/>
      <c r="S31" s="272"/>
      <c r="T31" s="272"/>
      <c r="U31" s="272"/>
      <c r="AJ31" s="451"/>
      <c r="AZ31" s="273"/>
      <c r="BJ31" s="223"/>
      <c r="BK31" s="223"/>
      <c r="BL31" s="223"/>
      <c r="BO31" s="176"/>
      <c r="BP31" s="223"/>
      <c r="BQ31" s="274"/>
      <c r="BR31" s="275"/>
      <c r="BS31" s="223"/>
      <c r="BT31" s="276"/>
      <c r="BX31" s="223"/>
      <c r="BY31" s="223"/>
      <c r="BZ31" s="176"/>
      <c r="CA31" s="176"/>
      <c r="CB31" s="176"/>
      <c r="CC31" s="176"/>
    </row>
    <row r="32" spans="1:81" ht="13.5" thickBot="1" x14ac:dyDescent="0.25">
      <c r="A32" s="300" t="s">
        <v>14</v>
      </c>
      <c r="B32" s="362">
        <f>'LM(2)518x PSR flyback converter'!E22</f>
        <v>22</v>
      </c>
      <c r="C32" s="291" t="s">
        <v>97</v>
      </c>
      <c r="D32" s="292">
        <f>B32/1000000</f>
        <v>2.1999999999999999E-5</v>
      </c>
      <c r="E32" s="281" t="s">
        <v>262</v>
      </c>
      <c r="F32" s="270"/>
      <c r="G32" s="270"/>
      <c r="H32" s="174">
        <v>26</v>
      </c>
      <c r="I32" s="465">
        <f t="shared" si="0"/>
        <v>0.10920000000000001</v>
      </c>
      <c r="J32" s="221"/>
      <c r="K32" s="221"/>
      <c r="L32" s="221"/>
      <c r="M32" s="221"/>
      <c r="N32" s="271"/>
      <c r="O32" s="176"/>
      <c r="P32" s="221"/>
      <c r="Q32" s="451"/>
      <c r="S32" s="272"/>
      <c r="T32" s="272"/>
      <c r="U32" s="272"/>
      <c r="AJ32" s="451"/>
      <c r="AZ32" s="273"/>
      <c r="BJ32" s="223"/>
      <c r="BK32" s="223"/>
      <c r="BL32" s="223"/>
      <c r="BO32" s="176"/>
      <c r="BP32" s="223"/>
      <c r="BQ32" s="274"/>
      <c r="BR32" s="275"/>
      <c r="BS32" s="223"/>
      <c r="BT32" s="276"/>
      <c r="BX32" s="223"/>
      <c r="BY32" s="223"/>
      <c r="BZ32" s="176"/>
      <c r="CA32" s="176"/>
      <c r="CB32" s="176"/>
      <c r="CC32" s="176"/>
    </row>
    <row r="33" spans="1:81" x14ac:dyDescent="0.2">
      <c r="A33" s="305" t="s">
        <v>263</v>
      </c>
      <c r="B33" s="362">
        <f>'LM(2)518x PSR flyback converter'!E23</f>
        <v>2</v>
      </c>
      <c r="C33" s="304" t="s">
        <v>258</v>
      </c>
      <c r="D33" s="198">
        <f>B33/1000</f>
        <v>2E-3</v>
      </c>
      <c r="E33" s="281" t="s">
        <v>264</v>
      </c>
      <c r="F33" s="270"/>
      <c r="G33" s="270"/>
      <c r="H33" s="174">
        <v>27</v>
      </c>
      <c r="I33" s="465">
        <f t="shared" si="0"/>
        <v>0.1134</v>
      </c>
      <c r="J33" s="221"/>
      <c r="K33" s="221"/>
      <c r="L33" s="221"/>
      <c r="M33" s="221"/>
      <c r="N33" s="271"/>
      <c r="O33" s="176"/>
      <c r="P33" s="221"/>
      <c r="Q33" s="451"/>
      <c r="S33" s="272"/>
      <c r="T33" s="272"/>
      <c r="U33" s="272"/>
      <c r="AJ33" s="451"/>
      <c r="AZ33" s="273"/>
      <c r="BJ33" s="223"/>
      <c r="BK33" s="223"/>
      <c r="BL33" s="223"/>
      <c r="BO33" s="176"/>
      <c r="BP33" s="223"/>
      <c r="BQ33" s="274"/>
      <c r="BR33" s="275"/>
      <c r="BS33" s="223"/>
      <c r="BT33" s="276"/>
      <c r="BX33" s="223"/>
      <c r="BY33" s="223"/>
      <c r="BZ33" s="176"/>
      <c r="CA33" s="176"/>
      <c r="CB33" s="176"/>
      <c r="CC33" s="176"/>
    </row>
    <row r="34" spans="1:81" x14ac:dyDescent="0.2">
      <c r="A34" s="313" t="s">
        <v>401</v>
      </c>
      <c r="B34" s="267"/>
      <c r="C34" s="313" t="s">
        <v>33</v>
      </c>
      <c r="D34" s="314" t="s">
        <v>90</v>
      </c>
      <c r="E34" s="315" t="s">
        <v>41</v>
      </c>
      <c r="F34" s="270"/>
      <c r="G34" s="270"/>
      <c r="H34" s="174">
        <v>28</v>
      </c>
      <c r="I34" s="465">
        <f t="shared" si="0"/>
        <v>0.11760000000000001</v>
      </c>
      <c r="J34" s="221"/>
      <c r="K34" s="221"/>
      <c r="L34" s="221"/>
      <c r="M34" s="221"/>
      <c r="N34" s="271"/>
      <c r="O34" s="176"/>
      <c r="P34" s="221"/>
      <c r="Q34" s="451"/>
      <c r="S34" s="272"/>
      <c r="T34" s="272"/>
      <c r="U34" s="272"/>
      <c r="AJ34" s="451"/>
      <c r="AZ34" s="273"/>
      <c r="BJ34" s="223"/>
      <c r="BK34" s="223"/>
      <c r="BL34" s="223"/>
      <c r="BO34" s="176"/>
      <c r="BP34" s="223"/>
      <c r="BQ34" s="274"/>
      <c r="BR34" s="275"/>
      <c r="BS34" s="223"/>
      <c r="BT34" s="276"/>
      <c r="BX34" s="223"/>
      <c r="BY34" s="223"/>
      <c r="BZ34" s="176"/>
      <c r="CA34" s="176"/>
      <c r="CB34" s="176"/>
      <c r="CC34" s="176"/>
    </row>
    <row r="35" spans="1:81" x14ac:dyDescent="0.2">
      <c r="A35" s="302" t="s">
        <v>406</v>
      </c>
      <c r="B35" s="316">
        <f>CHOOSE(VARIANT, 1.5, 0.75, 1.5, 2.5, 4.1)</f>
        <v>4.0999999999999996</v>
      </c>
      <c r="C35" s="291" t="s">
        <v>1</v>
      </c>
      <c r="D35" s="273">
        <f>B35</f>
        <v>4.0999999999999996</v>
      </c>
      <c r="E35" s="192" t="s">
        <v>405</v>
      </c>
      <c r="F35" s="270"/>
      <c r="G35" s="270"/>
      <c r="H35" s="174">
        <v>29</v>
      </c>
      <c r="I35" s="465">
        <f t="shared" si="0"/>
        <v>0.12179999999999999</v>
      </c>
      <c r="J35" s="221"/>
      <c r="K35" s="221"/>
      <c r="L35" s="221"/>
      <c r="M35" s="221"/>
      <c r="N35" s="271"/>
      <c r="O35" s="176"/>
      <c r="P35" s="221"/>
      <c r="Q35" s="451"/>
      <c r="S35" s="272"/>
      <c r="T35" s="272"/>
      <c r="U35" s="272"/>
      <c r="AJ35" s="451"/>
      <c r="AZ35" s="273"/>
      <c r="BJ35" s="223"/>
      <c r="BK35" s="223"/>
      <c r="BL35" s="223"/>
      <c r="BO35" s="176"/>
      <c r="BP35" s="223"/>
      <c r="BQ35" s="274"/>
      <c r="BR35" s="275"/>
      <c r="BS35" s="223"/>
      <c r="BT35" s="276"/>
      <c r="BX35" s="223"/>
      <c r="BY35" s="223"/>
      <c r="BZ35" s="176"/>
      <c r="CA35" s="176"/>
      <c r="CB35" s="176"/>
      <c r="CC35" s="176"/>
    </row>
    <row r="36" spans="1:81" x14ac:dyDescent="0.2">
      <c r="A36" s="302" t="s">
        <v>414</v>
      </c>
      <c r="B36" s="316">
        <f>B35/5</f>
        <v>0.82</v>
      </c>
      <c r="C36" s="291" t="s">
        <v>1</v>
      </c>
      <c r="D36" s="273">
        <f>B36</f>
        <v>0.82</v>
      </c>
      <c r="E36" s="192" t="s">
        <v>415</v>
      </c>
      <c r="F36" s="270"/>
      <c r="G36" s="270"/>
      <c r="H36" s="174">
        <v>30</v>
      </c>
      <c r="I36" s="465">
        <f t="shared" si="0"/>
        <v>0.126</v>
      </c>
      <c r="J36" s="221"/>
      <c r="K36" s="221"/>
      <c r="L36" s="221"/>
      <c r="M36" s="221"/>
      <c r="N36" s="271"/>
      <c r="O36" s="176"/>
      <c r="P36" s="221"/>
      <c r="Q36" s="451"/>
      <c r="S36" s="272"/>
      <c r="T36" s="272"/>
      <c r="U36" s="272"/>
      <c r="AJ36" s="451"/>
      <c r="AZ36" s="273"/>
      <c r="BJ36" s="223"/>
      <c r="BK36" s="223"/>
      <c r="BL36" s="223"/>
      <c r="BO36" s="176"/>
      <c r="BP36" s="223"/>
      <c r="BQ36" s="274"/>
      <c r="BR36" s="275"/>
      <c r="BS36" s="223"/>
      <c r="BT36" s="276"/>
      <c r="BX36" s="223"/>
      <c r="BY36" s="223"/>
      <c r="BZ36" s="176"/>
      <c r="CA36" s="176"/>
      <c r="CB36" s="176"/>
      <c r="CC36" s="176"/>
    </row>
    <row r="37" spans="1:81" ht="13.5" thickBot="1" x14ac:dyDescent="0.25">
      <c r="A37" s="302" t="s">
        <v>693</v>
      </c>
      <c r="B37" s="650">
        <v>30</v>
      </c>
      <c r="C37" s="174" t="s">
        <v>32</v>
      </c>
      <c r="D37" s="174">
        <f>B37*0.000000001</f>
        <v>3.0000000000000004E-8</v>
      </c>
      <c r="E37" s="174" t="s">
        <v>694</v>
      </c>
      <c r="F37" s="270"/>
      <c r="G37" s="270"/>
      <c r="H37" s="174">
        <v>31</v>
      </c>
      <c r="I37" s="465">
        <f t="shared" si="0"/>
        <v>0.13019999999999998</v>
      </c>
      <c r="J37" s="221"/>
      <c r="K37" s="221"/>
      <c r="L37" s="221"/>
      <c r="M37" s="221"/>
      <c r="N37" s="271"/>
      <c r="O37" s="176"/>
      <c r="P37" s="221"/>
      <c r="Q37" s="451"/>
      <c r="S37" s="272"/>
      <c r="T37" s="272"/>
      <c r="U37" s="272"/>
      <c r="AJ37" s="451"/>
      <c r="AZ37" s="273"/>
      <c r="BJ37" s="223"/>
      <c r="BK37" s="223"/>
      <c r="BL37" s="223"/>
      <c r="BO37" s="176"/>
      <c r="BP37" s="223"/>
      <c r="BQ37" s="274"/>
      <c r="BR37" s="275"/>
      <c r="BS37" s="223"/>
      <c r="BT37" s="276"/>
      <c r="BX37" s="223"/>
      <c r="BY37" s="223"/>
      <c r="BZ37" s="176"/>
      <c r="CA37" s="176"/>
      <c r="CB37" s="176"/>
      <c r="CC37" s="176"/>
    </row>
    <row r="38" spans="1:81" ht="13.5" thickBot="1" x14ac:dyDescent="0.25">
      <c r="A38" s="317" t="s">
        <v>47</v>
      </c>
      <c r="B38" s="536">
        <v>1</v>
      </c>
      <c r="C38" s="291"/>
      <c r="D38" s="273">
        <f>B38</f>
        <v>1</v>
      </c>
      <c r="E38" s="192" t="s">
        <v>416</v>
      </c>
      <c r="H38" s="174">
        <v>32</v>
      </c>
      <c r="I38" s="465">
        <f t="shared" ref="I38:I69" si="24">IF(PLOT_TYPE=1, H38/100*Iout_max, min_I*EXP(H38*rr/100))</f>
        <v>0.13439999999999999</v>
      </c>
      <c r="J38" s="221"/>
      <c r="K38" s="221"/>
      <c r="L38" s="221"/>
      <c r="M38" s="221"/>
      <c r="N38" s="271"/>
      <c r="O38" s="176"/>
      <c r="P38" s="221"/>
      <c r="Q38" s="451"/>
      <c r="S38" s="272"/>
      <c r="T38" s="272"/>
      <c r="U38" s="272"/>
      <c r="AJ38" s="451"/>
      <c r="AZ38" s="273"/>
      <c r="BJ38" s="223"/>
      <c r="BK38" s="223"/>
      <c r="BL38" s="223"/>
      <c r="BO38" s="176"/>
      <c r="BP38" s="223"/>
      <c r="BQ38" s="274"/>
      <c r="BR38" s="275"/>
      <c r="BS38" s="223"/>
      <c r="BT38" s="276"/>
      <c r="BX38" s="223"/>
      <c r="BY38" s="223"/>
      <c r="BZ38" s="176"/>
      <c r="CA38" s="176"/>
      <c r="CB38" s="176"/>
      <c r="CC38" s="176"/>
    </row>
    <row r="39" spans="1:81" x14ac:dyDescent="0.2">
      <c r="A39" s="302" t="s">
        <v>24</v>
      </c>
      <c r="B39" s="318">
        <v>290</v>
      </c>
      <c r="C39" s="291" t="s">
        <v>265</v>
      </c>
      <c r="D39" s="293">
        <f>B39/1000000</f>
        <v>2.9E-4</v>
      </c>
      <c r="E39" s="281" t="s">
        <v>488</v>
      </c>
      <c r="H39" s="174">
        <v>33</v>
      </c>
      <c r="I39" s="465">
        <f t="shared" si="24"/>
        <v>0.1386</v>
      </c>
      <c r="J39" s="221"/>
      <c r="K39" s="221"/>
      <c r="L39" s="221"/>
      <c r="M39" s="221"/>
      <c r="N39" s="271"/>
      <c r="O39" s="176"/>
      <c r="P39" s="221"/>
      <c r="Q39" s="451"/>
      <c r="S39" s="272"/>
      <c r="T39" s="272"/>
      <c r="U39" s="272"/>
      <c r="AJ39" s="451"/>
      <c r="AZ39" s="273"/>
      <c r="BJ39" s="223"/>
      <c r="BK39" s="223"/>
      <c r="BL39" s="223"/>
      <c r="BO39" s="176"/>
      <c r="BP39" s="223"/>
      <c r="BQ39" s="274"/>
      <c r="BR39" s="275"/>
      <c r="BS39" s="223"/>
      <c r="BT39" s="276"/>
      <c r="BX39" s="223"/>
      <c r="BY39" s="223"/>
      <c r="BZ39" s="176"/>
      <c r="CA39" s="176"/>
      <c r="CB39" s="176"/>
      <c r="CC39" s="176"/>
    </row>
    <row r="40" spans="1:81" ht="13.5" thickBot="1" x14ac:dyDescent="0.25">
      <c r="A40" s="313" t="s">
        <v>398</v>
      </c>
      <c r="B40" s="319"/>
      <c r="C40" s="313" t="s">
        <v>33</v>
      </c>
      <c r="D40" s="314" t="s">
        <v>90</v>
      </c>
      <c r="E40" s="320" t="s">
        <v>41</v>
      </c>
      <c r="H40" s="174">
        <v>34</v>
      </c>
      <c r="I40" s="465">
        <f t="shared" si="24"/>
        <v>0.14280000000000001</v>
      </c>
      <c r="J40" s="221"/>
      <c r="K40" s="221"/>
      <c r="L40" s="221"/>
      <c r="M40" s="221"/>
      <c r="N40" s="271"/>
      <c r="O40" s="176"/>
      <c r="P40" s="221"/>
      <c r="Q40" s="451"/>
      <c r="S40" s="272"/>
      <c r="T40" s="272"/>
      <c r="U40" s="272"/>
      <c r="AJ40" s="451"/>
      <c r="AZ40" s="273"/>
      <c r="BJ40" s="223"/>
      <c r="BK40" s="223"/>
      <c r="BL40" s="223"/>
      <c r="BO40" s="176"/>
      <c r="BP40" s="223"/>
      <c r="BQ40" s="274"/>
      <c r="BR40" s="275"/>
      <c r="BS40" s="223"/>
      <c r="BT40" s="276"/>
      <c r="BX40" s="223"/>
      <c r="BY40" s="223"/>
      <c r="BZ40" s="176"/>
      <c r="CA40" s="176"/>
      <c r="CB40" s="176"/>
      <c r="CC40" s="176"/>
    </row>
    <row r="41" spans="1:81" x14ac:dyDescent="0.2">
      <c r="A41" s="321" t="s">
        <v>399</v>
      </c>
      <c r="B41" s="322">
        <f>CHOOSE(VARIANT, 350, 350, 350, 110, 110)</f>
        <v>110</v>
      </c>
      <c r="C41" s="282" t="s">
        <v>258</v>
      </c>
      <c r="D41" s="175">
        <f>B41/1000</f>
        <v>0.11</v>
      </c>
      <c r="E41" s="281" t="s">
        <v>403</v>
      </c>
      <c r="H41" s="174">
        <v>35</v>
      </c>
      <c r="I41" s="465">
        <f t="shared" si="24"/>
        <v>0.14699999999999999</v>
      </c>
      <c r="J41" s="221"/>
      <c r="K41" s="221"/>
      <c r="L41" s="221"/>
      <c r="M41" s="221"/>
      <c r="N41" s="271"/>
      <c r="O41" s="176"/>
      <c r="P41" s="221"/>
      <c r="Q41" s="451"/>
      <c r="S41" s="272"/>
      <c r="T41" s="272"/>
      <c r="U41" s="272"/>
      <c r="AJ41" s="451"/>
      <c r="AZ41" s="273"/>
      <c r="BJ41" s="223"/>
      <c r="BK41" s="223"/>
      <c r="BL41" s="223"/>
      <c r="BO41" s="176"/>
      <c r="BP41" s="223"/>
      <c r="BQ41" s="274"/>
      <c r="BR41" s="275"/>
      <c r="BS41" s="223"/>
      <c r="BT41" s="276"/>
      <c r="BX41" s="223"/>
      <c r="BY41" s="223"/>
      <c r="BZ41" s="176"/>
      <c r="CA41" s="176"/>
      <c r="CB41" s="176"/>
      <c r="CC41" s="176"/>
    </row>
    <row r="42" spans="1:81" ht="13.5" thickBot="1" x14ac:dyDescent="0.25">
      <c r="A42" s="174" t="s">
        <v>687</v>
      </c>
      <c r="B42" s="174">
        <v>4500</v>
      </c>
      <c r="C42" s="645" t="s">
        <v>688</v>
      </c>
      <c r="D42" s="175">
        <f>B42/1000000</f>
        <v>4.4999999999999997E-3</v>
      </c>
      <c r="E42" s="646" t="s">
        <v>689</v>
      </c>
      <c r="H42" s="174">
        <v>36</v>
      </c>
      <c r="I42" s="465">
        <f t="shared" si="24"/>
        <v>0.1512</v>
      </c>
      <c r="J42" s="221"/>
      <c r="K42" s="221"/>
      <c r="L42" s="221"/>
      <c r="M42" s="221"/>
      <c r="N42" s="271"/>
      <c r="O42" s="176"/>
      <c r="P42" s="221"/>
      <c r="Q42" s="451"/>
      <c r="S42" s="272"/>
      <c r="T42" s="272"/>
      <c r="U42" s="272"/>
      <c r="AJ42" s="451"/>
      <c r="AZ42" s="273"/>
      <c r="BJ42" s="223"/>
      <c r="BK42" s="223"/>
      <c r="BL42" s="223"/>
      <c r="BO42" s="176"/>
      <c r="BP42" s="223"/>
      <c r="BQ42" s="274"/>
      <c r="BR42" s="275"/>
      <c r="BS42" s="223"/>
      <c r="BT42" s="276"/>
      <c r="BX42" s="223"/>
      <c r="BY42" s="223"/>
      <c r="BZ42" s="176"/>
      <c r="CA42" s="176"/>
      <c r="CB42" s="176"/>
      <c r="CC42" s="176"/>
    </row>
    <row r="43" spans="1:81" ht="13.5" thickBot="1" x14ac:dyDescent="0.25">
      <c r="A43" s="302" t="s">
        <v>266</v>
      </c>
      <c r="B43" s="323"/>
      <c r="C43" s="324" t="s">
        <v>267</v>
      </c>
      <c r="D43" s="175"/>
      <c r="E43" s="281" t="s">
        <v>266</v>
      </c>
      <c r="H43" s="174">
        <v>37</v>
      </c>
      <c r="I43" s="465">
        <f t="shared" si="24"/>
        <v>0.15539999999999998</v>
      </c>
      <c r="J43" s="221"/>
      <c r="K43" s="221"/>
      <c r="L43" s="221"/>
      <c r="M43" s="221"/>
      <c r="N43" s="271"/>
      <c r="O43" s="176"/>
      <c r="P43" s="221"/>
      <c r="Q43" s="451"/>
      <c r="S43" s="272"/>
      <c r="T43" s="272"/>
      <c r="U43" s="272"/>
      <c r="AJ43" s="451"/>
      <c r="AZ43" s="273"/>
      <c r="BJ43" s="223"/>
      <c r="BK43" s="223"/>
      <c r="BL43" s="223"/>
      <c r="BO43" s="176"/>
      <c r="BP43" s="223"/>
      <c r="BQ43" s="274"/>
      <c r="BR43" s="275"/>
      <c r="BS43" s="223"/>
      <c r="BT43" s="276"/>
      <c r="BX43" s="223"/>
      <c r="BY43" s="223"/>
      <c r="BZ43" s="176"/>
      <c r="CA43" s="176"/>
      <c r="CB43" s="176"/>
      <c r="CC43" s="176"/>
    </row>
    <row r="44" spans="1:81" ht="13.5" thickBot="1" x14ac:dyDescent="0.25">
      <c r="A44" s="302" t="s">
        <v>400</v>
      </c>
      <c r="B44" s="322">
        <f>CHOOSE(VARIANT, 2.5, 2.5, 2.5, 10, 10)</f>
        <v>10</v>
      </c>
      <c r="C44" s="291" t="s">
        <v>31</v>
      </c>
      <c r="D44" s="175">
        <f>B44/1000000000</f>
        <v>1E-8</v>
      </c>
      <c r="E44" s="281" t="s">
        <v>402</v>
      </c>
      <c r="H44" s="174">
        <v>38</v>
      </c>
      <c r="I44" s="465">
        <f t="shared" si="24"/>
        <v>0.15959999999999999</v>
      </c>
      <c r="J44" s="221"/>
      <c r="K44" s="221"/>
      <c r="L44" s="221"/>
      <c r="M44" s="221"/>
      <c r="N44" s="271"/>
      <c r="O44" s="176"/>
      <c r="P44" s="221"/>
      <c r="Q44" s="451"/>
      <c r="S44" s="272"/>
      <c r="T44" s="272"/>
      <c r="U44" s="272"/>
      <c r="AJ44" s="451"/>
      <c r="AZ44" s="273"/>
      <c r="BJ44" s="223"/>
      <c r="BK44" s="223"/>
      <c r="BL44" s="223"/>
      <c r="BO44" s="176"/>
      <c r="BP44" s="223"/>
      <c r="BQ44" s="274"/>
      <c r="BR44" s="275"/>
      <c r="BS44" s="223"/>
      <c r="BT44" s="276"/>
      <c r="BX44" s="223"/>
      <c r="BY44" s="223"/>
      <c r="BZ44" s="176"/>
      <c r="CA44" s="176"/>
      <c r="CB44" s="176"/>
      <c r="CC44" s="176"/>
    </row>
    <row r="45" spans="1:81" ht="13.5" thickBot="1" x14ac:dyDescent="0.25">
      <c r="A45" s="305" t="s">
        <v>240</v>
      </c>
      <c r="B45" s="322">
        <f>CHOOSE(VARIANT, 50, 50, 50, 200, 200)</f>
        <v>200</v>
      </c>
      <c r="C45" s="291" t="s">
        <v>15</v>
      </c>
      <c r="D45" s="325">
        <f>B45/1000000000000</f>
        <v>2.0000000000000001E-10</v>
      </c>
      <c r="E45" s="281" t="s">
        <v>327</v>
      </c>
      <c r="H45" s="174">
        <v>39</v>
      </c>
      <c r="I45" s="465">
        <f t="shared" si="24"/>
        <v>0.1638</v>
      </c>
      <c r="J45" s="221"/>
      <c r="K45" s="221"/>
      <c r="L45" s="221"/>
      <c r="M45" s="221"/>
      <c r="N45" s="271"/>
      <c r="O45" s="176"/>
      <c r="P45" s="221"/>
      <c r="Q45" s="451"/>
      <c r="S45" s="272"/>
      <c r="T45" s="272"/>
      <c r="U45" s="272"/>
      <c r="AJ45" s="451"/>
      <c r="AZ45" s="273"/>
      <c r="BJ45" s="223"/>
      <c r="BK45" s="223"/>
      <c r="BL45" s="223"/>
      <c r="BO45" s="176"/>
      <c r="BP45" s="223"/>
      <c r="BQ45" s="274"/>
      <c r="BR45" s="275"/>
      <c r="BS45" s="223"/>
      <c r="BT45" s="276"/>
      <c r="BX45" s="223"/>
      <c r="BY45" s="223"/>
      <c r="BZ45" s="176"/>
      <c r="CA45" s="176"/>
      <c r="CB45" s="176"/>
      <c r="CC45" s="176"/>
    </row>
    <row r="46" spans="1:81" x14ac:dyDescent="0.2">
      <c r="A46" s="328" t="s">
        <v>326</v>
      </c>
      <c r="B46" s="322">
        <f>CHOOSE(VARIANT, 50, 50, 50, 250, 250)</f>
        <v>250</v>
      </c>
      <c r="C46" s="291" t="s">
        <v>15</v>
      </c>
      <c r="D46" s="293">
        <f>B46/1000000000000</f>
        <v>2.5000000000000002E-10</v>
      </c>
      <c r="E46" s="281" t="s">
        <v>479</v>
      </c>
      <c r="H46" s="174">
        <v>40</v>
      </c>
      <c r="I46" s="465">
        <f t="shared" si="24"/>
        <v>0.16800000000000001</v>
      </c>
      <c r="J46" s="221"/>
      <c r="K46" s="221"/>
      <c r="L46" s="221"/>
      <c r="M46" s="221"/>
      <c r="N46" s="271"/>
      <c r="O46" s="176"/>
      <c r="P46" s="221"/>
      <c r="Q46" s="451"/>
      <c r="S46" s="272"/>
      <c r="T46" s="272"/>
      <c r="U46" s="272"/>
      <c r="AJ46" s="451"/>
      <c r="AZ46" s="273"/>
      <c r="BJ46" s="223"/>
      <c r="BK46" s="223"/>
      <c r="BL46" s="223"/>
      <c r="BO46" s="176"/>
      <c r="BP46" s="223"/>
      <c r="BQ46" s="274"/>
      <c r="BR46" s="275"/>
      <c r="BS46" s="223"/>
      <c r="BT46" s="276"/>
      <c r="BX46" s="223"/>
      <c r="BY46" s="223"/>
      <c r="BZ46" s="176"/>
      <c r="CA46" s="176"/>
      <c r="CB46" s="176"/>
      <c r="CC46" s="176"/>
    </row>
    <row r="47" spans="1:81" ht="13.5" thickBot="1" x14ac:dyDescent="0.25">
      <c r="A47" s="313" t="s">
        <v>404</v>
      </c>
      <c r="B47" s="326"/>
      <c r="C47" s="313" t="s">
        <v>33</v>
      </c>
      <c r="D47" s="314" t="s">
        <v>90</v>
      </c>
      <c r="E47" s="327" t="s">
        <v>41</v>
      </c>
      <c r="H47" s="174">
        <v>41</v>
      </c>
      <c r="I47" s="465">
        <f t="shared" si="24"/>
        <v>0.17219999999999999</v>
      </c>
      <c r="J47" s="221"/>
      <c r="K47" s="221"/>
      <c r="L47" s="221"/>
      <c r="M47" s="221"/>
      <c r="N47" s="271"/>
      <c r="O47" s="176"/>
      <c r="P47" s="221"/>
      <c r="Q47" s="451"/>
      <c r="S47" s="272"/>
      <c r="T47" s="272"/>
      <c r="U47" s="272"/>
      <c r="AJ47" s="451"/>
      <c r="AZ47" s="273"/>
      <c r="BJ47" s="223"/>
      <c r="BK47" s="223"/>
      <c r="BL47" s="223"/>
      <c r="BO47" s="176"/>
      <c r="BP47" s="223"/>
      <c r="BQ47" s="274"/>
      <c r="BR47" s="275"/>
      <c r="BS47" s="223"/>
      <c r="BT47" s="276"/>
      <c r="BX47" s="223"/>
      <c r="BY47" s="223"/>
      <c r="BZ47" s="176"/>
      <c r="CA47" s="176"/>
      <c r="CB47" s="176"/>
      <c r="CC47" s="176"/>
    </row>
    <row r="48" spans="1:81" ht="13.5" thickBot="1" x14ac:dyDescent="0.25">
      <c r="A48" s="321" t="s">
        <v>659</v>
      </c>
      <c r="B48" s="322">
        <f>'LM(2)518x PSR flyback converter'!E42</f>
        <v>0.9</v>
      </c>
      <c r="C48" s="279" t="s">
        <v>0</v>
      </c>
      <c r="D48" s="175">
        <f>B48</f>
        <v>0.9</v>
      </c>
      <c r="E48" s="281" t="s">
        <v>658</v>
      </c>
      <c r="H48" s="174">
        <v>42</v>
      </c>
      <c r="I48" s="465">
        <f t="shared" si="24"/>
        <v>0.17639999999999997</v>
      </c>
      <c r="J48" s="221"/>
      <c r="K48" s="221"/>
      <c r="L48" s="221"/>
      <c r="M48" s="221"/>
      <c r="N48" s="271"/>
      <c r="O48" s="176"/>
      <c r="P48" s="221"/>
      <c r="Q48" s="451"/>
      <c r="S48" s="272"/>
      <c r="T48" s="272"/>
      <c r="U48" s="272"/>
      <c r="AJ48" s="451"/>
      <c r="AZ48" s="273"/>
      <c r="BJ48" s="223"/>
      <c r="BK48" s="223"/>
      <c r="BL48" s="223"/>
      <c r="BO48" s="176"/>
      <c r="BP48" s="223"/>
      <c r="BQ48" s="274"/>
      <c r="BR48" s="275"/>
      <c r="BS48" s="223"/>
      <c r="BT48" s="276"/>
      <c r="BX48" s="223"/>
      <c r="BY48" s="223"/>
      <c r="BZ48" s="176"/>
      <c r="CA48" s="176"/>
      <c r="CB48" s="176"/>
      <c r="CC48" s="176"/>
    </row>
    <row r="49" spans="1:81" ht="13.5" thickBot="1" x14ac:dyDescent="0.25">
      <c r="A49" s="321" t="s">
        <v>660</v>
      </c>
      <c r="B49" s="322">
        <f>'LM(2)518x PSR flyback converter'!E43</f>
        <v>0.9</v>
      </c>
      <c r="C49" s="279" t="s">
        <v>0</v>
      </c>
      <c r="D49" s="175">
        <f>B49</f>
        <v>0.9</v>
      </c>
      <c r="E49" s="281" t="s">
        <v>657</v>
      </c>
      <c r="H49" s="174">
        <v>43</v>
      </c>
      <c r="I49" s="465">
        <f t="shared" si="24"/>
        <v>0.18059999999999998</v>
      </c>
      <c r="J49" s="221"/>
      <c r="K49" s="221"/>
      <c r="L49" s="221"/>
      <c r="M49" s="221"/>
      <c r="N49" s="271"/>
      <c r="O49" s="176"/>
      <c r="P49" s="221"/>
      <c r="Q49" s="451"/>
      <c r="S49" s="272"/>
      <c r="T49" s="272"/>
      <c r="U49" s="272"/>
      <c r="AJ49" s="451"/>
      <c r="AZ49" s="273"/>
      <c r="BJ49" s="223"/>
      <c r="BK49" s="223"/>
      <c r="BL49" s="223"/>
      <c r="BO49" s="176"/>
      <c r="BP49" s="223"/>
      <c r="BQ49" s="274"/>
      <c r="BR49" s="275"/>
      <c r="BS49" s="223"/>
      <c r="BT49" s="276"/>
      <c r="BX49" s="223"/>
      <c r="BY49" s="223"/>
      <c r="BZ49" s="176"/>
      <c r="CA49" s="176"/>
      <c r="CB49" s="176"/>
      <c r="CC49" s="176"/>
    </row>
    <row r="50" spans="1:81" ht="13.5" thickBot="1" x14ac:dyDescent="0.25">
      <c r="A50" s="321" t="s">
        <v>268</v>
      </c>
      <c r="B50" s="322">
        <f>(B49-B48)/Iout</f>
        <v>0</v>
      </c>
      <c r="C50" s="282" t="s">
        <v>45</v>
      </c>
      <c r="D50" s="175">
        <f>B50</f>
        <v>0</v>
      </c>
      <c r="E50" s="281" t="s">
        <v>811</v>
      </c>
      <c r="H50" s="174">
        <v>44</v>
      </c>
      <c r="I50" s="465">
        <f t="shared" si="24"/>
        <v>0.18479999999999999</v>
      </c>
      <c r="J50" s="221"/>
      <c r="K50" s="221"/>
      <c r="L50" s="221"/>
      <c r="M50" s="221"/>
      <c r="N50" s="271"/>
      <c r="O50" s="176"/>
      <c r="P50" s="221"/>
      <c r="Q50" s="451"/>
      <c r="S50" s="272"/>
      <c r="T50" s="272"/>
      <c r="U50" s="272"/>
      <c r="AJ50" s="451"/>
      <c r="AZ50" s="273"/>
      <c r="BJ50" s="223"/>
      <c r="BK50" s="223"/>
      <c r="BL50" s="223"/>
      <c r="BO50" s="176"/>
      <c r="BP50" s="223"/>
      <c r="BQ50" s="274"/>
      <c r="BR50" s="275"/>
      <c r="BS50" s="223"/>
      <c r="BT50" s="276"/>
      <c r="BX50" s="223"/>
      <c r="BY50" s="223"/>
      <c r="BZ50" s="176"/>
      <c r="CA50" s="176"/>
      <c r="CB50" s="176"/>
      <c r="CC50" s="176"/>
    </row>
    <row r="51" spans="1:81" ht="13.5" thickBot="1" x14ac:dyDescent="0.25">
      <c r="A51" s="302" t="s">
        <v>407</v>
      </c>
      <c r="B51" s="322">
        <v>2</v>
      </c>
      <c r="C51" s="291" t="s">
        <v>31</v>
      </c>
      <c r="D51" s="293">
        <f>B51*0.000000001</f>
        <v>2.0000000000000001E-9</v>
      </c>
      <c r="E51" s="281" t="s">
        <v>269</v>
      </c>
      <c r="H51" s="174">
        <v>45</v>
      </c>
      <c r="I51" s="465">
        <f t="shared" si="24"/>
        <v>0.189</v>
      </c>
      <c r="J51" s="221"/>
      <c r="K51" s="221"/>
      <c r="L51" s="221"/>
      <c r="M51" s="221"/>
      <c r="N51" s="271"/>
      <c r="O51" s="176"/>
      <c r="P51" s="221"/>
      <c r="Q51" s="451"/>
      <c r="S51" s="272"/>
      <c r="T51" s="272"/>
      <c r="U51" s="272"/>
      <c r="AJ51" s="451"/>
      <c r="AZ51" s="273"/>
      <c r="BJ51" s="223"/>
      <c r="BK51" s="223"/>
      <c r="BL51" s="223"/>
      <c r="BO51" s="176"/>
      <c r="BP51" s="223"/>
      <c r="BQ51" s="274"/>
      <c r="BR51" s="275"/>
      <c r="BS51" s="223"/>
      <c r="BT51" s="276"/>
      <c r="BX51" s="223"/>
      <c r="BY51" s="223"/>
      <c r="BZ51" s="176"/>
      <c r="CA51" s="176"/>
      <c r="CB51" s="176"/>
      <c r="CC51" s="176"/>
    </row>
    <row r="52" spans="1:81" ht="13.5" thickBot="1" x14ac:dyDescent="0.25">
      <c r="A52" s="302" t="s">
        <v>408</v>
      </c>
      <c r="B52" s="322">
        <v>10</v>
      </c>
      <c r="C52" s="291" t="s">
        <v>32</v>
      </c>
      <c r="D52" s="293">
        <f>B52*0.000000001</f>
        <v>1E-8</v>
      </c>
      <c r="E52" s="281" t="s">
        <v>270</v>
      </c>
      <c r="H52" s="174">
        <v>46</v>
      </c>
      <c r="I52" s="465">
        <f t="shared" si="24"/>
        <v>0.19320000000000001</v>
      </c>
      <c r="J52" s="221"/>
      <c r="K52" s="221"/>
      <c r="L52" s="221"/>
      <c r="M52" s="221"/>
      <c r="N52" s="271"/>
      <c r="O52" s="176"/>
      <c r="P52" s="221"/>
      <c r="Q52" s="451"/>
      <c r="S52" s="272"/>
      <c r="T52" s="272"/>
      <c r="U52" s="272"/>
      <c r="AJ52" s="451"/>
      <c r="AZ52" s="273"/>
      <c r="BJ52" s="223"/>
      <c r="BK52" s="223"/>
      <c r="BL52" s="223"/>
      <c r="BO52" s="176"/>
      <c r="BP52" s="223"/>
      <c r="BQ52" s="274"/>
      <c r="BR52" s="275"/>
      <c r="BS52" s="223"/>
      <c r="BT52" s="276"/>
      <c r="BX52" s="223"/>
      <c r="BY52" s="223"/>
      <c r="BZ52" s="176"/>
      <c r="CA52" s="176"/>
      <c r="CB52" s="176"/>
      <c r="CC52" s="176"/>
    </row>
    <row r="53" spans="1:81" x14ac:dyDescent="0.2">
      <c r="A53" s="328" t="s">
        <v>497</v>
      </c>
      <c r="B53" s="322">
        <v>0</v>
      </c>
      <c r="C53" s="279" t="s">
        <v>271</v>
      </c>
      <c r="D53" s="293">
        <f>B53/1000000</f>
        <v>0</v>
      </c>
      <c r="E53" s="281" t="s">
        <v>272</v>
      </c>
      <c r="H53" s="174">
        <v>47</v>
      </c>
      <c r="I53" s="465">
        <f t="shared" si="24"/>
        <v>0.19739999999999999</v>
      </c>
      <c r="J53" s="221"/>
      <c r="K53" s="221"/>
      <c r="L53" s="221"/>
      <c r="M53" s="221"/>
      <c r="N53" s="271"/>
      <c r="O53" s="176"/>
      <c r="P53" s="221"/>
      <c r="Q53" s="451"/>
      <c r="S53" s="272"/>
      <c r="T53" s="272"/>
      <c r="U53" s="272"/>
      <c r="AJ53" s="451"/>
      <c r="AZ53" s="273"/>
      <c r="BJ53" s="223"/>
      <c r="BK53" s="223"/>
      <c r="BL53" s="223"/>
      <c r="BO53" s="176"/>
      <c r="BP53" s="223"/>
      <c r="BQ53" s="274"/>
      <c r="BR53" s="275"/>
      <c r="BS53" s="223"/>
      <c r="BT53" s="276"/>
      <c r="BX53" s="223"/>
      <c r="BY53" s="223"/>
      <c r="BZ53" s="176"/>
      <c r="CA53" s="176"/>
      <c r="CB53" s="176"/>
      <c r="CC53" s="176"/>
    </row>
    <row r="54" spans="1:81" x14ac:dyDescent="0.2">
      <c r="A54" s="174" t="s">
        <v>691</v>
      </c>
      <c r="B54" s="201">
        <f>'LM(2)518x PSR flyback converter'!E44</f>
        <v>41</v>
      </c>
      <c r="C54" s="645" t="s">
        <v>84</v>
      </c>
      <c r="D54" s="201">
        <f>B54</f>
        <v>41</v>
      </c>
      <c r="E54" s="174" t="s">
        <v>690</v>
      </c>
      <c r="H54" s="174">
        <v>48</v>
      </c>
      <c r="I54" s="465">
        <f t="shared" si="24"/>
        <v>0.20159999999999997</v>
      </c>
      <c r="J54" s="221"/>
      <c r="K54" s="221"/>
      <c r="L54" s="221"/>
      <c r="M54" s="221"/>
      <c r="N54" s="271"/>
      <c r="O54" s="176"/>
      <c r="P54" s="221"/>
      <c r="Q54" s="451"/>
      <c r="S54" s="272"/>
      <c r="T54" s="272"/>
      <c r="U54" s="272"/>
      <c r="AJ54" s="451"/>
      <c r="AZ54" s="273"/>
      <c r="BJ54" s="223"/>
      <c r="BK54" s="223"/>
      <c r="BL54" s="223"/>
      <c r="BO54" s="176"/>
      <c r="BP54" s="223"/>
      <c r="BQ54" s="274"/>
      <c r="BR54" s="275"/>
      <c r="BS54" s="223"/>
      <c r="BT54" s="276"/>
      <c r="BX54" s="223"/>
      <c r="BY54" s="223"/>
      <c r="BZ54" s="176"/>
      <c r="CA54" s="176"/>
      <c r="CB54" s="176"/>
      <c r="CC54" s="176"/>
    </row>
    <row r="55" spans="1:81" x14ac:dyDescent="0.2">
      <c r="H55" s="174">
        <v>49</v>
      </c>
      <c r="I55" s="465">
        <f t="shared" si="24"/>
        <v>0.20579999999999998</v>
      </c>
      <c r="J55" s="221"/>
      <c r="K55" s="221"/>
      <c r="L55" s="221"/>
      <c r="M55" s="221"/>
      <c r="N55" s="271"/>
      <c r="O55" s="176"/>
      <c r="P55" s="221"/>
      <c r="Q55" s="451"/>
      <c r="S55" s="272"/>
      <c r="T55" s="272"/>
      <c r="U55" s="272"/>
      <c r="AJ55" s="451"/>
      <c r="AZ55" s="273"/>
      <c r="BJ55" s="223"/>
      <c r="BK55" s="223"/>
      <c r="BL55" s="223"/>
      <c r="BO55" s="176"/>
      <c r="BP55" s="223"/>
      <c r="BQ55" s="274"/>
      <c r="BR55" s="275"/>
      <c r="BS55" s="223"/>
      <c r="BT55" s="276"/>
      <c r="BX55" s="223"/>
      <c r="BY55" s="223"/>
      <c r="BZ55" s="176"/>
      <c r="CA55" s="176"/>
      <c r="CB55" s="176"/>
      <c r="CC55" s="176"/>
    </row>
    <row r="56" spans="1:81" x14ac:dyDescent="0.2">
      <c r="H56" s="174">
        <v>50</v>
      </c>
      <c r="I56" s="465">
        <f t="shared" si="24"/>
        <v>0.21</v>
      </c>
      <c r="J56" s="221"/>
      <c r="K56" s="221"/>
      <c r="L56" s="221"/>
      <c r="M56" s="221"/>
      <c r="N56" s="271"/>
      <c r="O56" s="176"/>
      <c r="P56" s="221"/>
      <c r="Q56" s="451"/>
      <c r="S56" s="272"/>
      <c r="T56" s="272"/>
      <c r="U56" s="272"/>
      <c r="AJ56" s="451"/>
      <c r="AZ56" s="273"/>
      <c r="BJ56" s="223"/>
      <c r="BK56" s="223"/>
      <c r="BL56" s="223"/>
      <c r="BO56" s="176"/>
      <c r="BP56" s="223"/>
      <c r="BQ56" s="274"/>
      <c r="BR56" s="275"/>
      <c r="BS56" s="223"/>
      <c r="BT56" s="276"/>
      <c r="BX56" s="223"/>
      <c r="BY56" s="223"/>
      <c r="BZ56" s="176"/>
      <c r="CA56" s="176"/>
      <c r="CB56" s="176"/>
      <c r="CC56" s="176"/>
    </row>
    <row r="57" spans="1:81" x14ac:dyDescent="0.2">
      <c r="H57" s="174">
        <v>51</v>
      </c>
      <c r="I57" s="465">
        <f t="shared" si="24"/>
        <v>0.2142</v>
      </c>
      <c r="J57" s="221"/>
      <c r="K57" s="221"/>
      <c r="L57" s="221"/>
      <c r="M57" s="221"/>
      <c r="N57" s="271"/>
      <c r="O57" s="176"/>
      <c r="P57" s="221"/>
      <c r="Q57" s="451"/>
      <c r="S57" s="272"/>
      <c r="T57" s="272"/>
      <c r="U57" s="272"/>
      <c r="AJ57" s="451"/>
      <c r="AZ57" s="273"/>
      <c r="BJ57" s="223"/>
      <c r="BK57" s="223"/>
      <c r="BL57" s="223"/>
      <c r="BO57" s="176"/>
      <c r="BP57" s="223"/>
      <c r="BQ57" s="274"/>
      <c r="BR57" s="275"/>
      <c r="BS57" s="223"/>
      <c r="BT57" s="276"/>
      <c r="BX57" s="223"/>
      <c r="BY57" s="223"/>
      <c r="BZ57" s="176"/>
      <c r="CA57" s="176"/>
      <c r="CB57" s="176"/>
      <c r="CC57" s="176"/>
    </row>
    <row r="58" spans="1:81" x14ac:dyDescent="0.2">
      <c r="H58" s="174">
        <v>52</v>
      </c>
      <c r="I58" s="465">
        <f t="shared" si="24"/>
        <v>0.21840000000000001</v>
      </c>
      <c r="J58" s="221"/>
      <c r="K58" s="221"/>
      <c r="L58" s="221"/>
      <c r="M58" s="221"/>
      <c r="N58" s="271"/>
      <c r="O58" s="176"/>
      <c r="P58" s="221"/>
      <c r="Q58" s="451"/>
      <c r="S58" s="272"/>
      <c r="T58" s="272"/>
      <c r="U58" s="272"/>
      <c r="AJ58" s="451"/>
      <c r="AZ58" s="273"/>
      <c r="BJ58" s="223"/>
      <c r="BK58" s="223"/>
      <c r="BL58" s="223"/>
      <c r="BO58" s="176"/>
      <c r="BP58" s="223"/>
      <c r="BQ58" s="274"/>
      <c r="BR58" s="275"/>
      <c r="BS58" s="223"/>
      <c r="BT58" s="276"/>
      <c r="BX58" s="223"/>
      <c r="BY58" s="223"/>
      <c r="BZ58" s="176"/>
      <c r="CA58" s="176"/>
      <c r="CB58" s="176"/>
      <c r="CC58" s="176"/>
    </row>
    <row r="59" spans="1:81" x14ac:dyDescent="0.2">
      <c r="H59" s="174">
        <v>53</v>
      </c>
      <c r="I59" s="465">
        <f t="shared" si="24"/>
        <v>0.22259999999999999</v>
      </c>
      <c r="J59" s="221"/>
      <c r="K59" s="221"/>
      <c r="L59" s="221"/>
      <c r="M59" s="221"/>
      <c r="N59" s="271"/>
      <c r="O59" s="176"/>
      <c r="P59" s="221"/>
      <c r="Q59" s="451"/>
      <c r="S59" s="272"/>
      <c r="T59" s="272"/>
      <c r="U59" s="272"/>
      <c r="AJ59" s="451"/>
      <c r="AZ59" s="273"/>
      <c r="BJ59" s="223"/>
      <c r="BK59" s="223"/>
      <c r="BL59" s="223"/>
      <c r="BO59" s="176"/>
      <c r="BP59" s="223"/>
      <c r="BQ59" s="274"/>
      <c r="BR59" s="275"/>
      <c r="BS59" s="223"/>
      <c r="BT59" s="276"/>
      <c r="BX59" s="223"/>
      <c r="BY59" s="223"/>
      <c r="BZ59" s="176"/>
      <c r="CA59" s="176"/>
      <c r="CB59" s="176"/>
      <c r="CC59" s="176"/>
    </row>
    <row r="60" spans="1:81" x14ac:dyDescent="0.2">
      <c r="H60" s="174">
        <v>54</v>
      </c>
      <c r="I60" s="465">
        <f t="shared" si="24"/>
        <v>0.2268</v>
      </c>
      <c r="J60" s="221"/>
      <c r="K60" s="221"/>
      <c r="L60" s="221"/>
      <c r="M60" s="221"/>
      <c r="N60" s="271"/>
      <c r="O60" s="176"/>
      <c r="P60" s="221"/>
      <c r="Q60" s="451"/>
      <c r="S60" s="272"/>
      <c r="T60" s="272"/>
      <c r="U60" s="272"/>
      <c r="AJ60" s="451"/>
      <c r="AZ60" s="273"/>
      <c r="BJ60" s="223"/>
      <c r="BK60" s="223"/>
      <c r="BL60" s="223"/>
      <c r="BO60" s="176"/>
      <c r="BP60" s="223"/>
      <c r="BQ60" s="274"/>
      <c r="BR60" s="275"/>
      <c r="BS60" s="223"/>
      <c r="BT60" s="276"/>
      <c r="BX60" s="223"/>
      <c r="BY60" s="223"/>
      <c r="BZ60" s="176"/>
      <c r="CA60" s="176"/>
      <c r="CB60" s="176"/>
      <c r="CC60" s="176"/>
    </row>
    <row r="61" spans="1:81" x14ac:dyDescent="0.2">
      <c r="H61" s="174">
        <v>55</v>
      </c>
      <c r="I61" s="465">
        <f t="shared" si="24"/>
        <v>0.23100000000000001</v>
      </c>
      <c r="J61" s="221"/>
      <c r="K61" s="221"/>
      <c r="L61" s="221"/>
      <c r="M61" s="221"/>
      <c r="N61" s="271"/>
      <c r="O61" s="176"/>
      <c r="P61" s="221"/>
      <c r="Q61" s="451"/>
      <c r="S61" s="272"/>
      <c r="T61" s="272"/>
      <c r="U61" s="272"/>
      <c r="AJ61" s="451"/>
      <c r="AZ61" s="273"/>
      <c r="BJ61" s="223"/>
      <c r="BK61" s="223"/>
      <c r="BL61" s="223"/>
      <c r="BO61" s="176"/>
      <c r="BP61" s="223"/>
      <c r="BQ61" s="274"/>
      <c r="BR61" s="275"/>
      <c r="BS61" s="223"/>
      <c r="BT61" s="276"/>
      <c r="BX61" s="223"/>
      <c r="BY61" s="223"/>
      <c r="BZ61" s="176"/>
      <c r="CA61" s="176"/>
      <c r="CB61" s="176"/>
      <c r="CC61" s="176"/>
    </row>
    <row r="62" spans="1:81" x14ac:dyDescent="0.2">
      <c r="H62" s="174">
        <v>56</v>
      </c>
      <c r="I62" s="465">
        <f t="shared" si="24"/>
        <v>0.23520000000000002</v>
      </c>
      <c r="J62" s="221"/>
      <c r="K62" s="221"/>
      <c r="L62" s="221"/>
      <c r="M62" s="221"/>
      <c r="N62" s="271"/>
      <c r="O62" s="176"/>
      <c r="P62" s="221"/>
      <c r="Q62" s="451"/>
      <c r="S62" s="272"/>
      <c r="T62" s="272"/>
      <c r="U62" s="272"/>
      <c r="AJ62" s="451"/>
      <c r="AZ62" s="273"/>
      <c r="BJ62" s="223"/>
      <c r="BK62" s="223"/>
      <c r="BL62" s="223"/>
      <c r="BO62" s="176"/>
      <c r="BP62" s="223"/>
      <c r="BQ62" s="274"/>
      <c r="BR62" s="275"/>
      <c r="BS62" s="223"/>
      <c r="BT62" s="276"/>
      <c r="BX62" s="223"/>
      <c r="BY62" s="223"/>
      <c r="BZ62" s="176"/>
      <c r="CA62" s="176"/>
      <c r="CB62" s="176"/>
      <c r="CC62" s="176"/>
    </row>
    <row r="63" spans="1:81" x14ac:dyDescent="0.2">
      <c r="F63" s="329" t="s">
        <v>273</v>
      </c>
      <c r="G63" s="329" t="s">
        <v>274</v>
      </c>
      <c r="H63" s="174">
        <v>57</v>
      </c>
      <c r="I63" s="465">
        <f t="shared" si="24"/>
        <v>0.23939999999999997</v>
      </c>
      <c r="J63" s="221"/>
      <c r="K63" s="221"/>
      <c r="L63" s="221"/>
      <c r="M63" s="221"/>
      <c r="N63" s="271"/>
      <c r="O63" s="176"/>
      <c r="P63" s="221"/>
      <c r="Q63" s="451"/>
      <c r="S63" s="272"/>
      <c r="T63" s="272"/>
      <c r="U63" s="272"/>
      <c r="AJ63" s="451"/>
      <c r="AZ63" s="273"/>
      <c r="BJ63" s="223"/>
      <c r="BK63" s="223"/>
      <c r="BL63" s="223"/>
      <c r="BO63" s="176"/>
      <c r="BP63" s="223"/>
      <c r="BQ63" s="274"/>
      <c r="BR63" s="275"/>
      <c r="BS63" s="223"/>
      <c r="BT63" s="276"/>
      <c r="BX63" s="223"/>
      <c r="BY63" s="223"/>
      <c r="BZ63" s="176"/>
      <c r="CA63" s="176"/>
      <c r="CB63" s="176"/>
      <c r="CC63" s="176"/>
    </row>
    <row r="64" spans="1:81" x14ac:dyDescent="0.2">
      <c r="F64" s="330">
        <f>BM56</f>
        <v>0</v>
      </c>
      <c r="G64" s="331">
        <f>I56*1000</f>
        <v>210</v>
      </c>
      <c r="H64" s="174">
        <v>58</v>
      </c>
      <c r="I64" s="465">
        <f t="shared" si="24"/>
        <v>0.24359999999999998</v>
      </c>
      <c r="J64" s="221"/>
      <c r="K64" s="221"/>
      <c r="L64" s="221"/>
      <c r="M64" s="221"/>
      <c r="N64" s="271"/>
      <c r="O64" s="176"/>
      <c r="P64" s="221"/>
      <c r="Q64" s="451"/>
      <c r="S64" s="272"/>
      <c r="T64" s="272"/>
      <c r="U64" s="272"/>
      <c r="AJ64" s="451"/>
      <c r="AZ64" s="273"/>
      <c r="BJ64" s="223"/>
      <c r="BK64" s="223"/>
      <c r="BL64" s="223"/>
      <c r="BO64" s="176"/>
      <c r="BP64" s="223"/>
      <c r="BQ64" s="274"/>
      <c r="BR64" s="275"/>
      <c r="BS64" s="223"/>
      <c r="BT64" s="276"/>
      <c r="BX64" s="223"/>
      <c r="BY64" s="223"/>
      <c r="BZ64" s="176"/>
      <c r="CA64" s="176"/>
      <c r="CB64" s="176"/>
      <c r="CC64" s="176"/>
    </row>
    <row r="65" spans="6:81" x14ac:dyDescent="0.2">
      <c r="F65" s="330">
        <f>BM81</f>
        <v>0</v>
      </c>
      <c r="G65" s="331">
        <f>I81*1000</f>
        <v>315</v>
      </c>
      <c r="H65" s="174">
        <v>59</v>
      </c>
      <c r="I65" s="465">
        <f t="shared" si="24"/>
        <v>0.24779999999999996</v>
      </c>
      <c r="J65" s="221"/>
      <c r="K65" s="221"/>
      <c r="L65" s="221"/>
      <c r="M65" s="221"/>
      <c r="N65" s="271"/>
      <c r="O65" s="176"/>
      <c r="P65" s="221"/>
      <c r="Q65" s="451"/>
      <c r="S65" s="272"/>
      <c r="T65" s="272"/>
      <c r="U65" s="272"/>
      <c r="AJ65" s="451"/>
      <c r="AZ65" s="273"/>
      <c r="BJ65" s="223"/>
      <c r="BK65" s="223"/>
      <c r="BL65" s="223"/>
      <c r="BO65" s="176"/>
      <c r="BP65" s="223"/>
      <c r="BQ65" s="274"/>
      <c r="BR65" s="275"/>
      <c r="BS65" s="223"/>
      <c r="BT65" s="276"/>
      <c r="BX65" s="223"/>
      <c r="BY65" s="223"/>
      <c r="BZ65" s="176"/>
      <c r="CA65" s="176"/>
      <c r="CB65" s="176"/>
      <c r="CC65" s="176"/>
    </row>
    <row r="66" spans="6:81" x14ac:dyDescent="0.2">
      <c r="F66" s="330">
        <f>BM106</f>
        <v>100</v>
      </c>
      <c r="G66" s="331">
        <f>I106*1000</f>
        <v>420</v>
      </c>
      <c r="H66" s="174">
        <v>60</v>
      </c>
      <c r="I66" s="465">
        <f t="shared" si="24"/>
        <v>0.252</v>
      </c>
      <c r="J66" s="221"/>
      <c r="K66" s="221"/>
      <c r="L66" s="221"/>
      <c r="M66" s="221"/>
      <c r="N66" s="271"/>
      <c r="O66" s="176"/>
      <c r="P66" s="221"/>
      <c r="Q66" s="451"/>
      <c r="S66" s="272"/>
      <c r="T66" s="272"/>
      <c r="U66" s="272"/>
      <c r="AJ66" s="451"/>
      <c r="AZ66" s="273"/>
      <c r="BJ66" s="223"/>
      <c r="BK66" s="223"/>
      <c r="BL66" s="223"/>
      <c r="BO66" s="176"/>
      <c r="BP66" s="223"/>
      <c r="BQ66" s="274"/>
      <c r="BR66" s="275"/>
      <c r="BS66" s="223"/>
      <c r="BT66" s="276"/>
      <c r="BX66" s="223"/>
      <c r="BY66" s="223"/>
      <c r="BZ66" s="176"/>
      <c r="CA66" s="176"/>
      <c r="CB66" s="176"/>
      <c r="CC66" s="176"/>
    </row>
    <row r="67" spans="6:81" x14ac:dyDescent="0.2">
      <c r="H67" s="174">
        <v>61</v>
      </c>
      <c r="I67" s="465">
        <f t="shared" si="24"/>
        <v>0.25619999999999998</v>
      </c>
      <c r="J67" s="221"/>
      <c r="K67" s="221"/>
      <c r="L67" s="221"/>
      <c r="M67" s="221"/>
      <c r="N67" s="271"/>
      <c r="O67" s="176"/>
      <c r="P67" s="221"/>
      <c r="Q67" s="451"/>
      <c r="S67" s="272"/>
      <c r="T67" s="272"/>
      <c r="U67" s="272"/>
      <c r="AJ67" s="451"/>
      <c r="AZ67" s="273"/>
      <c r="BJ67" s="223"/>
      <c r="BK67" s="223"/>
      <c r="BL67" s="223"/>
      <c r="BO67" s="176"/>
      <c r="BP67" s="223"/>
      <c r="BQ67" s="274"/>
      <c r="BR67" s="275"/>
      <c r="BS67" s="223"/>
      <c r="BT67" s="276"/>
      <c r="BX67" s="223"/>
      <c r="BY67" s="223"/>
      <c r="BZ67" s="176"/>
      <c r="CA67" s="176"/>
      <c r="CB67" s="176"/>
      <c r="CC67" s="176"/>
    </row>
    <row r="68" spans="6:81" x14ac:dyDescent="0.2">
      <c r="H68" s="174">
        <v>62</v>
      </c>
      <c r="I68" s="465">
        <f t="shared" si="24"/>
        <v>0.26039999999999996</v>
      </c>
      <c r="J68" s="221"/>
      <c r="K68" s="221"/>
      <c r="L68" s="221"/>
      <c r="M68" s="221"/>
      <c r="N68" s="271"/>
      <c r="O68" s="176"/>
      <c r="P68" s="221"/>
      <c r="Q68" s="451"/>
      <c r="S68" s="272"/>
      <c r="T68" s="272"/>
      <c r="U68" s="272"/>
      <c r="AJ68" s="451"/>
      <c r="AZ68" s="273"/>
      <c r="BJ68" s="223"/>
      <c r="BK68" s="223"/>
      <c r="BL68" s="223"/>
      <c r="BO68" s="176"/>
      <c r="BP68" s="223"/>
      <c r="BQ68" s="274"/>
      <c r="BR68" s="275"/>
      <c r="BS68" s="223"/>
      <c r="BT68" s="276"/>
      <c r="BX68" s="223"/>
      <c r="BY68" s="223"/>
      <c r="BZ68" s="176"/>
      <c r="CA68" s="176"/>
      <c r="CB68" s="176"/>
      <c r="CC68" s="176"/>
    </row>
    <row r="69" spans="6:81" x14ac:dyDescent="0.2">
      <c r="H69" s="174">
        <v>63</v>
      </c>
      <c r="I69" s="465">
        <f t="shared" si="24"/>
        <v>0.2646</v>
      </c>
      <c r="J69" s="221"/>
      <c r="K69" s="221"/>
      <c r="L69" s="221"/>
      <c r="M69" s="221"/>
      <c r="N69" s="271"/>
      <c r="O69" s="176"/>
      <c r="P69" s="221"/>
      <c r="Q69" s="451"/>
      <c r="S69" s="272"/>
      <c r="T69" s="272"/>
      <c r="U69" s="272"/>
      <c r="AJ69" s="451"/>
      <c r="AZ69" s="273"/>
      <c r="BJ69" s="223"/>
      <c r="BK69" s="223"/>
      <c r="BL69" s="223"/>
      <c r="BO69" s="176"/>
      <c r="BP69" s="223"/>
      <c r="BQ69" s="274"/>
      <c r="BR69" s="275"/>
      <c r="BS69" s="223"/>
      <c r="BT69" s="276"/>
      <c r="BX69" s="223"/>
      <c r="BY69" s="223"/>
      <c r="BZ69" s="176"/>
      <c r="CA69" s="176"/>
      <c r="CB69" s="176"/>
      <c r="CC69" s="176"/>
    </row>
    <row r="70" spans="6:81" x14ac:dyDescent="0.2">
      <c r="H70" s="174">
        <v>64</v>
      </c>
      <c r="I70" s="465">
        <f t="shared" ref="I70:I101" si="25">IF(PLOT_TYPE=1, H70/100*Iout_max, min_I*EXP(H70*rr/100))</f>
        <v>0.26879999999999998</v>
      </c>
      <c r="J70" s="221"/>
      <c r="K70" s="221"/>
      <c r="L70" s="221"/>
      <c r="M70" s="221"/>
      <c r="N70" s="271"/>
      <c r="O70" s="176"/>
      <c r="P70" s="221"/>
      <c r="Q70" s="451"/>
      <c r="S70" s="272"/>
      <c r="T70" s="272"/>
      <c r="U70" s="272"/>
      <c r="AJ70" s="451"/>
      <c r="AZ70" s="273"/>
      <c r="BJ70" s="223"/>
      <c r="BK70" s="223"/>
      <c r="BL70" s="223"/>
      <c r="BO70" s="176"/>
      <c r="BP70" s="223"/>
      <c r="BQ70" s="274"/>
      <c r="BR70" s="275"/>
      <c r="BS70" s="223"/>
      <c r="BT70" s="276"/>
      <c r="BX70" s="223"/>
      <c r="BY70" s="223"/>
      <c r="BZ70" s="176"/>
      <c r="CA70" s="176"/>
      <c r="CB70" s="176"/>
      <c r="CC70" s="176"/>
    </row>
    <row r="71" spans="6:81" x14ac:dyDescent="0.2">
      <c r="H71" s="174">
        <v>65</v>
      </c>
      <c r="I71" s="465">
        <f t="shared" si="25"/>
        <v>0.27300000000000002</v>
      </c>
      <c r="J71" s="221"/>
      <c r="K71" s="221"/>
      <c r="L71" s="221"/>
      <c r="M71" s="221"/>
      <c r="N71" s="271"/>
      <c r="O71" s="176"/>
      <c r="P71" s="221"/>
      <c r="Q71" s="451"/>
      <c r="S71" s="272"/>
      <c r="T71" s="272"/>
      <c r="U71" s="272"/>
      <c r="AJ71" s="451"/>
      <c r="AZ71" s="273"/>
      <c r="BJ71" s="223"/>
      <c r="BK71" s="223"/>
      <c r="BL71" s="223"/>
      <c r="BO71" s="176"/>
      <c r="BP71" s="223"/>
      <c r="BQ71" s="274"/>
      <c r="BR71" s="275"/>
      <c r="BS71" s="223"/>
      <c r="BT71" s="276"/>
      <c r="BX71" s="223"/>
      <c r="BY71" s="223"/>
      <c r="BZ71" s="176"/>
      <c r="CA71" s="176"/>
      <c r="CB71" s="176"/>
      <c r="CC71" s="176"/>
    </row>
    <row r="72" spans="6:81" x14ac:dyDescent="0.2">
      <c r="H72" s="174">
        <v>66</v>
      </c>
      <c r="I72" s="465">
        <f t="shared" si="25"/>
        <v>0.2772</v>
      </c>
      <c r="J72" s="221"/>
      <c r="K72" s="221"/>
      <c r="L72" s="221"/>
      <c r="M72" s="221"/>
      <c r="N72" s="271"/>
      <c r="O72" s="176"/>
      <c r="P72" s="221"/>
      <c r="Q72" s="451"/>
      <c r="S72" s="272"/>
      <c r="T72" s="272"/>
      <c r="U72" s="272"/>
      <c r="AJ72" s="451"/>
      <c r="AZ72" s="273"/>
      <c r="BJ72" s="223"/>
      <c r="BK72" s="223"/>
      <c r="BL72" s="223"/>
      <c r="BO72" s="176"/>
      <c r="BP72" s="223"/>
      <c r="BQ72" s="274"/>
      <c r="BR72" s="275"/>
      <c r="BS72" s="223"/>
      <c r="BT72" s="276"/>
      <c r="BX72" s="223"/>
      <c r="BY72" s="223"/>
      <c r="BZ72" s="176"/>
      <c r="CA72" s="176"/>
      <c r="CB72" s="176"/>
      <c r="CC72" s="176"/>
    </row>
    <row r="73" spans="6:81" x14ac:dyDescent="0.2">
      <c r="H73" s="174">
        <v>67</v>
      </c>
      <c r="I73" s="465">
        <f t="shared" si="25"/>
        <v>0.28139999999999998</v>
      </c>
      <c r="J73" s="221"/>
      <c r="K73" s="221"/>
      <c r="L73" s="221"/>
      <c r="M73" s="221"/>
      <c r="N73" s="271"/>
      <c r="O73" s="176"/>
      <c r="P73" s="221"/>
      <c r="Q73" s="451"/>
      <c r="S73" s="272"/>
      <c r="T73" s="272"/>
      <c r="U73" s="272"/>
      <c r="AJ73" s="451"/>
      <c r="AZ73" s="273"/>
      <c r="BJ73" s="223"/>
      <c r="BK73" s="223"/>
      <c r="BL73" s="223"/>
      <c r="BO73" s="176"/>
      <c r="BP73" s="223"/>
      <c r="BQ73" s="274"/>
      <c r="BR73" s="275"/>
      <c r="BS73" s="223"/>
      <c r="BT73" s="276"/>
      <c r="BX73" s="223"/>
      <c r="BY73" s="223"/>
      <c r="BZ73" s="176"/>
      <c r="CA73" s="176"/>
      <c r="CB73" s="176"/>
      <c r="CC73" s="176"/>
    </row>
    <row r="74" spans="6:81" x14ac:dyDescent="0.2">
      <c r="H74" s="174">
        <v>68</v>
      </c>
      <c r="I74" s="465">
        <f t="shared" si="25"/>
        <v>0.28560000000000002</v>
      </c>
      <c r="J74" s="221"/>
      <c r="K74" s="221"/>
      <c r="L74" s="221"/>
      <c r="M74" s="221"/>
      <c r="N74" s="271"/>
      <c r="O74" s="176"/>
      <c r="P74" s="221"/>
      <c r="Q74" s="451"/>
      <c r="S74" s="272"/>
      <c r="T74" s="272"/>
      <c r="U74" s="272"/>
      <c r="AJ74" s="451"/>
      <c r="AZ74" s="273"/>
      <c r="BJ74" s="223"/>
      <c r="BK74" s="223"/>
      <c r="BL74" s="223"/>
      <c r="BO74" s="176"/>
      <c r="BP74" s="223"/>
      <c r="BQ74" s="274"/>
      <c r="BR74" s="275"/>
      <c r="BS74" s="223"/>
      <c r="BT74" s="276"/>
      <c r="BX74" s="223"/>
      <c r="BY74" s="223"/>
      <c r="BZ74" s="176"/>
      <c r="CA74" s="176"/>
      <c r="CB74" s="176"/>
      <c r="CC74" s="176"/>
    </row>
    <row r="75" spans="6:81" x14ac:dyDescent="0.2">
      <c r="H75" s="174">
        <v>69</v>
      </c>
      <c r="I75" s="465">
        <f t="shared" si="25"/>
        <v>0.28979999999999995</v>
      </c>
      <c r="J75" s="221"/>
      <c r="K75" s="221"/>
      <c r="L75" s="221"/>
      <c r="M75" s="221"/>
      <c r="N75" s="271"/>
      <c r="O75" s="176"/>
      <c r="P75" s="221"/>
      <c r="Q75" s="451"/>
      <c r="S75" s="272"/>
      <c r="T75" s="272"/>
      <c r="U75" s="272"/>
      <c r="AJ75" s="451"/>
      <c r="AZ75" s="273"/>
      <c r="BJ75" s="223"/>
      <c r="BK75" s="223"/>
      <c r="BL75" s="223"/>
      <c r="BO75" s="176"/>
      <c r="BP75" s="223"/>
      <c r="BQ75" s="274"/>
      <c r="BR75" s="275"/>
      <c r="BS75" s="223"/>
      <c r="BT75" s="276"/>
      <c r="BX75" s="223"/>
      <c r="BY75" s="223"/>
      <c r="BZ75" s="176"/>
      <c r="CA75" s="176"/>
      <c r="CB75" s="176"/>
      <c r="CC75" s="176"/>
    </row>
    <row r="76" spans="6:81" x14ac:dyDescent="0.2">
      <c r="H76" s="174">
        <v>70</v>
      </c>
      <c r="I76" s="465">
        <f t="shared" si="25"/>
        <v>0.29399999999999998</v>
      </c>
      <c r="J76" s="221"/>
      <c r="K76" s="221"/>
      <c r="L76" s="221"/>
      <c r="M76" s="221"/>
      <c r="N76" s="271"/>
      <c r="O76" s="176"/>
      <c r="P76" s="221"/>
      <c r="Q76" s="451"/>
      <c r="S76" s="272"/>
      <c r="T76" s="272"/>
      <c r="U76" s="272"/>
      <c r="AJ76" s="451"/>
      <c r="AZ76" s="273"/>
      <c r="BJ76" s="223"/>
      <c r="BK76" s="223"/>
      <c r="BL76" s="223"/>
      <c r="BO76" s="176"/>
      <c r="BP76" s="223"/>
      <c r="BQ76" s="274"/>
      <c r="BR76" s="275"/>
      <c r="BS76" s="223"/>
      <c r="BT76" s="276"/>
      <c r="BX76" s="223"/>
      <c r="BY76" s="223"/>
      <c r="BZ76" s="176"/>
      <c r="CA76" s="176"/>
      <c r="CB76" s="176"/>
      <c r="CC76" s="176"/>
    </row>
    <row r="77" spans="6:81" x14ac:dyDescent="0.2">
      <c r="H77" s="174">
        <v>71</v>
      </c>
      <c r="I77" s="465">
        <f t="shared" si="25"/>
        <v>0.29819999999999997</v>
      </c>
      <c r="J77" s="221"/>
      <c r="K77" s="221"/>
      <c r="L77" s="221"/>
      <c r="M77" s="221"/>
      <c r="N77" s="271"/>
      <c r="O77" s="176"/>
      <c r="P77" s="221"/>
      <c r="Q77" s="451"/>
      <c r="S77" s="272"/>
      <c r="T77" s="272"/>
      <c r="U77" s="272"/>
      <c r="AJ77" s="451"/>
      <c r="AZ77" s="273"/>
      <c r="BJ77" s="223"/>
      <c r="BK77" s="223"/>
      <c r="BL77" s="223"/>
      <c r="BO77" s="176"/>
      <c r="BP77" s="223"/>
      <c r="BQ77" s="274"/>
      <c r="BR77" s="275"/>
      <c r="BS77" s="223"/>
      <c r="BT77" s="276"/>
      <c r="BX77" s="223"/>
      <c r="BY77" s="223"/>
      <c r="BZ77" s="176"/>
      <c r="CA77" s="176"/>
      <c r="CB77" s="176"/>
      <c r="CC77" s="176"/>
    </row>
    <row r="78" spans="6:81" x14ac:dyDescent="0.2">
      <c r="H78" s="174">
        <v>72</v>
      </c>
      <c r="I78" s="465">
        <f t="shared" si="25"/>
        <v>0.3024</v>
      </c>
      <c r="J78" s="221"/>
      <c r="K78" s="221"/>
      <c r="L78" s="221"/>
      <c r="M78" s="221"/>
      <c r="N78" s="271"/>
      <c r="O78" s="176"/>
      <c r="P78" s="221"/>
      <c r="Q78" s="451"/>
      <c r="S78" s="272"/>
      <c r="T78" s="272"/>
      <c r="U78" s="272"/>
      <c r="AJ78" s="451"/>
      <c r="AZ78" s="273"/>
      <c r="BJ78" s="223"/>
      <c r="BK78" s="223"/>
      <c r="BL78" s="223"/>
      <c r="BO78" s="176"/>
      <c r="BP78" s="223"/>
      <c r="BQ78" s="274"/>
      <c r="BR78" s="275"/>
      <c r="BS78" s="223"/>
      <c r="BT78" s="276"/>
      <c r="BX78" s="223"/>
      <c r="BY78" s="223"/>
      <c r="BZ78" s="176"/>
      <c r="CA78" s="176"/>
      <c r="CB78" s="176"/>
      <c r="CC78" s="176"/>
    </row>
    <row r="79" spans="6:81" x14ac:dyDescent="0.2">
      <c r="H79" s="174">
        <v>73</v>
      </c>
      <c r="I79" s="465">
        <f t="shared" si="25"/>
        <v>0.30659999999999998</v>
      </c>
      <c r="J79" s="221"/>
      <c r="K79" s="221"/>
      <c r="L79" s="221"/>
      <c r="M79" s="221"/>
      <c r="N79" s="271"/>
      <c r="O79" s="176"/>
      <c r="P79" s="221"/>
      <c r="Q79" s="451"/>
      <c r="S79" s="272"/>
      <c r="T79" s="272"/>
      <c r="U79" s="272"/>
      <c r="AJ79" s="451"/>
      <c r="AZ79" s="273"/>
      <c r="BJ79" s="223"/>
      <c r="BK79" s="223"/>
      <c r="BL79" s="223"/>
      <c r="BO79" s="176"/>
      <c r="BP79" s="223"/>
      <c r="BQ79" s="274"/>
      <c r="BR79" s="275"/>
      <c r="BS79" s="223"/>
      <c r="BT79" s="276"/>
      <c r="BX79" s="223"/>
      <c r="BY79" s="223"/>
      <c r="BZ79" s="176"/>
      <c r="CA79" s="176"/>
      <c r="CB79" s="176"/>
      <c r="CC79" s="176"/>
    </row>
    <row r="80" spans="6:81" x14ac:dyDescent="0.2">
      <c r="H80" s="174">
        <v>74</v>
      </c>
      <c r="I80" s="465">
        <f t="shared" si="25"/>
        <v>0.31079999999999997</v>
      </c>
      <c r="J80" s="221"/>
      <c r="K80" s="221"/>
      <c r="L80" s="221"/>
      <c r="M80" s="221"/>
      <c r="N80" s="271"/>
      <c r="O80" s="176"/>
      <c r="P80" s="221"/>
      <c r="Q80" s="451"/>
      <c r="S80" s="272"/>
      <c r="T80" s="272"/>
      <c r="U80" s="272"/>
      <c r="AJ80" s="451"/>
      <c r="AZ80" s="273"/>
      <c r="BJ80" s="223"/>
      <c r="BK80" s="223"/>
      <c r="BL80" s="223"/>
      <c r="BO80" s="176"/>
      <c r="BP80" s="223"/>
      <c r="BQ80" s="274"/>
      <c r="BR80" s="275"/>
      <c r="BS80" s="223"/>
      <c r="BT80" s="276"/>
      <c r="BX80" s="223"/>
      <c r="BY80" s="223"/>
      <c r="BZ80" s="176"/>
      <c r="CA80" s="176"/>
      <c r="CB80" s="176"/>
      <c r="CC80" s="176"/>
    </row>
    <row r="81" spans="6:81" x14ac:dyDescent="0.2">
      <c r="H81" s="174">
        <v>75</v>
      </c>
      <c r="I81" s="465">
        <f t="shared" si="25"/>
        <v>0.315</v>
      </c>
      <c r="J81" s="221"/>
      <c r="K81" s="221"/>
      <c r="L81" s="221"/>
      <c r="M81" s="221"/>
      <c r="N81" s="271"/>
      <c r="O81" s="176"/>
      <c r="P81" s="221"/>
      <c r="Q81" s="451"/>
      <c r="S81" s="272"/>
      <c r="T81" s="272"/>
      <c r="U81" s="272"/>
      <c r="AJ81" s="451"/>
      <c r="AZ81" s="273"/>
      <c r="BJ81" s="223"/>
      <c r="BK81" s="223"/>
      <c r="BL81" s="223"/>
      <c r="BO81" s="176"/>
      <c r="BP81" s="223"/>
      <c r="BQ81" s="274"/>
      <c r="BR81" s="275"/>
      <c r="BS81" s="223"/>
      <c r="BT81" s="276"/>
      <c r="BX81" s="223"/>
      <c r="BY81" s="223"/>
      <c r="BZ81" s="176"/>
      <c r="CA81" s="176"/>
      <c r="CB81" s="176"/>
      <c r="CC81" s="176"/>
    </row>
    <row r="82" spans="6:81" x14ac:dyDescent="0.2">
      <c r="H82" s="174">
        <v>76</v>
      </c>
      <c r="I82" s="465">
        <f t="shared" si="25"/>
        <v>0.31919999999999998</v>
      </c>
      <c r="J82" s="221"/>
      <c r="K82" s="221"/>
      <c r="L82" s="221"/>
      <c r="M82" s="221"/>
      <c r="N82" s="271"/>
      <c r="O82" s="176"/>
      <c r="P82" s="221"/>
      <c r="Q82" s="451"/>
      <c r="S82" s="272"/>
      <c r="T82" s="272"/>
      <c r="U82" s="272"/>
      <c r="AJ82" s="451"/>
      <c r="AZ82" s="273"/>
      <c r="BJ82" s="223"/>
      <c r="BK82" s="223"/>
      <c r="BL82" s="223"/>
      <c r="BO82" s="176"/>
      <c r="BP82" s="223"/>
      <c r="BQ82" s="274"/>
      <c r="BR82" s="275"/>
      <c r="BS82" s="223"/>
      <c r="BT82" s="276"/>
      <c r="BX82" s="223"/>
      <c r="BY82" s="223"/>
      <c r="BZ82" s="176"/>
      <c r="CA82" s="176"/>
      <c r="CB82" s="176"/>
      <c r="CC82" s="176"/>
    </row>
    <row r="83" spans="6:81" x14ac:dyDescent="0.2">
      <c r="H83" s="174">
        <v>77</v>
      </c>
      <c r="I83" s="465">
        <f t="shared" si="25"/>
        <v>0.32340000000000002</v>
      </c>
      <c r="J83" s="221"/>
      <c r="K83" s="221"/>
      <c r="L83" s="221"/>
      <c r="M83" s="221"/>
      <c r="N83" s="271"/>
      <c r="O83" s="176"/>
      <c r="P83" s="221"/>
      <c r="Q83" s="451"/>
      <c r="S83" s="272"/>
      <c r="T83" s="272"/>
      <c r="U83" s="272"/>
      <c r="AJ83" s="451"/>
      <c r="AZ83" s="273"/>
      <c r="BJ83" s="223"/>
      <c r="BK83" s="223"/>
      <c r="BL83" s="223"/>
      <c r="BO83" s="176"/>
      <c r="BP83" s="223"/>
      <c r="BQ83" s="274"/>
      <c r="BR83" s="275"/>
      <c r="BS83" s="223"/>
      <c r="BT83" s="276"/>
      <c r="BX83" s="223"/>
      <c r="BY83" s="223"/>
      <c r="BZ83" s="176"/>
      <c r="CA83" s="176"/>
      <c r="CB83" s="176"/>
      <c r="CC83" s="176"/>
    </row>
    <row r="84" spans="6:81" x14ac:dyDescent="0.2">
      <c r="H84" s="174">
        <v>78</v>
      </c>
      <c r="I84" s="465">
        <f t="shared" si="25"/>
        <v>0.3276</v>
      </c>
      <c r="J84" s="221"/>
      <c r="K84" s="221"/>
      <c r="L84" s="221"/>
      <c r="M84" s="221"/>
      <c r="N84" s="271"/>
      <c r="O84" s="176"/>
      <c r="P84" s="221"/>
      <c r="Q84" s="451"/>
      <c r="S84" s="272"/>
      <c r="T84" s="272"/>
      <c r="U84" s="272"/>
      <c r="AJ84" s="451"/>
      <c r="AZ84" s="273"/>
      <c r="BJ84" s="223"/>
      <c r="BK84" s="223"/>
      <c r="BL84" s="223"/>
      <c r="BO84" s="176"/>
      <c r="BP84" s="223"/>
      <c r="BQ84" s="274"/>
      <c r="BR84" s="275"/>
      <c r="BS84" s="223"/>
      <c r="BT84" s="276"/>
      <c r="BX84" s="223"/>
      <c r="BY84" s="223"/>
      <c r="BZ84" s="176"/>
      <c r="CA84" s="176"/>
      <c r="CB84" s="176"/>
      <c r="CC84" s="176"/>
    </row>
    <row r="85" spans="6:81" x14ac:dyDescent="0.2">
      <c r="H85" s="174">
        <v>79</v>
      </c>
      <c r="I85" s="465">
        <f t="shared" si="25"/>
        <v>0.33179999999999998</v>
      </c>
      <c r="J85" s="221"/>
      <c r="K85" s="221"/>
      <c r="L85" s="221"/>
      <c r="M85" s="221"/>
      <c r="N85" s="271"/>
      <c r="O85" s="176"/>
      <c r="P85" s="221"/>
      <c r="Q85" s="451"/>
      <c r="S85" s="272"/>
      <c r="T85" s="272"/>
      <c r="U85" s="272"/>
      <c r="AJ85" s="451"/>
      <c r="AZ85" s="273"/>
      <c r="BJ85" s="223"/>
      <c r="BK85" s="223"/>
      <c r="BL85" s="223"/>
      <c r="BO85" s="176"/>
      <c r="BP85" s="223"/>
      <c r="BQ85" s="274"/>
      <c r="BR85" s="275"/>
      <c r="BS85" s="223"/>
      <c r="BT85" s="276"/>
      <c r="BX85" s="223"/>
      <c r="BY85" s="223"/>
      <c r="BZ85" s="176"/>
      <c r="CA85" s="176"/>
      <c r="CB85" s="176"/>
      <c r="CC85" s="176"/>
    </row>
    <row r="86" spans="6:81" x14ac:dyDescent="0.2">
      <c r="H86" s="174">
        <v>80</v>
      </c>
      <c r="I86" s="465">
        <f t="shared" si="25"/>
        <v>0.33600000000000002</v>
      </c>
      <c r="J86" s="221"/>
      <c r="K86" s="221"/>
      <c r="L86" s="221"/>
      <c r="M86" s="221"/>
      <c r="N86" s="271"/>
      <c r="O86" s="176"/>
      <c r="P86" s="221"/>
      <c r="Q86" s="451"/>
      <c r="S86" s="272"/>
      <c r="T86" s="272"/>
      <c r="U86" s="272"/>
      <c r="AJ86" s="451"/>
      <c r="AZ86" s="273"/>
      <c r="BJ86" s="223"/>
      <c r="BK86" s="223"/>
      <c r="BL86" s="223"/>
      <c r="BO86" s="176"/>
      <c r="BP86" s="223"/>
      <c r="BQ86" s="274"/>
      <c r="BR86" s="275"/>
      <c r="BS86" s="223"/>
      <c r="BT86" s="276"/>
      <c r="BX86" s="223"/>
      <c r="BY86" s="223"/>
      <c r="BZ86" s="176"/>
      <c r="CA86" s="176"/>
      <c r="CB86" s="176"/>
      <c r="CC86" s="176"/>
    </row>
    <row r="87" spans="6:81" x14ac:dyDescent="0.2">
      <c r="H87" s="174">
        <v>81</v>
      </c>
      <c r="I87" s="465">
        <f t="shared" si="25"/>
        <v>0.3402</v>
      </c>
      <c r="J87" s="221"/>
      <c r="K87" s="221"/>
      <c r="L87" s="221"/>
      <c r="M87" s="221"/>
      <c r="N87" s="271"/>
      <c r="O87" s="176"/>
      <c r="P87" s="221"/>
      <c r="Q87" s="451"/>
      <c r="S87" s="272"/>
      <c r="T87" s="272"/>
      <c r="U87" s="272"/>
      <c r="AJ87" s="451"/>
      <c r="AZ87" s="273"/>
      <c r="BJ87" s="223"/>
      <c r="BK87" s="223"/>
      <c r="BL87" s="223"/>
      <c r="BO87" s="176"/>
      <c r="BP87" s="223"/>
      <c r="BQ87" s="274"/>
      <c r="BR87" s="275"/>
      <c r="BS87" s="223"/>
      <c r="BT87" s="276"/>
      <c r="BX87" s="223"/>
      <c r="BY87" s="223"/>
      <c r="BZ87" s="176"/>
      <c r="CA87" s="176"/>
      <c r="CB87" s="176"/>
      <c r="CC87" s="176"/>
    </row>
    <row r="88" spans="6:81" x14ac:dyDescent="0.2">
      <c r="F88" s="329" t="s">
        <v>273</v>
      </c>
      <c r="G88" s="329" t="s">
        <v>274</v>
      </c>
      <c r="H88" s="174">
        <v>82</v>
      </c>
      <c r="I88" s="465">
        <f t="shared" si="25"/>
        <v>0.34439999999999998</v>
      </c>
      <c r="J88" s="221"/>
      <c r="K88" s="221"/>
      <c r="L88" s="221"/>
      <c r="M88" s="221"/>
      <c r="N88" s="271"/>
      <c r="O88" s="176"/>
      <c r="P88" s="221"/>
      <c r="Q88" s="451"/>
      <c r="S88" s="272"/>
      <c r="T88" s="272"/>
      <c r="U88" s="272"/>
      <c r="AJ88" s="451"/>
      <c r="AZ88" s="273"/>
      <c r="BJ88" s="223"/>
      <c r="BK88" s="223"/>
      <c r="BL88" s="223"/>
      <c r="BO88" s="176"/>
      <c r="BP88" s="223"/>
      <c r="BQ88" s="274"/>
      <c r="BR88" s="275"/>
      <c r="BS88" s="223"/>
      <c r="BT88" s="276"/>
      <c r="BX88" s="223"/>
      <c r="BY88" s="223"/>
      <c r="BZ88" s="176"/>
      <c r="CA88" s="176"/>
      <c r="CB88" s="176"/>
      <c r="CC88" s="176"/>
    </row>
    <row r="89" spans="6:81" x14ac:dyDescent="0.2">
      <c r="F89" s="330">
        <f>BO51</f>
        <v>0</v>
      </c>
      <c r="G89" s="331">
        <f>I56*1000</f>
        <v>210</v>
      </c>
      <c r="H89" s="174">
        <v>83</v>
      </c>
      <c r="I89" s="465">
        <f t="shared" si="25"/>
        <v>0.34859999999999997</v>
      </c>
      <c r="J89" s="221"/>
      <c r="K89" s="221"/>
      <c r="L89" s="221"/>
      <c r="M89" s="221"/>
      <c r="N89" s="271"/>
      <c r="O89" s="176"/>
      <c r="P89" s="221"/>
      <c r="Q89" s="451"/>
      <c r="S89" s="272"/>
      <c r="T89" s="272"/>
      <c r="U89" s="272"/>
      <c r="AJ89" s="451"/>
      <c r="AZ89" s="273"/>
      <c r="BJ89" s="223"/>
      <c r="BK89" s="223"/>
      <c r="BL89" s="223"/>
      <c r="BO89" s="176"/>
      <c r="BP89" s="223"/>
      <c r="BQ89" s="274"/>
      <c r="BR89" s="275"/>
      <c r="BS89" s="223"/>
      <c r="BT89" s="276"/>
      <c r="BX89" s="223"/>
      <c r="BY89" s="223"/>
      <c r="BZ89" s="176"/>
      <c r="CA89" s="176"/>
      <c r="CB89" s="176"/>
      <c r="CC89" s="176"/>
    </row>
    <row r="90" spans="6:81" x14ac:dyDescent="0.2">
      <c r="F90" s="330">
        <f>BO81</f>
        <v>0</v>
      </c>
      <c r="G90" s="331">
        <f>I81*1000</f>
        <v>315</v>
      </c>
      <c r="H90" s="174">
        <v>84</v>
      </c>
      <c r="I90" s="465">
        <f t="shared" si="25"/>
        <v>0.35279999999999995</v>
      </c>
      <c r="J90" s="221"/>
      <c r="K90" s="221"/>
      <c r="L90" s="221"/>
      <c r="M90" s="221"/>
      <c r="N90" s="271"/>
      <c r="O90" s="176"/>
      <c r="P90" s="221"/>
      <c r="Q90" s="451"/>
      <c r="S90" s="272"/>
      <c r="T90" s="272"/>
      <c r="U90" s="272"/>
      <c r="AJ90" s="451"/>
      <c r="AZ90" s="273"/>
      <c r="BJ90" s="223"/>
      <c r="BK90" s="223"/>
      <c r="BL90" s="223"/>
      <c r="BO90" s="176"/>
      <c r="BP90" s="223"/>
      <c r="BQ90" s="274"/>
      <c r="BR90" s="275"/>
      <c r="BS90" s="223"/>
      <c r="BT90" s="276"/>
      <c r="BX90" s="223"/>
      <c r="BY90" s="223"/>
      <c r="BZ90" s="176"/>
      <c r="CA90" s="176"/>
      <c r="CB90" s="176"/>
      <c r="CC90" s="176"/>
    </row>
    <row r="91" spans="6:81" x14ac:dyDescent="0.2">
      <c r="F91" s="330">
        <f>BO106</f>
        <v>88.698181382326453</v>
      </c>
      <c r="G91" s="331">
        <f>I106*1000</f>
        <v>420</v>
      </c>
      <c r="H91" s="174">
        <v>85</v>
      </c>
      <c r="I91" s="465">
        <f t="shared" si="25"/>
        <v>0.35699999999999998</v>
      </c>
      <c r="J91" s="221"/>
      <c r="K91" s="221"/>
      <c r="L91" s="221"/>
      <c r="M91" s="221"/>
      <c r="N91" s="271"/>
      <c r="O91" s="176"/>
      <c r="P91" s="221"/>
      <c r="Q91" s="451"/>
      <c r="S91" s="272"/>
      <c r="T91" s="272"/>
      <c r="U91" s="272"/>
      <c r="AJ91" s="451"/>
      <c r="AZ91" s="273"/>
      <c r="BJ91" s="223"/>
      <c r="BK91" s="223"/>
      <c r="BL91" s="223"/>
      <c r="BO91" s="176"/>
      <c r="BP91" s="223"/>
      <c r="BQ91" s="274"/>
      <c r="BR91" s="275"/>
      <c r="BS91" s="223"/>
      <c r="BT91" s="276"/>
      <c r="BX91" s="223"/>
      <c r="BY91" s="223"/>
      <c r="BZ91" s="176"/>
      <c r="CA91" s="176"/>
      <c r="CB91" s="176"/>
      <c r="CC91" s="176"/>
    </row>
    <row r="92" spans="6:81" x14ac:dyDescent="0.2">
      <c r="H92" s="174">
        <v>86</v>
      </c>
      <c r="I92" s="465">
        <f t="shared" si="25"/>
        <v>0.36119999999999997</v>
      </c>
      <c r="J92" s="221"/>
      <c r="K92" s="221"/>
      <c r="L92" s="221"/>
      <c r="M92" s="221"/>
      <c r="N92" s="271"/>
      <c r="O92" s="176"/>
      <c r="P92" s="221"/>
      <c r="Q92" s="451"/>
      <c r="S92" s="272"/>
      <c r="T92" s="272"/>
      <c r="U92" s="272"/>
      <c r="AJ92" s="451"/>
      <c r="AZ92" s="273"/>
      <c r="BJ92" s="223"/>
      <c r="BK92" s="223"/>
      <c r="BL92" s="223"/>
      <c r="BO92" s="176"/>
      <c r="BP92" s="223"/>
      <c r="BQ92" s="274"/>
      <c r="BR92" s="275"/>
      <c r="BS92" s="223"/>
      <c r="BT92" s="276"/>
      <c r="BX92" s="223"/>
      <c r="BY92" s="223"/>
      <c r="BZ92" s="176"/>
      <c r="CA92" s="176"/>
      <c r="CB92" s="176"/>
      <c r="CC92" s="176"/>
    </row>
    <row r="93" spans="6:81" x14ac:dyDescent="0.2">
      <c r="H93" s="174">
        <v>87</v>
      </c>
      <c r="I93" s="465">
        <f t="shared" si="25"/>
        <v>0.3654</v>
      </c>
      <c r="J93" s="221"/>
      <c r="K93" s="221"/>
      <c r="L93" s="221"/>
      <c r="M93" s="221"/>
      <c r="N93" s="271"/>
      <c r="O93" s="176"/>
      <c r="P93" s="221"/>
      <c r="Q93" s="451"/>
      <c r="S93" s="272"/>
      <c r="T93" s="272"/>
      <c r="U93" s="272"/>
      <c r="AJ93" s="451"/>
      <c r="AZ93" s="273"/>
      <c r="BJ93" s="223"/>
      <c r="BK93" s="223"/>
      <c r="BL93" s="223"/>
      <c r="BO93" s="176"/>
      <c r="BP93" s="223"/>
      <c r="BQ93" s="274"/>
      <c r="BR93" s="275"/>
      <c r="BS93" s="223"/>
      <c r="BT93" s="276"/>
      <c r="BX93" s="223"/>
      <c r="BY93" s="223"/>
      <c r="BZ93" s="176"/>
      <c r="CA93" s="176"/>
      <c r="CB93" s="176"/>
      <c r="CC93" s="176"/>
    </row>
    <row r="94" spans="6:81" x14ac:dyDescent="0.2">
      <c r="H94" s="174">
        <v>88</v>
      </c>
      <c r="I94" s="465">
        <f t="shared" si="25"/>
        <v>0.36959999999999998</v>
      </c>
      <c r="J94" s="221"/>
      <c r="K94" s="221"/>
      <c r="L94" s="221"/>
      <c r="M94" s="221"/>
      <c r="N94" s="271"/>
      <c r="O94" s="176"/>
      <c r="P94" s="221"/>
      <c r="Q94" s="451"/>
      <c r="S94" s="272"/>
      <c r="T94" s="272"/>
      <c r="U94" s="272"/>
      <c r="AJ94" s="451"/>
      <c r="AZ94" s="273"/>
      <c r="BJ94" s="223"/>
      <c r="BK94" s="223"/>
      <c r="BL94" s="223"/>
      <c r="BO94" s="176"/>
      <c r="BP94" s="223"/>
      <c r="BQ94" s="274"/>
      <c r="BR94" s="275"/>
      <c r="BS94" s="223"/>
      <c r="BT94" s="276"/>
      <c r="BX94" s="223"/>
      <c r="BY94" s="223"/>
      <c r="BZ94" s="176"/>
      <c r="CA94" s="176"/>
      <c r="CB94" s="176"/>
      <c r="CC94" s="176"/>
    </row>
    <row r="95" spans="6:81" x14ac:dyDescent="0.2">
      <c r="H95" s="174">
        <v>89</v>
      </c>
      <c r="I95" s="465">
        <f t="shared" si="25"/>
        <v>0.37379999999999997</v>
      </c>
      <c r="J95" s="221"/>
      <c r="K95" s="221"/>
      <c r="L95" s="221"/>
      <c r="M95" s="221"/>
      <c r="N95" s="271"/>
      <c r="O95" s="176"/>
      <c r="P95" s="221"/>
      <c r="Q95" s="451"/>
      <c r="S95" s="272"/>
      <c r="T95" s="272"/>
      <c r="U95" s="272"/>
      <c r="AJ95" s="451"/>
      <c r="AZ95" s="273"/>
      <c r="BJ95" s="223"/>
      <c r="BK95" s="223"/>
      <c r="BL95" s="223"/>
      <c r="BO95" s="176"/>
      <c r="BP95" s="223"/>
      <c r="BQ95" s="274"/>
      <c r="BR95" s="275"/>
      <c r="BS95" s="223"/>
      <c r="BT95" s="276"/>
      <c r="BX95" s="223"/>
      <c r="BY95" s="223"/>
      <c r="BZ95" s="176"/>
      <c r="CA95" s="176"/>
      <c r="CB95" s="176"/>
      <c r="CC95" s="176"/>
    </row>
    <row r="96" spans="6:81" x14ac:dyDescent="0.2">
      <c r="H96" s="174">
        <v>90</v>
      </c>
      <c r="I96" s="465">
        <f t="shared" si="25"/>
        <v>0.378</v>
      </c>
      <c r="J96" s="221"/>
      <c r="K96" s="221"/>
      <c r="L96" s="221"/>
      <c r="M96" s="221"/>
      <c r="N96" s="271"/>
      <c r="O96" s="176"/>
      <c r="P96" s="221"/>
      <c r="Q96" s="451"/>
      <c r="S96" s="272"/>
      <c r="T96" s="272"/>
      <c r="U96" s="272"/>
      <c r="AJ96" s="451"/>
      <c r="AZ96" s="273"/>
      <c r="BJ96" s="223"/>
      <c r="BK96" s="223"/>
      <c r="BL96" s="223"/>
      <c r="BO96" s="176"/>
      <c r="BP96" s="223"/>
      <c r="BQ96" s="274"/>
      <c r="BR96" s="275"/>
      <c r="BS96" s="223"/>
      <c r="BT96" s="276"/>
      <c r="BX96" s="223"/>
      <c r="BY96" s="223"/>
      <c r="BZ96" s="176"/>
      <c r="CA96" s="176"/>
      <c r="CB96" s="176"/>
      <c r="CC96" s="176"/>
    </row>
    <row r="97" spans="8:81" x14ac:dyDescent="0.2">
      <c r="H97" s="174">
        <v>91</v>
      </c>
      <c r="I97" s="465">
        <f t="shared" si="25"/>
        <v>0.38219999999999998</v>
      </c>
      <c r="J97" s="221"/>
      <c r="K97" s="221"/>
      <c r="L97" s="221"/>
      <c r="M97" s="221"/>
      <c r="N97" s="271"/>
      <c r="O97" s="176"/>
      <c r="P97" s="221"/>
      <c r="Q97" s="451"/>
      <c r="S97" s="272"/>
      <c r="T97" s="272"/>
      <c r="U97" s="272"/>
      <c r="AJ97" s="451"/>
      <c r="AZ97" s="273"/>
      <c r="BJ97" s="223"/>
      <c r="BK97" s="223"/>
      <c r="BL97" s="223"/>
      <c r="BO97" s="176"/>
      <c r="BP97" s="223"/>
      <c r="BQ97" s="274"/>
      <c r="BR97" s="275"/>
      <c r="BS97" s="223"/>
      <c r="BT97" s="276"/>
      <c r="BX97" s="223"/>
      <c r="BY97" s="223"/>
      <c r="BZ97" s="176"/>
      <c r="CA97" s="176"/>
      <c r="CB97" s="176"/>
      <c r="CC97" s="176"/>
    </row>
    <row r="98" spans="8:81" x14ac:dyDescent="0.2">
      <c r="H98" s="174">
        <v>92</v>
      </c>
      <c r="I98" s="465">
        <f t="shared" si="25"/>
        <v>0.38640000000000002</v>
      </c>
      <c r="J98" s="221"/>
      <c r="K98" s="221"/>
      <c r="L98" s="221"/>
      <c r="M98" s="221"/>
      <c r="N98" s="271"/>
      <c r="O98" s="176"/>
      <c r="P98" s="221"/>
      <c r="Q98" s="451"/>
      <c r="S98" s="272"/>
      <c r="T98" s="272"/>
      <c r="U98" s="272"/>
      <c r="AJ98" s="451"/>
      <c r="AZ98" s="273"/>
      <c r="BJ98" s="223"/>
      <c r="BK98" s="223"/>
      <c r="BL98" s="223"/>
      <c r="BO98" s="176"/>
      <c r="BP98" s="223"/>
      <c r="BQ98" s="274"/>
      <c r="BR98" s="275"/>
      <c r="BS98" s="223"/>
      <c r="BT98" s="276"/>
      <c r="BX98" s="223"/>
      <c r="BY98" s="223"/>
      <c r="BZ98" s="176"/>
      <c r="CA98" s="176"/>
      <c r="CB98" s="176"/>
      <c r="CC98" s="176"/>
    </row>
    <row r="99" spans="8:81" x14ac:dyDescent="0.2">
      <c r="H99" s="174">
        <v>93</v>
      </c>
      <c r="I99" s="465">
        <f t="shared" si="25"/>
        <v>0.3906</v>
      </c>
      <c r="J99" s="221"/>
      <c r="K99" s="221"/>
      <c r="L99" s="221"/>
      <c r="M99" s="221"/>
      <c r="N99" s="271"/>
      <c r="O99" s="176"/>
      <c r="P99" s="221"/>
      <c r="Q99" s="451"/>
      <c r="S99" s="272"/>
      <c r="T99" s="272"/>
      <c r="U99" s="272"/>
      <c r="AJ99" s="451"/>
      <c r="AZ99" s="273"/>
      <c r="BJ99" s="223"/>
      <c r="BK99" s="223"/>
      <c r="BL99" s="223"/>
      <c r="BO99" s="176"/>
      <c r="BP99" s="223"/>
      <c r="BQ99" s="274"/>
      <c r="BR99" s="275"/>
      <c r="BS99" s="223"/>
      <c r="BT99" s="276"/>
      <c r="BX99" s="223"/>
      <c r="BY99" s="223"/>
      <c r="BZ99" s="176"/>
      <c r="CA99" s="176"/>
      <c r="CB99" s="176"/>
      <c r="CC99" s="176"/>
    </row>
    <row r="100" spans="8:81" x14ac:dyDescent="0.2">
      <c r="H100" s="174">
        <v>94</v>
      </c>
      <c r="I100" s="465">
        <f t="shared" si="25"/>
        <v>0.39479999999999998</v>
      </c>
      <c r="J100" s="221"/>
      <c r="K100" s="221"/>
      <c r="L100" s="221"/>
      <c r="M100" s="221"/>
      <c r="N100" s="271"/>
      <c r="O100" s="176"/>
      <c r="P100" s="221"/>
      <c r="Q100" s="451"/>
      <c r="S100" s="272"/>
      <c r="T100" s="272"/>
      <c r="U100" s="272"/>
      <c r="AJ100" s="451"/>
      <c r="AZ100" s="273"/>
      <c r="BJ100" s="223"/>
      <c r="BK100" s="223"/>
      <c r="BL100" s="223"/>
      <c r="BO100" s="176"/>
      <c r="BP100" s="223"/>
      <c r="BQ100" s="274"/>
      <c r="BR100" s="275"/>
      <c r="BS100" s="223"/>
      <c r="BT100" s="276"/>
      <c r="BX100" s="223"/>
      <c r="BY100" s="223"/>
      <c r="BZ100" s="176"/>
      <c r="CA100" s="176"/>
      <c r="CB100" s="176"/>
      <c r="CC100" s="176"/>
    </row>
    <row r="101" spans="8:81" x14ac:dyDescent="0.2">
      <c r="H101" s="174">
        <v>95</v>
      </c>
      <c r="I101" s="465">
        <f t="shared" si="25"/>
        <v>0.39899999999999997</v>
      </c>
      <c r="J101" s="221"/>
      <c r="K101" s="221"/>
      <c r="L101" s="221"/>
      <c r="M101" s="221"/>
      <c r="N101" s="271"/>
      <c r="O101" s="176"/>
      <c r="P101" s="221"/>
      <c r="Q101" s="451"/>
      <c r="S101" s="272"/>
      <c r="T101" s="272"/>
      <c r="U101" s="272"/>
      <c r="AJ101" s="451"/>
      <c r="AZ101" s="273"/>
      <c r="BJ101" s="223"/>
      <c r="BK101" s="223"/>
      <c r="BL101" s="223"/>
      <c r="BO101" s="176"/>
      <c r="BP101" s="223"/>
      <c r="BQ101" s="274"/>
      <c r="BR101" s="275"/>
      <c r="BS101" s="223"/>
      <c r="BT101" s="276"/>
      <c r="BX101" s="223"/>
      <c r="BY101" s="223"/>
      <c r="BZ101" s="176"/>
      <c r="CA101" s="176"/>
      <c r="CB101" s="176"/>
      <c r="CC101" s="176"/>
    </row>
    <row r="102" spans="8:81" x14ac:dyDescent="0.2">
      <c r="H102" s="174">
        <v>96</v>
      </c>
      <c r="I102" s="465">
        <f t="shared" ref="I102:I106" si="26">IF(PLOT_TYPE=1, H102/100*Iout_max, min_I*EXP(H102*rr/100))</f>
        <v>0.40319999999999995</v>
      </c>
      <c r="J102" s="221"/>
      <c r="K102" s="221"/>
      <c r="L102" s="221"/>
      <c r="M102" s="221"/>
      <c r="N102" s="271"/>
      <c r="O102" s="176"/>
      <c r="P102" s="221"/>
      <c r="Q102" s="451"/>
      <c r="S102" s="272"/>
      <c r="T102" s="272"/>
      <c r="U102" s="272"/>
      <c r="AJ102" s="451"/>
      <c r="AZ102" s="273"/>
      <c r="BJ102" s="223"/>
      <c r="BK102" s="223"/>
      <c r="BL102" s="223"/>
      <c r="BO102" s="176"/>
      <c r="BP102" s="223"/>
      <c r="BQ102" s="274"/>
      <c r="BR102" s="275"/>
      <c r="BS102" s="223"/>
      <c r="BT102" s="276"/>
      <c r="BX102" s="223"/>
      <c r="BY102" s="223"/>
      <c r="BZ102" s="176"/>
      <c r="CA102" s="176"/>
      <c r="CB102" s="176"/>
      <c r="CC102" s="176"/>
    </row>
    <row r="103" spans="8:81" x14ac:dyDescent="0.2">
      <c r="H103" s="174">
        <v>97</v>
      </c>
      <c r="I103" s="465">
        <f t="shared" si="26"/>
        <v>0.40739999999999998</v>
      </c>
      <c r="J103" s="221"/>
      <c r="K103" s="221"/>
      <c r="L103" s="221"/>
      <c r="M103" s="221"/>
      <c r="N103" s="271"/>
      <c r="O103" s="176"/>
      <c r="P103" s="221"/>
      <c r="Q103" s="451"/>
      <c r="S103" s="272"/>
      <c r="T103" s="272"/>
      <c r="U103" s="272"/>
      <c r="AJ103" s="451"/>
      <c r="AZ103" s="273"/>
      <c r="BJ103" s="223"/>
      <c r="BK103" s="223"/>
      <c r="BL103" s="223"/>
      <c r="BO103" s="176"/>
      <c r="BP103" s="223"/>
      <c r="BQ103" s="274"/>
      <c r="BR103" s="275"/>
      <c r="BS103" s="223"/>
      <c r="BT103" s="276"/>
      <c r="BX103" s="223"/>
      <c r="BY103" s="223"/>
      <c r="BZ103" s="176"/>
      <c r="CA103" s="176"/>
      <c r="CB103" s="176"/>
      <c r="CC103" s="176"/>
    </row>
    <row r="104" spans="8:81" x14ac:dyDescent="0.2">
      <c r="H104" s="174">
        <v>98</v>
      </c>
      <c r="I104" s="465">
        <f t="shared" si="26"/>
        <v>0.41159999999999997</v>
      </c>
      <c r="J104" s="221"/>
      <c r="K104" s="221"/>
      <c r="L104" s="221"/>
      <c r="M104" s="221"/>
      <c r="N104" s="271"/>
      <c r="O104" s="176"/>
      <c r="P104" s="221"/>
      <c r="Q104" s="451"/>
      <c r="S104" s="272"/>
      <c r="T104" s="272"/>
      <c r="U104" s="272"/>
      <c r="AJ104" s="451"/>
      <c r="AZ104" s="273"/>
      <c r="BJ104" s="223"/>
      <c r="BK104" s="223"/>
      <c r="BL104" s="223"/>
      <c r="BO104" s="176"/>
      <c r="BP104" s="223"/>
      <c r="BQ104" s="274"/>
      <c r="BR104" s="275"/>
      <c r="BS104" s="223"/>
      <c r="BT104" s="276"/>
      <c r="BX104" s="223"/>
      <c r="BY104" s="223"/>
      <c r="BZ104" s="176"/>
      <c r="CA104" s="176"/>
      <c r="CB104" s="176"/>
      <c r="CC104" s="176"/>
    </row>
    <row r="105" spans="8:81" x14ac:dyDescent="0.2">
      <c r="H105" s="174">
        <v>99</v>
      </c>
      <c r="I105" s="465">
        <f t="shared" si="26"/>
        <v>0.4158</v>
      </c>
      <c r="J105" s="221"/>
      <c r="K105" s="221"/>
      <c r="L105" s="221"/>
      <c r="M105" s="221"/>
      <c r="N105" s="271"/>
      <c r="O105" s="176"/>
      <c r="P105" s="221"/>
      <c r="Q105" s="451"/>
      <c r="S105" s="272"/>
      <c r="T105" s="272"/>
      <c r="U105" s="272"/>
      <c r="AJ105" s="451"/>
      <c r="AZ105" s="273"/>
      <c r="BJ105" s="223"/>
      <c r="BK105" s="223"/>
      <c r="BL105" s="223"/>
      <c r="BO105" s="176"/>
      <c r="BP105" s="223"/>
      <c r="BQ105" s="274"/>
      <c r="BR105" s="275"/>
      <c r="BS105" s="223"/>
      <c r="BT105" s="276"/>
      <c r="BX105" s="223"/>
      <c r="BY105" s="223"/>
      <c r="BZ105" s="176"/>
      <c r="CA105" s="176"/>
      <c r="CB105" s="176"/>
      <c r="CC105" s="176"/>
    </row>
    <row r="106" spans="8:81" x14ac:dyDescent="0.2">
      <c r="H106" s="174">
        <v>100</v>
      </c>
      <c r="I106" s="465">
        <f t="shared" si="26"/>
        <v>0.42</v>
      </c>
      <c r="J106" s="221"/>
      <c r="K106" s="221"/>
      <c r="L106" s="221"/>
      <c r="M106" s="221"/>
      <c r="N106" s="271"/>
      <c r="O106" s="176"/>
      <c r="P106" s="221"/>
      <c r="Q106" s="451"/>
      <c r="S106" s="272"/>
      <c r="T106" s="272"/>
      <c r="U106" s="272"/>
      <c r="AJ106" s="451"/>
      <c r="AY106" s="220">
        <f>Vout*I106</f>
        <v>6.51</v>
      </c>
      <c r="AZ106" s="273">
        <f t="shared" ref="AZ106" si="27">AY106/(AY106+AX106)</f>
        <v>1</v>
      </c>
      <c r="BA106" s="349">
        <f t="shared" ref="BA106" si="28">AG106/($AY106+$AX106)</f>
        <v>0</v>
      </c>
      <c r="BB106" s="349">
        <f t="shared" ref="BB106" si="29">AO106/($AY106+$AX106)</f>
        <v>0</v>
      </c>
      <c r="BC106" s="349" t="e">
        <f t="shared" ref="BC106" si="30">Vin*R106*(QgBot+Qg)/($AY106+$AX106)</f>
        <v>#NAME?</v>
      </c>
      <c r="BD106" s="349">
        <f t="shared" ref="BD106" si="31">AK106/($AY106+$AX106)</f>
        <v>0</v>
      </c>
      <c r="BE106" s="349">
        <f t="shared" ref="BE106" si="32">AQ106/(AX106+AY106)</f>
        <v>0</v>
      </c>
      <c r="BF106" s="349">
        <f t="shared" ref="BF106" si="33">AR106/($AY106+$AX106)</f>
        <v>0</v>
      </c>
      <c r="BG106" s="349">
        <f t="shared" ref="BG106" si="34">W106/($AY106+$AX106)</f>
        <v>0</v>
      </c>
      <c r="BH106" s="349">
        <f t="shared" ref="BH106" si="35">X106/($AY106+$AX106)</f>
        <v>0</v>
      </c>
      <c r="BI106" s="349">
        <f t="shared" ref="BI106" si="36">(AB106+AE106)/($AY106+$AX106)</f>
        <v>0</v>
      </c>
      <c r="BJ106" s="223">
        <f t="shared" ref="BJ106" si="37">AT106/($AY106+$AX106)</f>
        <v>0</v>
      </c>
      <c r="BK106" s="223">
        <f t="shared" ref="BK106" si="38">AX106/($AY106+$AX106)</f>
        <v>0</v>
      </c>
      <c r="BL106" s="223">
        <f t="shared" ref="BL106" si="39">AZ106</f>
        <v>1</v>
      </c>
      <c r="BM106" s="176">
        <f t="shared" ref="BM106" si="40">100*BL106</f>
        <v>100</v>
      </c>
      <c r="BN106" s="221">
        <f xml:space="preserve"> CHOOSE(MODE, I106*1000,#REF!)</f>
        <v>420</v>
      </c>
      <c r="BO106" s="176">
        <v>88.698181382326453</v>
      </c>
      <c r="BP106" s="223">
        <f t="shared" ref="BP106" si="41">BO106/100</f>
        <v>0.88698181382326458</v>
      </c>
      <c r="BQ106" s="274">
        <f t="shared" ref="BQ106" si="42">R106/1000</f>
        <v>0</v>
      </c>
      <c r="BR106" s="275"/>
      <c r="BS106" s="223">
        <f t="shared" ref="BS106" si="43">AL106/($AY106+$AX106)</f>
        <v>0</v>
      </c>
      <c r="BT106" s="276"/>
      <c r="BU106" s="176">
        <f t="shared" ref="BU106" si="44">1000*AW106</f>
        <v>0</v>
      </c>
      <c r="BV106" s="176">
        <f t="shared" ref="BV106" si="45">1000*AU106</f>
        <v>0</v>
      </c>
      <c r="BW106" s="176">
        <f t="shared" ref="BW106" si="46">1000*Y106</f>
        <v>0</v>
      </c>
      <c r="BX106" s="223"/>
      <c r="BY106" s="223"/>
      <c r="BZ106" s="176">
        <f xml:space="preserve"> IF(MODE=1, BM106,#REF!)</f>
        <v>100</v>
      </c>
      <c r="CA106" s="176">
        <f xml:space="preserve"> IF(MODE=1, BU106,#REF!)</f>
        <v>0</v>
      </c>
      <c r="CB106" s="176">
        <f xml:space="preserve"> IF(MODE=1, BV106,#REF!)</f>
        <v>0</v>
      </c>
      <c r="CC106" s="176">
        <f xml:space="preserve"> IF(MODE=1, BW106,#REF!)</f>
        <v>0</v>
      </c>
    </row>
    <row r="107" spans="8:81" x14ac:dyDescent="0.2">
      <c r="BQ107" s="274"/>
      <c r="BR107" s="275"/>
      <c r="BS107" s="275"/>
      <c r="BT107" s="276"/>
      <c r="BX107" s="223"/>
      <c r="BY107" s="223"/>
    </row>
    <row r="108" spans="8:81" x14ac:dyDescent="0.2">
      <c r="H108" s="332">
        <v>1.0000000000000001E-5</v>
      </c>
      <c r="I108" s="333" t="s">
        <v>1</v>
      </c>
      <c r="J108" s="334" t="s">
        <v>275</v>
      </c>
      <c r="AG108" s="220">
        <v>4.9516878778202269E-3</v>
      </c>
      <c r="AH108" s="220">
        <v>3.7188236700537959E-3</v>
      </c>
      <c r="AI108">
        <v>20</v>
      </c>
      <c r="AJ108" s="220">
        <v>18.943591787921068</v>
      </c>
      <c r="AK108" s="220">
        <v>4.1453367485397245E-3</v>
      </c>
      <c r="AL108" s="220">
        <v>7.1640215182307235E-3</v>
      </c>
      <c r="AN108" s="220">
        <v>9.1940431932401354E-2</v>
      </c>
      <c r="AO108" s="220">
        <v>8.4530430239165271E-3</v>
      </c>
      <c r="AP108" s="220">
        <v>9.3281530185295868E-4</v>
      </c>
      <c r="AQ108" s="220">
        <v>9.1178757202630047E-3</v>
      </c>
      <c r="AR108" s="220">
        <v>1.2140752334887425E-3</v>
      </c>
      <c r="AS108" s="220">
        <v>1.8784993977668273E-2</v>
      </c>
      <c r="AZ108" s="336" t="s">
        <v>279</v>
      </c>
      <c r="BA108" s="356">
        <v>3.6409104085968987E-3</v>
      </c>
      <c r="BB108" s="356">
        <v>6.5692245841190103E-3</v>
      </c>
      <c r="BC108" s="356">
        <v>5.4394694205683519E-2</v>
      </c>
      <c r="BD108" s="356">
        <v>4.5907837520612008E-3</v>
      </c>
      <c r="BE108" s="356">
        <v>0</v>
      </c>
      <c r="BF108" s="356">
        <v>7.3751579484765363E-4</v>
      </c>
      <c r="BG108" s="356">
        <v>7.2151246180390156E-3</v>
      </c>
      <c r="BH108" s="356">
        <v>1.4929120352630757E-2</v>
      </c>
      <c r="BI108" s="356">
        <v>5.5024434421027814E-6</v>
      </c>
      <c r="BJ108" s="356">
        <v>8.2551506228875166E-2</v>
      </c>
    </row>
    <row r="109" spans="8:81" x14ac:dyDescent="0.2">
      <c r="H109" s="335">
        <f>Iout_max</f>
        <v>0.42</v>
      </c>
      <c r="I109" s="333" t="s">
        <v>1</v>
      </c>
      <c r="J109" s="334" t="s">
        <v>276</v>
      </c>
      <c r="AZ109" s="336" t="s">
        <v>277</v>
      </c>
      <c r="BA109" s="356">
        <v>8.1000709018000279E-3</v>
      </c>
      <c r="BB109" s="356">
        <v>1.4614802049391215E-2</v>
      </c>
      <c r="BC109" s="356">
        <v>2.4831534664325892E-2</v>
      </c>
      <c r="BD109" s="356">
        <v>9.9057039827182662E-3</v>
      </c>
      <c r="BE109" s="356">
        <v>1.1631608311305648E-2</v>
      </c>
      <c r="BF109" s="356">
        <v>1.6465542803473395E-3</v>
      </c>
      <c r="BG109" s="356">
        <v>1.6051760250250457E-2</v>
      </c>
      <c r="BH109" s="356">
        <v>6.8152413568584669E-3</v>
      </c>
      <c r="BI109" s="356">
        <v>1.7517781122613987E-5</v>
      </c>
      <c r="BJ109" s="356">
        <v>1.2837829865088564E-2</v>
      </c>
    </row>
    <row r="110" spans="8:81" x14ac:dyDescent="0.2">
      <c r="H110" s="335">
        <f>LOG(max_I/min_I,EXP(1))</f>
        <v>10.645424897265505</v>
      </c>
      <c r="I110" s="221"/>
      <c r="J110" s="334" t="s">
        <v>278</v>
      </c>
    </row>
    <row r="111" spans="8:81" x14ac:dyDescent="0.2">
      <c r="AZ111" s="336"/>
      <c r="BA111" s="356"/>
      <c r="BB111" s="356"/>
      <c r="BC111" s="356"/>
      <c r="BD111" s="356"/>
      <c r="BE111" s="356"/>
      <c r="BF111" s="356"/>
      <c r="BG111" s="356"/>
      <c r="BH111" s="356"/>
      <c r="BI111" s="356"/>
      <c r="BJ111" s="356"/>
    </row>
    <row r="112" spans="8:81" x14ac:dyDescent="0.2">
      <c r="J112" s="338"/>
      <c r="R112" s="339"/>
      <c r="S112" s="339"/>
      <c r="T112" s="339"/>
      <c r="U112" s="339"/>
      <c r="V112" s="340"/>
    </row>
    <row r="113" spans="10:22" x14ac:dyDescent="0.2">
      <c r="J113" s="338"/>
      <c r="R113" s="339"/>
      <c r="S113" s="339"/>
      <c r="T113" s="339"/>
      <c r="U113" s="339"/>
      <c r="V113" s="340"/>
    </row>
    <row r="114" spans="10:22" x14ac:dyDescent="0.2">
      <c r="R114" s="341"/>
      <c r="S114" s="341"/>
      <c r="T114" s="341"/>
      <c r="U114" s="341"/>
      <c r="V114" s="340"/>
    </row>
    <row r="116" spans="10:22" x14ac:dyDescent="0.2">
      <c r="R116" s="341"/>
      <c r="S116" s="341"/>
      <c r="T116" s="341"/>
      <c r="U116" s="341"/>
      <c r="V116" s="340"/>
    </row>
    <row r="121" spans="10:22" x14ac:dyDescent="0.2">
      <c r="V121" s="334"/>
    </row>
    <row r="122" spans="10:22" x14ac:dyDescent="0.2">
      <c r="O122" s="334"/>
      <c r="P122" s="334"/>
      <c r="Q122" s="334"/>
    </row>
    <row r="123" spans="10:22" x14ac:dyDescent="0.2">
      <c r="O123" s="334"/>
      <c r="P123" s="334"/>
      <c r="Q123" s="334"/>
    </row>
    <row r="124" spans="10:22" x14ac:dyDescent="0.2">
      <c r="O124" s="334"/>
      <c r="P124" s="334"/>
      <c r="Q124" s="334"/>
    </row>
    <row r="125" spans="10:22" x14ac:dyDescent="0.2">
      <c r="O125" s="334"/>
      <c r="P125" s="334"/>
      <c r="Q125" s="334"/>
    </row>
    <row r="126" spans="10:22" x14ac:dyDescent="0.2">
      <c r="J126" s="342"/>
      <c r="O126" s="334"/>
      <c r="P126" s="334"/>
      <c r="Q126" s="334"/>
    </row>
    <row r="127" spans="10:22" x14ac:dyDescent="0.2">
      <c r="J127" s="342"/>
      <c r="O127" s="334"/>
      <c r="P127" s="334"/>
      <c r="Q127" s="334"/>
    </row>
    <row r="128" spans="10:22" x14ac:dyDescent="0.2">
      <c r="J128" s="342"/>
      <c r="O128" s="334"/>
      <c r="P128" s="334"/>
      <c r="Q128" s="334"/>
    </row>
    <row r="129" spans="10:17" x14ac:dyDescent="0.2">
      <c r="J129" s="333"/>
      <c r="O129" s="334"/>
      <c r="P129" s="334"/>
      <c r="Q129" s="334"/>
    </row>
    <row r="130" spans="10:17" x14ac:dyDescent="0.2">
      <c r="J130" s="333"/>
    </row>
    <row r="131" spans="10:17" x14ac:dyDescent="0.2">
      <c r="J131" s="333"/>
    </row>
    <row r="132" spans="10:17" x14ac:dyDescent="0.2">
      <c r="J132" s="333"/>
    </row>
    <row r="133" spans="10:17" x14ac:dyDescent="0.2">
      <c r="J133" s="333"/>
    </row>
  </sheetData>
  <mergeCells count="4">
    <mergeCell ref="A1:E3"/>
    <mergeCell ref="G2:H2"/>
    <mergeCell ref="A4:E4"/>
    <mergeCell ref="K4:U4"/>
  </mergeCells>
  <conditionalFormatting sqref="B26:B28">
    <cfRule type="cellIs" dxfId="10" priority="8" stopIfTrue="1" operator="notEqual">
      <formula>G28</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41">
    <cfRule type="cellIs" dxfId="7" priority="4" stopIfTrue="1" operator="notEqual">
      <formula>G53</formula>
    </cfRule>
  </conditionalFormatting>
  <conditionalFormatting sqref="B50:B53">
    <cfRule type="cellIs" dxfId="6" priority="9" stopIfTrue="1" operator="notEqual">
      <formula>G70</formula>
    </cfRule>
  </conditionalFormatting>
  <conditionalFormatting sqref="B48:B49">
    <cfRule type="cellIs" dxfId="5" priority="12" stopIfTrue="1" operator="notEqual">
      <formula>G68</formula>
    </cfRule>
  </conditionalFormatting>
  <conditionalFormatting sqref="B43:B45">
    <cfRule type="cellIs" dxfId="4" priority="13" stopIfTrue="1" operator="notEqual">
      <formula>G54</formula>
    </cfRule>
  </conditionalFormatting>
  <conditionalFormatting sqref="B46">
    <cfRule type="cellIs" dxfId="3" priority="2" stopIfTrue="1" operator="notEqual">
      <formula>G66</formula>
    </cfRule>
  </conditionalFormatting>
  <conditionalFormatting sqref="B29">
    <cfRule type="cellIs" dxfId="2" priority="145" stopIfTrue="1" operator="notEqual">
      <formula>G30</formula>
    </cfRule>
  </conditionalFormatting>
  <conditionalFormatting sqref="B38:B39">
    <cfRule type="cellIs" dxfId="1"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19050</xdr:colOff>
                <xdr:row>125</xdr:row>
                <xdr:rowOff>142875</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'BOM &amp; Schematic'!Print_Area</vt:lpstr>
      <vt:lpstr>'LM(2)518x PSR flyback converter'!Print_Area</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He, Bella</cp:lastModifiedBy>
  <cp:lastPrinted>2016-03-02T21:18:53Z</cp:lastPrinted>
  <dcterms:created xsi:type="dcterms:W3CDTF">1996-10-14T23:33:28Z</dcterms:created>
  <dcterms:modified xsi:type="dcterms:W3CDTF">2023-12-18T05:34:50Z</dcterms:modified>
</cp:coreProperties>
</file>